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tables/table251.xml" ContentType="application/vnd.openxmlformats-officedocument.spreadsheetml.table+xml"/>
  <Override PartName="/xl/tables/table252.xml" ContentType="application/vnd.openxmlformats-officedocument.spreadsheetml.table+xml"/>
  <Override PartName="/xl/tables/table253.xml" ContentType="application/vnd.openxmlformats-officedocument.spreadsheetml.table+xml"/>
  <Override PartName="/xl/tables/table254.xml" ContentType="application/vnd.openxmlformats-officedocument.spreadsheetml.table+xml"/>
  <Override PartName="/xl/tables/table255.xml" ContentType="application/vnd.openxmlformats-officedocument.spreadsheetml.table+xml"/>
  <Override PartName="/xl/tables/table256.xml" ContentType="application/vnd.openxmlformats-officedocument.spreadsheetml.table+xml"/>
  <Override PartName="/xl/tables/table257.xml" ContentType="application/vnd.openxmlformats-officedocument.spreadsheetml.table+xml"/>
  <Override PartName="/xl/tables/table258.xml" ContentType="application/vnd.openxmlformats-officedocument.spreadsheetml.table+xml"/>
  <Override PartName="/xl/tables/table259.xml" ContentType="application/vnd.openxmlformats-officedocument.spreadsheetml.table+xml"/>
  <Override PartName="/xl/tables/table260.xml" ContentType="application/vnd.openxmlformats-officedocument.spreadsheetml.table+xml"/>
  <Override PartName="/xl/tables/table261.xml" ContentType="application/vnd.openxmlformats-officedocument.spreadsheetml.table+xml"/>
  <Override PartName="/xl/tables/table262.xml" ContentType="application/vnd.openxmlformats-officedocument.spreadsheetml.table+xml"/>
  <Override PartName="/xl/tables/table263.xml" ContentType="application/vnd.openxmlformats-officedocument.spreadsheetml.table+xml"/>
  <Override PartName="/xl/tables/table264.xml" ContentType="application/vnd.openxmlformats-officedocument.spreadsheetml.table+xml"/>
  <Override PartName="/xl/tables/table265.xml" ContentType="application/vnd.openxmlformats-officedocument.spreadsheetml.table+xml"/>
  <Override PartName="/xl/tables/table266.xml" ContentType="application/vnd.openxmlformats-officedocument.spreadsheetml.table+xml"/>
  <Override PartName="/xl/tables/table267.xml" ContentType="application/vnd.openxmlformats-officedocument.spreadsheetml.table+xml"/>
  <Override PartName="/xl/tables/table268.xml" ContentType="application/vnd.openxmlformats-officedocument.spreadsheetml.table+xml"/>
  <Override PartName="/xl/tables/table269.xml" ContentType="application/vnd.openxmlformats-officedocument.spreadsheetml.table+xml"/>
  <Override PartName="/xl/tables/table270.xml" ContentType="application/vnd.openxmlformats-officedocument.spreadsheetml.table+xml"/>
  <Override PartName="/xl/tables/table271.xml" ContentType="application/vnd.openxmlformats-officedocument.spreadsheetml.table+xml"/>
  <Override PartName="/xl/tables/table272.xml" ContentType="application/vnd.openxmlformats-officedocument.spreadsheetml.table+xml"/>
  <Override PartName="/xl/tables/table273.xml" ContentType="application/vnd.openxmlformats-officedocument.spreadsheetml.table+xml"/>
  <Override PartName="/xl/tables/table274.xml" ContentType="application/vnd.openxmlformats-officedocument.spreadsheetml.table+xml"/>
  <Override PartName="/xl/tables/table275.xml" ContentType="application/vnd.openxmlformats-officedocument.spreadsheetml.table+xml"/>
  <Override PartName="/xl/tables/table276.xml" ContentType="application/vnd.openxmlformats-officedocument.spreadsheetml.table+xml"/>
  <Override PartName="/xl/tables/table277.xml" ContentType="application/vnd.openxmlformats-officedocument.spreadsheetml.table+xml"/>
  <Override PartName="/xl/tables/table278.xml" ContentType="application/vnd.openxmlformats-officedocument.spreadsheetml.table+xml"/>
  <Override PartName="/xl/tables/table279.xml" ContentType="application/vnd.openxmlformats-officedocument.spreadsheetml.table+xml"/>
  <Override PartName="/xl/tables/table280.xml" ContentType="application/vnd.openxmlformats-officedocument.spreadsheetml.table+xml"/>
  <Override PartName="/xl/tables/table281.xml" ContentType="application/vnd.openxmlformats-officedocument.spreadsheetml.table+xml"/>
  <Override PartName="/xl/tables/table282.xml" ContentType="application/vnd.openxmlformats-officedocument.spreadsheetml.table+xml"/>
  <Override PartName="/xl/tables/table283.xml" ContentType="application/vnd.openxmlformats-officedocument.spreadsheetml.table+xml"/>
  <Override PartName="/xl/tables/table284.xml" ContentType="application/vnd.openxmlformats-officedocument.spreadsheetml.table+xml"/>
  <Override PartName="/xl/tables/table285.xml" ContentType="application/vnd.openxmlformats-officedocument.spreadsheetml.table+xml"/>
  <Override PartName="/xl/tables/table286.xml" ContentType="application/vnd.openxmlformats-officedocument.spreadsheetml.table+xml"/>
  <Override PartName="/xl/tables/table287.xml" ContentType="application/vnd.openxmlformats-officedocument.spreadsheetml.table+xml"/>
  <Override PartName="/xl/tables/table288.xml" ContentType="application/vnd.openxmlformats-officedocument.spreadsheetml.table+xml"/>
  <Override PartName="/xl/tables/table289.xml" ContentType="application/vnd.openxmlformats-officedocument.spreadsheetml.table+xml"/>
  <Override PartName="/xl/tables/table290.xml" ContentType="application/vnd.openxmlformats-officedocument.spreadsheetml.table+xml"/>
  <Override PartName="/xl/tables/table291.xml" ContentType="application/vnd.openxmlformats-officedocument.spreadsheetml.table+xml"/>
  <Override PartName="/xl/tables/table292.xml" ContentType="application/vnd.openxmlformats-officedocument.spreadsheetml.table+xml"/>
  <Override PartName="/xl/tables/table293.xml" ContentType="application/vnd.openxmlformats-officedocument.spreadsheetml.table+xml"/>
  <Override PartName="/xl/tables/table294.xml" ContentType="application/vnd.openxmlformats-officedocument.spreadsheetml.table+xml"/>
  <Override PartName="/xl/tables/table295.xml" ContentType="application/vnd.openxmlformats-officedocument.spreadsheetml.table+xml"/>
  <Override PartName="/xl/tables/table296.xml" ContentType="application/vnd.openxmlformats-officedocument.spreadsheetml.table+xml"/>
  <Override PartName="/xl/tables/table297.xml" ContentType="application/vnd.openxmlformats-officedocument.spreadsheetml.table+xml"/>
  <Override PartName="/xl/tables/table298.xml" ContentType="application/vnd.openxmlformats-officedocument.spreadsheetml.table+xml"/>
  <Override PartName="/xl/tables/table299.xml" ContentType="application/vnd.openxmlformats-officedocument.spreadsheetml.table+xml"/>
  <Override PartName="/xl/tables/table300.xml" ContentType="application/vnd.openxmlformats-officedocument.spreadsheetml.table+xml"/>
  <Override PartName="/xl/tables/table301.xml" ContentType="application/vnd.openxmlformats-officedocument.spreadsheetml.table+xml"/>
  <Override PartName="/xl/tables/table302.xml" ContentType="application/vnd.openxmlformats-officedocument.spreadsheetml.table+xml"/>
  <Override PartName="/xl/tables/table303.xml" ContentType="application/vnd.openxmlformats-officedocument.spreadsheetml.table+xml"/>
  <Override PartName="/xl/tables/table304.xml" ContentType="application/vnd.openxmlformats-officedocument.spreadsheetml.table+xml"/>
  <Override PartName="/xl/tables/table305.xml" ContentType="application/vnd.openxmlformats-officedocument.spreadsheetml.table+xml"/>
  <Override PartName="/xl/tables/table306.xml" ContentType="application/vnd.openxmlformats-officedocument.spreadsheetml.table+xml"/>
  <Override PartName="/xl/tables/table307.xml" ContentType="application/vnd.openxmlformats-officedocument.spreadsheetml.table+xml"/>
  <Override PartName="/xl/tables/table308.xml" ContentType="application/vnd.openxmlformats-officedocument.spreadsheetml.table+xml"/>
  <Override PartName="/xl/tables/table309.xml" ContentType="application/vnd.openxmlformats-officedocument.spreadsheetml.table+xml"/>
  <Override PartName="/xl/tables/table310.xml" ContentType="application/vnd.openxmlformats-officedocument.spreadsheetml.table+xml"/>
  <Override PartName="/xl/tables/table311.xml" ContentType="application/vnd.openxmlformats-officedocument.spreadsheetml.table+xml"/>
  <Override PartName="/xl/tables/table312.xml" ContentType="application/vnd.openxmlformats-officedocument.spreadsheetml.table+xml"/>
  <Override PartName="/xl/tables/table313.xml" ContentType="application/vnd.openxmlformats-officedocument.spreadsheetml.table+xml"/>
  <Override PartName="/xl/tables/table314.xml" ContentType="application/vnd.openxmlformats-officedocument.spreadsheetml.table+xml"/>
  <Override PartName="/xl/tables/table315.xml" ContentType="application/vnd.openxmlformats-officedocument.spreadsheetml.table+xml"/>
  <Override PartName="/xl/tables/table316.xml" ContentType="application/vnd.openxmlformats-officedocument.spreadsheetml.table+xml"/>
  <Override PartName="/xl/tables/table317.xml" ContentType="application/vnd.openxmlformats-officedocument.spreadsheetml.table+xml"/>
  <Override PartName="/xl/tables/table318.xml" ContentType="application/vnd.openxmlformats-officedocument.spreadsheetml.table+xml"/>
  <Override PartName="/xl/tables/table319.xml" ContentType="application/vnd.openxmlformats-officedocument.spreadsheetml.table+xml"/>
  <Override PartName="/xl/tables/table320.xml" ContentType="application/vnd.openxmlformats-officedocument.spreadsheetml.table+xml"/>
  <Override PartName="/xl/tables/table321.xml" ContentType="application/vnd.openxmlformats-officedocument.spreadsheetml.table+xml"/>
  <Override PartName="/xl/tables/table322.xml" ContentType="application/vnd.openxmlformats-officedocument.spreadsheetml.table+xml"/>
  <Override PartName="/xl/tables/table323.xml" ContentType="application/vnd.openxmlformats-officedocument.spreadsheetml.table+xml"/>
  <Override PartName="/xl/tables/table324.xml" ContentType="application/vnd.openxmlformats-officedocument.spreadsheetml.table+xml"/>
  <Override PartName="/xl/tables/table325.xml" ContentType="application/vnd.openxmlformats-officedocument.spreadsheetml.table+xml"/>
  <Override PartName="/xl/tables/table326.xml" ContentType="application/vnd.openxmlformats-officedocument.spreadsheetml.table+xml"/>
  <Override PartName="/xl/tables/table327.xml" ContentType="application/vnd.openxmlformats-officedocument.spreadsheetml.table+xml"/>
  <Override PartName="/xl/tables/table328.xml" ContentType="application/vnd.openxmlformats-officedocument.spreadsheetml.table+xml"/>
  <Override PartName="/xl/tables/table329.xml" ContentType="application/vnd.openxmlformats-officedocument.spreadsheetml.table+xml"/>
  <Override PartName="/xl/tables/table330.xml" ContentType="application/vnd.openxmlformats-officedocument.spreadsheetml.table+xml"/>
  <Override PartName="/xl/tables/table331.xml" ContentType="application/vnd.openxmlformats-officedocument.spreadsheetml.table+xml"/>
  <Override PartName="/xl/tables/table332.xml" ContentType="application/vnd.openxmlformats-officedocument.spreadsheetml.table+xml"/>
  <Override PartName="/xl/tables/table333.xml" ContentType="application/vnd.openxmlformats-officedocument.spreadsheetml.table+xml"/>
  <Override PartName="/xl/tables/table334.xml" ContentType="application/vnd.openxmlformats-officedocument.spreadsheetml.table+xml"/>
  <Override PartName="/xl/tables/table335.xml" ContentType="application/vnd.openxmlformats-officedocument.spreadsheetml.table+xml"/>
  <Override PartName="/xl/tables/table336.xml" ContentType="application/vnd.openxmlformats-officedocument.spreadsheetml.table+xml"/>
  <Override PartName="/xl/tables/table337.xml" ContentType="application/vnd.openxmlformats-officedocument.spreadsheetml.table+xml"/>
  <Override PartName="/xl/tables/table338.xml" ContentType="application/vnd.openxmlformats-officedocument.spreadsheetml.table+xml"/>
  <Override PartName="/xl/tables/table339.xml" ContentType="application/vnd.openxmlformats-officedocument.spreadsheetml.table+xml"/>
  <Override PartName="/xl/tables/table340.xml" ContentType="application/vnd.openxmlformats-officedocument.spreadsheetml.table+xml"/>
  <Override PartName="/xl/tables/table341.xml" ContentType="application/vnd.openxmlformats-officedocument.spreadsheetml.table+xml"/>
  <Override PartName="/xl/tables/table342.xml" ContentType="application/vnd.openxmlformats-officedocument.spreadsheetml.table+xml"/>
  <Override PartName="/xl/tables/table343.xml" ContentType="application/vnd.openxmlformats-officedocument.spreadsheetml.table+xml"/>
  <Override PartName="/xl/tables/table344.xml" ContentType="application/vnd.openxmlformats-officedocument.spreadsheetml.table+xml"/>
  <Override PartName="/xl/tables/table345.xml" ContentType="application/vnd.openxmlformats-officedocument.spreadsheetml.table+xml"/>
  <Override PartName="/xl/tables/table346.xml" ContentType="application/vnd.openxmlformats-officedocument.spreadsheetml.table+xml"/>
  <Override PartName="/xl/tables/table347.xml" ContentType="application/vnd.openxmlformats-officedocument.spreadsheetml.table+xml"/>
  <Override PartName="/xl/tables/table348.xml" ContentType="application/vnd.openxmlformats-officedocument.spreadsheetml.table+xml"/>
  <Override PartName="/xl/tables/table349.xml" ContentType="application/vnd.openxmlformats-officedocument.spreadsheetml.table+xml"/>
  <Override PartName="/xl/tables/table350.xml" ContentType="application/vnd.openxmlformats-officedocument.spreadsheetml.table+xml"/>
  <Override PartName="/xl/tables/table351.xml" ContentType="application/vnd.openxmlformats-officedocument.spreadsheetml.table+xml"/>
  <Override PartName="/xl/tables/table352.xml" ContentType="application/vnd.openxmlformats-officedocument.spreadsheetml.table+xml"/>
  <Override PartName="/xl/tables/table353.xml" ContentType="application/vnd.openxmlformats-officedocument.spreadsheetml.table+xml"/>
  <Override PartName="/xl/tables/table354.xml" ContentType="application/vnd.openxmlformats-officedocument.spreadsheetml.table+xml"/>
  <Override PartName="/xl/tables/table355.xml" ContentType="application/vnd.openxmlformats-officedocument.spreadsheetml.table+xml"/>
  <Override PartName="/xl/tables/table356.xml" ContentType="application/vnd.openxmlformats-officedocument.spreadsheetml.table+xml"/>
  <Override PartName="/xl/tables/table357.xml" ContentType="application/vnd.openxmlformats-officedocument.spreadsheetml.table+xml"/>
  <Override PartName="/xl/tables/table358.xml" ContentType="application/vnd.openxmlformats-officedocument.spreadsheetml.table+xml"/>
  <Override PartName="/xl/tables/table359.xml" ContentType="application/vnd.openxmlformats-officedocument.spreadsheetml.table+xml"/>
  <Override PartName="/xl/tables/table360.xml" ContentType="application/vnd.openxmlformats-officedocument.spreadsheetml.table+xml"/>
  <Override PartName="/xl/tables/table361.xml" ContentType="application/vnd.openxmlformats-officedocument.spreadsheetml.table+xml"/>
  <Override PartName="/xl/tables/table362.xml" ContentType="application/vnd.openxmlformats-officedocument.spreadsheetml.table+xml"/>
  <Override PartName="/xl/tables/table363.xml" ContentType="application/vnd.openxmlformats-officedocument.spreadsheetml.table+xml"/>
  <Override PartName="/xl/tables/table364.xml" ContentType="application/vnd.openxmlformats-officedocument.spreadsheetml.table+xml"/>
  <Override PartName="/xl/tables/table365.xml" ContentType="application/vnd.openxmlformats-officedocument.spreadsheetml.table+xml"/>
  <Override PartName="/xl/tables/table366.xml" ContentType="application/vnd.openxmlformats-officedocument.spreadsheetml.table+xml"/>
  <Override PartName="/xl/tables/table367.xml" ContentType="application/vnd.openxmlformats-officedocument.spreadsheetml.table+xml"/>
  <Override PartName="/xl/tables/table368.xml" ContentType="application/vnd.openxmlformats-officedocument.spreadsheetml.table+xml"/>
  <Override PartName="/xl/tables/table369.xml" ContentType="application/vnd.openxmlformats-officedocument.spreadsheetml.table+xml"/>
  <Override PartName="/xl/tables/table370.xml" ContentType="application/vnd.openxmlformats-officedocument.spreadsheetml.table+xml"/>
  <Override PartName="/xl/tables/table371.xml" ContentType="application/vnd.openxmlformats-officedocument.spreadsheetml.table+xml"/>
  <Override PartName="/xl/tables/table372.xml" ContentType="application/vnd.openxmlformats-officedocument.spreadsheetml.table+xml"/>
  <Override PartName="/xl/tables/table373.xml" ContentType="application/vnd.openxmlformats-officedocument.spreadsheetml.table+xml"/>
  <Override PartName="/xl/tables/table374.xml" ContentType="application/vnd.openxmlformats-officedocument.spreadsheetml.table+xml"/>
  <Override PartName="/xl/tables/table375.xml" ContentType="application/vnd.openxmlformats-officedocument.spreadsheetml.table+xml"/>
  <Override PartName="/xl/tables/table376.xml" ContentType="application/vnd.openxmlformats-officedocument.spreadsheetml.table+xml"/>
  <Override PartName="/xl/tables/table377.xml" ContentType="application/vnd.openxmlformats-officedocument.spreadsheetml.table+xml"/>
  <Override PartName="/xl/tables/table378.xml" ContentType="application/vnd.openxmlformats-officedocument.spreadsheetml.table+xml"/>
  <Override PartName="/xl/tables/table379.xml" ContentType="application/vnd.openxmlformats-officedocument.spreadsheetml.table+xml"/>
  <Override PartName="/xl/tables/table380.xml" ContentType="application/vnd.openxmlformats-officedocument.spreadsheetml.table+xml"/>
  <Override PartName="/xl/tables/table381.xml" ContentType="application/vnd.openxmlformats-officedocument.spreadsheetml.table+xml"/>
  <Override PartName="/xl/tables/table382.xml" ContentType="application/vnd.openxmlformats-officedocument.spreadsheetml.table+xml"/>
  <Override PartName="/xl/tables/table383.xml" ContentType="application/vnd.openxmlformats-officedocument.spreadsheetml.table+xml"/>
  <Override PartName="/xl/tables/table384.xml" ContentType="application/vnd.openxmlformats-officedocument.spreadsheetml.table+xml"/>
  <Override PartName="/xl/tables/table385.xml" ContentType="application/vnd.openxmlformats-officedocument.spreadsheetml.table+xml"/>
  <Override PartName="/xl/tables/table386.xml" ContentType="application/vnd.openxmlformats-officedocument.spreadsheetml.table+xml"/>
  <Override PartName="/xl/tables/table387.xml" ContentType="application/vnd.openxmlformats-officedocument.spreadsheetml.table+xml"/>
  <Override PartName="/xl/tables/table388.xml" ContentType="application/vnd.openxmlformats-officedocument.spreadsheetml.table+xml"/>
  <Override PartName="/xl/tables/table389.xml" ContentType="application/vnd.openxmlformats-officedocument.spreadsheetml.table+xml"/>
  <Override PartName="/xl/tables/table390.xml" ContentType="application/vnd.openxmlformats-officedocument.spreadsheetml.table+xml"/>
  <Override PartName="/xl/tables/table391.xml" ContentType="application/vnd.openxmlformats-officedocument.spreadsheetml.table+xml"/>
  <Override PartName="/xl/tables/table392.xml" ContentType="application/vnd.openxmlformats-officedocument.spreadsheetml.table+xml"/>
  <Override PartName="/xl/tables/table393.xml" ContentType="application/vnd.openxmlformats-officedocument.spreadsheetml.table+xml"/>
  <Override PartName="/xl/tables/table394.xml" ContentType="application/vnd.openxmlformats-officedocument.spreadsheetml.table+xml"/>
  <Override PartName="/xl/tables/table395.xml" ContentType="application/vnd.openxmlformats-officedocument.spreadsheetml.table+xml"/>
  <Override PartName="/xl/tables/table396.xml" ContentType="application/vnd.openxmlformats-officedocument.spreadsheetml.table+xml"/>
  <Override PartName="/xl/tables/table397.xml" ContentType="application/vnd.openxmlformats-officedocument.spreadsheetml.table+xml"/>
  <Override PartName="/xl/tables/table398.xml" ContentType="application/vnd.openxmlformats-officedocument.spreadsheetml.table+xml"/>
  <Override PartName="/xl/tables/table399.xml" ContentType="application/vnd.openxmlformats-officedocument.spreadsheetml.table+xml"/>
  <Override PartName="/xl/tables/table400.xml" ContentType="application/vnd.openxmlformats-officedocument.spreadsheetml.table+xml"/>
  <Override PartName="/xl/tables/table401.xml" ContentType="application/vnd.openxmlformats-officedocument.spreadsheetml.table+xml"/>
  <Override PartName="/xl/tables/table402.xml" ContentType="application/vnd.openxmlformats-officedocument.spreadsheetml.table+xml"/>
  <Override PartName="/xl/tables/table403.xml" ContentType="application/vnd.openxmlformats-officedocument.spreadsheetml.table+xml"/>
  <Override PartName="/xl/tables/table404.xml" ContentType="application/vnd.openxmlformats-officedocument.spreadsheetml.table+xml"/>
  <Override PartName="/xl/tables/table405.xml" ContentType="application/vnd.openxmlformats-officedocument.spreadsheetml.table+xml"/>
  <Override PartName="/xl/tables/table406.xml" ContentType="application/vnd.openxmlformats-officedocument.spreadsheetml.table+xml"/>
  <Override PartName="/xl/tables/table407.xml" ContentType="application/vnd.openxmlformats-officedocument.spreadsheetml.table+xml"/>
  <Override PartName="/xl/tables/table408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09.xml" ContentType="application/vnd.openxmlformats-officedocument.spreadsheetml.table+xml"/>
  <Override PartName="/xl/drawings/drawing2.xml" ContentType="application/vnd.openxmlformats-officedocument.drawing+xml"/>
  <Override PartName="/xl/tables/table410.xml" ContentType="application/vnd.openxmlformats-officedocument.spreadsheetml.table+xml"/>
  <Override PartName="/xl/tables/table411.xml" ContentType="application/vnd.openxmlformats-officedocument.spreadsheetml.table+xml"/>
  <Override PartName="/xl/drawings/drawing3.xml" ContentType="application/vnd.openxmlformats-officedocument.drawing+xml"/>
  <Override PartName="/xl/tables/table412.xml" ContentType="application/vnd.openxmlformats-officedocument.spreadsheetml.table+xml"/>
  <Override PartName="/xl/tables/table413.xml" ContentType="application/vnd.openxmlformats-officedocument.spreadsheetml.table+xml"/>
  <Override PartName="/xl/drawings/drawing4.xml" ContentType="application/vnd.openxmlformats-officedocument.drawing+xml"/>
  <Override PartName="/xl/tables/table414.xml" ContentType="application/vnd.openxmlformats-officedocument.spreadsheetml.table+xml"/>
  <Override PartName="/xl/tables/table415.xml" ContentType="application/vnd.openxmlformats-officedocument.spreadsheetml.table+xml"/>
  <Override PartName="/xl/drawings/drawing5.xml" ContentType="application/vnd.openxmlformats-officedocument.drawing+xml"/>
  <Override PartName="/xl/tables/table416.xml" ContentType="application/vnd.openxmlformats-officedocument.spreadsheetml.table+xml"/>
  <Override PartName="/xl/tables/table417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15.xml" ContentType="application/vnd.ms-excel.controlproperties+xml"/>
  <Override PartName="/xl/tables/table418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41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tables/table420.xml" ContentType="application/vnd.openxmlformats-officedocument.spreadsheetml.table+xml"/>
  <Override PartName="/xl/drawings/drawing9.xml" ContentType="application/vnd.openxmlformats-officedocument.drawing+xml"/>
  <Override PartName="/xl/tables/table421.xml" ContentType="application/vnd.openxmlformats-officedocument.spreadsheetml.table+xml"/>
  <Override PartName="/xl/tables/table422.xml" ContentType="application/vnd.openxmlformats-officedocument.spreadsheetml.table+xml"/>
  <Override PartName="/xl/tables/table423.xml" ContentType="application/vnd.openxmlformats-officedocument.spreadsheetml.table+xml"/>
  <Override PartName="/xl/drawings/drawing10.xml" ContentType="application/vnd.openxmlformats-officedocument.drawing+xml"/>
  <Override PartName="/xl/tables/table424.xml" ContentType="application/vnd.openxmlformats-officedocument.spreadsheetml.table+xml"/>
  <Override PartName="/xl/tables/table42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ihs\code\ebs_spread\bin\"/>
    </mc:Choice>
  </mc:AlternateContent>
  <xr:revisionPtr revIDLastSave="0" documentId="13_ncr:1_{D68085A4-67A8-4898-85F9-2A6D1BEDCFCF}" xr6:coauthVersionLast="45" xr6:coauthVersionMax="45" xr10:uidLastSave="{00000000-0000-0000-0000-000000000000}"/>
  <bookViews>
    <workbookView xWindow="-108" yWindow="-108" windowWidth="23256" windowHeight="12576" tabRatio="813" firstSheet="1" activeTab="1" xr2:uid="{DAA936AD-5BF0-425A-A8EF-49858B3BE9B8}"/>
  </bookViews>
  <sheets>
    <sheet name="VSHEET_STOR_7E980E" sheetId="1432" state="hidden" r:id="rId1"/>
    <sheet name="Planning" sheetId="1" r:id="rId2"/>
    <sheet name="t381A146FC75E43518" sheetId="1686" state="hidden" r:id="rId3"/>
    <sheet name="tBCD0360FAB3310B45" sheetId="1687" state="hidden" r:id="rId4"/>
    <sheet name="tD1214D54091AF6D30" sheetId="1688" state="hidden" r:id="rId5"/>
    <sheet name="EbsSheet (Me)" sheetId="1684" r:id="rId6"/>
    <sheet name="Analysis" sheetId="1004" r:id="rId7"/>
    <sheet name="Settings" sheetId="418" r:id="rId8"/>
    <sheet name="Messages" sheetId="1390" r:id="rId9"/>
    <sheet name="Task sheet template" sheetId="5" state="hidden" r:id="rId10"/>
    <sheet name="Version info" sheetId="3" r:id="rId11"/>
    <sheet name="List validation data" sheetId="1689" state="hidden" r:id="rId12"/>
    <sheet name="EbsSheet template" sheetId="440" state="hidden" r:id="rId13"/>
  </sheets>
  <functionGroups builtInGroupCount="19"/>
  <definedNames>
    <definedName name="_Tag_1Vdata">'List validation data'!$B$2:$B$3</definedName>
    <definedName name="_Tag_2Vdata">'List validation data'!$A$2:$A$3</definedName>
    <definedName name="_Tag_3Vdata">#REF!</definedName>
    <definedName name="ContributorVdata">#REF!</definedName>
    <definedName name="Kanban_listVdata">'List validation data'!$C$2:$C$8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1688" l="1"/>
  <c r="B4" i="1688" s="1"/>
  <c r="D17" i="1687"/>
  <c r="B4" i="1687" s="1"/>
  <c r="D17" i="1686"/>
  <c r="L23" i="1686" s="1"/>
  <c r="M23" i="1686" s="1"/>
  <c r="D4739" i="1432"/>
  <c r="L4745" i="1432" s="1"/>
  <c r="M4745" i="1432" s="1"/>
  <c r="D4719" i="1432"/>
  <c r="L4719" i="1432" s="1"/>
  <c r="M4719" i="1432" s="1"/>
  <c r="D4699" i="1432"/>
  <c r="L4699" i="1432" s="1"/>
  <c r="M4699" i="1432" s="1"/>
  <c r="D4679" i="1432"/>
  <c r="B4673" i="1432" s="1"/>
  <c r="D4659" i="1432"/>
  <c r="L4659" i="1432" s="1"/>
  <c r="M4659" i="1432" s="1"/>
  <c r="L20" i="1688" l="1"/>
  <c r="M20" i="1688" s="1"/>
  <c r="L21" i="1688"/>
  <c r="M21" i="1688" s="1"/>
  <c r="B11" i="1688"/>
  <c r="L17" i="1688"/>
  <c r="M17" i="1688" s="1"/>
  <c r="L22" i="1688"/>
  <c r="M22" i="1688" s="1"/>
  <c r="L18" i="1688"/>
  <c r="M18" i="1688" s="1"/>
  <c r="L19" i="1688"/>
  <c r="M19" i="1688" s="1"/>
  <c r="L23" i="1688"/>
  <c r="M23" i="1688" s="1"/>
  <c r="L21" i="1687"/>
  <c r="M21" i="1687" s="1"/>
  <c r="L22" i="1687"/>
  <c r="M22" i="1687" s="1"/>
  <c r="B11" i="1687"/>
  <c r="L17" i="1687"/>
  <c r="M17" i="1687" s="1"/>
  <c r="L18" i="1687"/>
  <c r="M18" i="1687" s="1"/>
  <c r="L19" i="1687"/>
  <c r="M19" i="1687" s="1"/>
  <c r="L23" i="1687"/>
  <c r="M23" i="1687" s="1"/>
  <c r="L20" i="1687"/>
  <c r="M20" i="1687" s="1"/>
  <c r="B4646" i="1432"/>
  <c r="B4706" i="1432"/>
  <c r="B4" i="1686"/>
  <c r="B11" i="1686"/>
  <c r="L20" i="1686"/>
  <c r="M20" i="1686" s="1"/>
  <c r="L17" i="1686"/>
  <c r="M17" i="1686" s="1"/>
  <c r="L21" i="1686"/>
  <c r="M21" i="1686" s="1"/>
  <c r="L18" i="1686"/>
  <c r="M18" i="1686" s="1"/>
  <c r="L22" i="1686"/>
  <c r="M22" i="1686" s="1"/>
  <c r="L19" i="1686"/>
  <c r="M19" i="1686" s="1"/>
  <c r="B4726" i="1432"/>
  <c r="L4742" i="1432"/>
  <c r="M4742" i="1432" s="1"/>
  <c r="L4739" i="1432"/>
  <c r="M4739" i="1432" s="1"/>
  <c r="L4743" i="1432"/>
  <c r="M4743" i="1432" s="1"/>
  <c r="L4744" i="1432"/>
  <c r="M4744" i="1432" s="1"/>
  <c r="L4740" i="1432"/>
  <c r="M4740" i="1432" s="1"/>
  <c r="B4733" i="1432"/>
  <c r="L4741" i="1432"/>
  <c r="M4741" i="1432" s="1"/>
  <c r="B4713" i="1432"/>
  <c r="B4686" i="1432"/>
  <c r="B4693" i="1432"/>
  <c r="B4666" i="1432"/>
  <c r="L4679" i="1432"/>
  <c r="M4679" i="1432" s="1"/>
  <c r="B4653" i="1432"/>
  <c r="D4639" i="1432"/>
  <c r="L4639" i="1432" s="1"/>
  <c r="M4639" i="1432" s="1"/>
  <c r="D4614" i="1432"/>
  <c r="B4601" i="1432" s="1"/>
  <c r="D4589" i="1432"/>
  <c r="B4576" i="1432" s="1"/>
  <c r="D4564" i="1432"/>
  <c r="L4570" i="1432" s="1"/>
  <c r="M4570" i="1432" s="1"/>
  <c r="D4544" i="1432"/>
  <c r="B4538" i="1432" s="1"/>
  <c r="D4519" i="1432"/>
  <c r="B4506" i="1432" s="1"/>
  <c r="D4494" i="1432"/>
  <c r="B4481" i="1432" s="1"/>
  <c r="D4474" i="1432"/>
  <c r="L4474" i="1432" s="1"/>
  <c r="M4474" i="1432" s="1"/>
  <c r="D4449" i="1432"/>
  <c r="L4452" i="1432" s="1"/>
  <c r="M4452" i="1432" s="1"/>
  <c r="D4424" i="1432"/>
  <c r="L4429" i="1432" s="1"/>
  <c r="M4429" i="1432" s="1"/>
  <c r="D4399" i="1432"/>
  <c r="L4405" i="1432" s="1"/>
  <c r="M4405" i="1432" s="1"/>
  <c r="D4379" i="1432"/>
  <c r="L4379" i="1432" s="1"/>
  <c r="M4379" i="1432" s="1"/>
  <c r="D4354" i="1432"/>
  <c r="B4341" i="1432" s="1"/>
  <c r="D4329" i="1432"/>
  <c r="B4316" i="1432" s="1"/>
  <c r="D4309" i="1432"/>
  <c r="L4309" i="1432" s="1"/>
  <c r="M4309" i="1432" s="1"/>
  <c r="D4289" i="1432"/>
  <c r="L4289" i="1432" s="1"/>
  <c r="M4289" i="1432" s="1"/>
  <c r="D4264" i="1432"/>
  <c r="L4270" i="1432" s="1"/>
  <c r="M4270" i="1432" s="1"/>
  <c r="D4239" i="1432"/>
  <c r="B4226" i="1432" s="1"/>
  <c r="D4214" i="1432"/>
  <c r="B4201" i="1432" s="1"/>
  <c r="D4189" i="1432"/>
  <c r="B4176" i="1432" s="1"/>
  <c r="D4169" i="1432"/>
  <c r="L4169" i="1432" s="1"/>
  <c r="M4169" i="1432" s="1"/>
  <c r="D4144" i="1432"/>
  <c r="B4131" i="1432" s="1"/>
  <c r="D4119" i="1432"/>
  <c r="B4106" i="1432" s="1"/>
  <c r="D4094" i="1432"/>
  <c r="B4081" i="1432" s="1"/>
  <c r="D4069" i="1432"/>
  <c r="B4056" i="1432" s="1"/>
  <c r="D4049" i="1432"/>
  <c r="L4049" i="1432" s="1"/>
  <c r="M4049" i="1432" s="1"/>
  <c r="D4024" i="1432"/>
  <c r="B4011" i="1432" s="1"/>
  <c r="D4004" i="1432"/>
  <c r="L4004" i="1432" s="1"/>
  <c r="M4004" i="1432" s="1"/>
  <c r="D3979" i="1432"/>
  <c r="L3982" i="1432" s="1"/>
  <c r="M3982" i="1432" s="1"/>
  <c r="D3954" i="1432"/>
  <c r="L3959" i="1432" s="1"/>
  <c r="M3959" i="1432" s="1"/>
  <c r="D3929" i="1432"/>
  <c r="L3935" i="1432" s="1"/>
  <c r="M3935" i="1432" s="1"/>
  <c r="D3909" i="1432"/>
  <c r="L3909" i="1432" s="1"/>
  <c r="M3909" i="1432" s="1"/>
  <c r="D3884" i="1432"/>
  <c r="L3890" i="1432" s="1"/>
  <c r="M3890" i="1432" s="1"/>
  <c r="D3864" i="1432"/>
  <c r="L3864" i="1432" s="1"/>
  <c r="M3864" i="1432" s="1"/>
  <c r="D3839" i="1432"/>
  <c r="B3826" i="1432" s="1"/>
  <c r="D3814" i="1432"/>
  <c r="L3819" i="1432" s="1"/>
  <c r="M3819" i="1432" s="1"/>
  <c r="D3789" i="1432"/>
  <c r="B3776" i="1432" s="1"/>
  <c r="D3769" i="1432"/>
  <c r="L3769" i="1432" s="1"/>
  <c r="M3769" i="1432" s="1"/>
  <c r="D3744" i="1432"/>
  <c r="B3731" i="1432" s="1"/>
  <c r="D3719" i="1432"/>
  <c r="B3706" i="1432" s="1"/>
  <c r="D3699" i="1432"/>
  <c r="L3699" i="1432" s="1"/>
  <c r="M3699" i="1432" s="1"/>
  <c r="D3674" i="1432"/>
  <c r="B3661" i="1432" s="1"/>
  <c r="D3649" i="1432"/>
  <c r="B3636" i="1432" s="1"/>
  <c r="D3624" i="1432"/>
  <c r="B3611" i="1432" s="1"/>
  <c r="D3599" i="1432"/>
  <c r="B3586" i="1432" s="1"/>
  <c r="D3574" i="1432"/>
  <c r="B3561" i="1432" s="1"/>
  <c r="D3549" i="1432"/>
  <c r="B3536" i="1432" s="1"/>
  <c r="D3524" i="1432"/>
  <c r="B3511" i="1432" s="1"/>
  <c r="D3499" i="1432"/>
  <c r="B3486" i="1432" s="1"/>
  <c r="D3474" i="1432"/>
  <c r="B3461" i="1432" s="1"/>
  <c r="D3454" i="1432"/>
  <c r="L3454" i="1432" s="1"/>
  <c r="M3454" i="1432" s="1"/>
  <c r="D3429" i="1432"/>
  <c r="B3416" i="1432" s="1"/>
  <c r="D3409" i="1432"/>
  <c r="L3409" i="1432" s="1"/>
  <c r="M3409" i="1432" s="1"/>
  <c r="D3384" i="1432"/>
  <c r="B3371" i="1432" s="1"/>
  <c r="D3359" i="1432"/>
  <c r="B3346" i="1432" s="1"/>
  <c r="D3334" i="1432"/>
  <c r="B3321" i="1432" s="1"/>
  <c r="D3309" i="1432"/>
  <c r="B3296" i="1432" s="1"/>
  <c r="D3289" i="1432"/>
  <c r="L3289" i="1432" s="1"/>
  <c r="M3289" i="1432" s="1"/>
  <c r="D3264" i="1432"/>
  <c r="B3251" i="1432" s="1"/>
  <c r="D3244" i="1432"/>
  <c r="L3244" i="1432" s="1"/>
  <c r="M3244" i="1432" s="1"/>
  <c r="D3224" i="1432"/>
  <c r="B3218" i="1432" s="1"/>
  <c r="D3204" i="1432"/>
  <c r="L3204" i="1432" s="1"/>
  <c r="M3204" i="1432" s="1"/>
  <c r="D3179" i="1432"/>
  <c r="L3184" i="1432" s="1"/>
  <c r="M3184" i="1432" s="1"/>
  <c r="D3154" i="1432"/>
  <c r="L3160" i="1432" s="1"/>
  <c r="M3160" i="1432" s="1"/>
  <c r="D3129" i="1432"/>
  <c r="B3116" i="1432" s="1"/>
  <c r="D3104" i="1432"/>
  <c r="B3091" i="1432" s="1"/>
  <c r="D3084" i="1432"/>
  <c r="L3084" i="1432" s="1"/>
  <c r="M3084" i="1432" s="1"/>
  <c r="D3064" i="1432"/>
  <c r="L3064" i="1432" s="1"/>
  <c r="M3064" i="1432" s="1"/>
  <c r="D3039" i="1432"/>
  <c r="L3042" i="1432" s="1"/>
  <c r="M3042" i="1432" s="1"/>
  <c r="D3014" i="1432"/>
  <c r="B3001" i="1432" s="1"/>
  <c r="D2989" i="1432"/>
  <c r="L2994" i="1432" s="1"/>
  <c r="M2994" i="1432" s="1"/>
  <c r="D2969" i="1432"/>
  <c r="L2969" i="1432" s="1"/>
  <c r="M2969" i="1432" s="1"/>
  <c r="D2944" i="1432"/>
  <c r="B2931" i="1432" s="1"/>
  <c r="D2919" i="1432"/>
  <c r="L2924" i="1432" s="1"/>
  <c r="M2924" i="1432" s="1"/>
  <c r="D2894" i="1432"/>
  <c r="B2881" i="1432" s="1"/>
  <c r="D2874" i="1432"/>
  <c r="L2874" i="1432" s="1"/>
  <c r="M2874" i="1432" s="1"/>
  <c r="D2854" i="1432"/>
  <c r="B2841" i="1432" s="1"/>
  <c r="D2834" i="1432"/>
  <c r="L2834" i="1432" s="1"/>
  <c r="M2834" i="1432" s="1"/>
  <c r="D2814" i="1432"/>
  <c r="L2814" i="1432" s="1"/>
  <c r="M2814" i="1432" s="1"/>
  <c r="D2789" i="1432"/>
  <c r="B2776" i="1432" s="1"/>
  <c r="D2769" i="1432"/>
  <c r="L2769" i="1432" s="1"/>
  <c r="M2769" i="1432" s="1"/>
  <c r="D2749" i="1432"/>
  <c r="L2749" i="1432" s="1"/>
  <c r="M2749" i="1432" s="1"/>
  <c r="D2729" i="1432"/>
  <c r="L2729" i="1432" s="1"/>
  <c r="M2729" i="1432" s="1"/>
  <c r="D2709" i="1432"/>
  <c r="L2709" i="1432" s="1"/>
  <c r="M2709" i="1432" s="1"/>
  <c r="D2684" i="1432"/>
  <c r="L2688" i="1432" s="1"/>
  <c r="M2688" i="1432" s="1"/>
  <c r="D2659" i="1432"/>
  <c r="L2665" i="1432" s="1"/>
  <c r="M2665" i="1432" s="1"/>
  <c r="D2639" i="1432"/>
  <c r="B2633" i="1432" s="1"/>
  <c r="D2619" i="1432"/>
  <c r="L2619" i="1432" s="1"/>
  <c r="M2619" i="1432" s="1"/>
  <c r="D2594" i="1432"/>
  <c r="L2599" i="1432" s="1"/>
  <c r="M2599" i="1432" s="1"/>
  <c r="D2569" i="1432"/>
  <c r="B2556" i="1432" s="1"/>
  <c r="D2544" i="1432"/>
  <c r="L2550" i="1432" s="1"/>
  <c r="M2550" i="1432" s="1"/>
  <c r="D2519" i="1432"/>
  <c r="L2524" i="1432" s="1"/>
  <c r="M2524" i="1432" s="1"/>
  <c r="D2499" i="1432"/>
  <c r="L2499" i="1432" s="1"/>
  <c r="M2499" i="1432" s="1"/>
  <c r="D2474" i="1432"/>
  <c r="L2480" i="1432" s="1"/>
  <c r="M2480" i="1432" s="1"/>
  <c r="D2449" i="1432"/>
  <c r="B2436" i="1432" s="1"/>
  <c r="D2424" i="1432"/>
  <c r="B2411" i="1432" s="1"/>
  <c r="D2404" i="1432"/>
  <c r="L2404" i="1432" s="1"/>
  <c r="M2404" i="1432" s="1"/>
  <c r="D2379" i="1432"/>
  <c r="B2366" i="1432" s="1"/>
  <c r="D2354" i="1432"/>
  <c r="B2341" i="1432" s="1"/>
  <c r="D2334" i="1432"/>
  <c r="L2334" i="1432" s="1"/>
  <c r="M2334" i="1432" s="1"/>
  <c r="D2309" i="1432"/>
  <c r="B2296" i="1432" s="1"/>
  <c r="D2289" i="1432"/>
  <c r="L2289" i="1432" s="1"/>
  <c r="M2289" i="1432" s="1"/>
  <c r="D2264" i="1432"/>
  <c r="B2251" i="1432" s="1"/>
  <c r="D2239" i="1432"/>
  <c r="L2245" i="1432" s="1"/>
  <c r="M2245" i="1432" s="1"/>
  <c r="D2219" i="1432"/>
  <c r="L2219" i="1432" s="1"/>
  <c r="M2219" i="1432" s="1"/>
  <c r="D2199" i="1432"/>
  <c r="L2199" i="1432" s="1"/>
  <c r="M2199" i="1432" s="1"/>
  <c r="D2179" i="1432"/>
  <c r="L2179" i="1432" s="1"/>
  <c r="M2179" i="1432" s="1"/>
  <c r="D2154" i="1432"/>
  <c r="B2141" i="1432" s="1"/>
  <c r="D2129" i="1432"/>
  <c r="B2116" i="1432" s="1"/>
  <c r="D2109" i="1432"/>
  <c r="B2103" i="1432" s="1"/>
  <c r="D2084" i="1432"/>
  <c r="B2071" i="1432" s="1"/>
  <c r="D2059" i="1432"/>
  <c r="B2046" i="1432" s="1"/>
  <c r="D2034" i="1432"/>
  <c r="B2021" i="1432" s="1"/>
  <c r="D2009" i="1432"/>
  <c r="L2014" i="1432" s="1"/>
  <c r="M2014" i="1432" s="1"/>
  <c r="D1984" i="1432"/>
  <c r="B1971" i="1432" s="1"/>
  <c r="D1959" i="1432"/>
  <c r="B1946" i="1432" s="1"/>
  <c r="D1939" i="1432"/>
  <c r="L1939" i="1432" s="1"/>
  <c r="M1939" i="1432" s="1"/>
  <c r="D1914" i="1432"/>
  <c r="B1901" i="1432" s="1"/>
  <c r="D1889" i="1432"/>
  <c r="L1895" i="1432" s="1"/>
  <c r="M1895" i="1432" s="1"/>
  <c r="D1869" i="1432"/>
  <c r="L1869" i="1432" s="1"/>
  <c r="M1869" i="1432" s="1"/>
  <c r="D1844" i="1432"/>
  <c r="L1849" i="1432" s="1"/>
  <c r="M1849" i="1432" s="1"/>
  <c r="D1824" i="1432"/>
  <c r="L1824" i="1432" s="1"/>
  <c r="M1824" i="1432" s="1"/>
  <c r="D1799" i="1432"/>
  <c r="B1786" i="1432" s="1"/>
  <c r="D1779" i="1432"/>
  <c r="B1766" i="1432" s="1"/>
  <c r="D1754" i="1432"/>
  <c r="B1741" i="1432" s="1"/>
  <c r="D1729" i="1432"/>
  <c r="L1733" i="1432" s="1"/>
  <c r="M1733" i="1432" s="1"/>
  <c r="D1704" i="1432"/>
  <c r="B1691" i="1432" s="1"/>
  <c r="D1679" i="1432"/>
  <c r="L1682" i="1432" s="1"/>
  <c r="M1682" i="1432" s="1"/>
  <c r="D1654" i="1432"/>
  <c r="B1641" i="1432" s="1"/>
  <c r="D1629" i="1432"/>
  <c r="B1616" i="1432" s="1"/>
  <c r="D1604" i="1432"/>
  <c r="B1591" i="1432" s="1"/>
  <c r="D1579" i="1432"/>
  <c r="B1566" i="1432" s="1"/>
  <c r="D1554" i="1432"/>
  <c r="L1560" i="1432" s="1"/>
  <c r="M1560" i="1432" s="1"/>
  <c r="D1529" i="1432"/>
  <c r="B1516" i="1432" s="1"/>
  <c r="D1504" i="1432"/>
  <c r="B1491" i="1432" s="1"/>
  <c r="D1479" i="1432"/>
  <c r="B1466" i="1432" s="1"/>
  <c r="D1454" i="1432"/>
  <c r="B1441" i="1432" s="1"/>
  <c r="D1429" i="1432"/>
  <c r="B1416" i="1432" s="1"/>
  <c r="D1409" i="1432"/>
  <c r="L1409" i="1432" s="1"/>
  <c r="M1409" i="1432" s="1"/>
  <c r="D1389" i="1432"/>
  <c r="L1389" i="1432" s="1"/>
  <c r="M1389" i="1432" s="1"/>
  <c r="D1364" i="1432"/>
  <c r="B1351" i="1432" s="1"/>
  <c r="D1339" i="1432"/>
  <c r="L1345" i="1432" s="1"/>
  <c r="M1345" i="1432" s="1"/>
  <c r="D1319" i="1432"/>
  <c r="L1319" i="1432" s="1"/>
  <c r="M1319" i="1432" s="1"/>
  <c r="D1294" i="1432"/>
  <c r="B1281" i="1432" s="1"/>
  <c r="D1269" i="1432"/>
  <c r="B1256" i="1432" s="1"/>
  <c r="D1244" i="1432"/>
  <c r="B1231" i="1432" s="1"/>
  <c r="D1224" i="1432"/>
  <c r="L1224" i="1432" s="1"/>
  <c r="M1224" i="1432" s="1"/>
  <c r="D1204" i="1432"/>
  <c r="L1204" i="1432" s="1"/>
  <c r="M1204" i="1432" s="1"/>
  <c r="D1184" i="1432"/>
  <c r="L1184" i="1432" s="1"/>
  <c r="M1184" i="1432" s="1"/>
  <c r="D1159" i="1432"/>
  <c r="B1146" i="1432" s="1"/>
  <c r="D1139" i="1432"/>
  <c r="B1133" i="1432" s="1"/>
  <c r="D1114" i="1432"/>
  <c r="L1119" i="1432" s="1"/>
  <c r="M1119" i="1432" s="1"/>
  <c r="D1089" i="1432"/>
  <c r="B1076" i="1432" s="1"/>
  <c r="D1069" i="1432"/>
  <c r="L1069" i="1432" s="1"/>
  <c r="M1069" i="1432" s="1"/>
  <c r="D1044" i="1432"/>
  <c r="B1031" i="1432" s="1"/>
  <c r="D1019" i="1432"/>
  <c r="B1006" i="1432" s="1"/>
  <c r="D999" i="1432"/>
  <c r="L999" i="1432" s="1"/>
  <c r="M999" i="1432" s="1"/>
  <c r="D974" i="1432"/>
  <c r="B961" i="1432" s="1"/>
  <c r="D949" i="1432"/>
  <c r="L955" i="1432" s="1"/>
  <c r="M955" i="1432" s="1"/>
  <c r="D924" i="1432"/>
  <c r="B911" i="1432" s="1"/>
  <c r="D899" i="1432"/>
  <c r="B886" i="1432" s="1"/>
  <c r="D879" i="1432"/>
  <c r="L879" i="1432" s="1"/>
  <c r="M879" i="1432" s="1"/>
  <c r="D854" i="1432"/>
  <c r="B841" i="1432" s="1"/>
  <c r="D834" i="1432"/>
  <c r="B821" i="1432" s="1"/>
  <c r="D809" i="1432"/>
  <c r="B796" i="1432" s="1"/>
  <c r="D784" i="1432"/>
  <c r="B771" i="1432" s="1"/>
  <c r="D759" i="1432"/>
  <c r="L765" i="1432" s="1"/>
  <c r="M765" i="1432" s="1"/>
  <c r="D739" i="1432"/>
  <c r="L739" i="1432" s="1"/>
  <c r="M739" i="1432" s="1"/>
  <c r="D714" i="1432"/>
  <c r="B701" i="1432" s="1"/>
  <c r="D689" i="1432"/>
  <c r="B676" i="1432" s="1"/>
  <c r="D669" i="1432"/>
  <c r="L669" i="1432" s="1"/>
  <c r="M669" i="1432" s="1"/>
  <c r="D649" i="1432"/>
  <c r="L649" i="1432" s="1"/>
  <c r="M649" i="1432" s="1"/>
  <c r="D629" i="1432"/>
  <c r="B623" i="1432" s="1"/>
  <c r="D604" i="1432"/>
  <c r="B591" i="1432" s="1"/>
  <c r="D584" i="1432"/>
  <c r="L584" i="1432" s="1"/>
  <c r="M584" i="1432" s="1"/>
  <c r="D559" i="1432"/>
  <c r="L564" i="1432" s="1"/>
  <c r="M564" i="1432" s="1"/>
  <c r="D534" i="1432"/>
  <c r="B521" i="1432" s="1"/>
  <c r="D509" i="1432"/>
  <c r="B496" i="1432" s="1"/>
  <c r="D484" i="1432"/>
  <c r="B471" i="1432" s="1"/>
  <c r="D464" i="1432"/>
  <c r="B458" i="1432" s="1"/>
  <c r="D439" i="1432"/>
  <c r="B426" i="1432" s="1"/>
  <c r="D414" i="1432"/>
  <c r="B401" i="1432" s="1"/>
  <c r="D389" i="1432"/>
  <c r="B376" i="1432" s="1"/>
  <c r="D369" i="1432"/>
  <c r="B356" i="1432" s="1"/>
  <c r="D344" i="1432"/>
  <c r="B331" i="1432" s="1"/>
  <c r="D324" i="1432"/>
  <c r="L324" i="1432" s="1"/>
  <c r="M324" i="1432" s="1"/>
  <c r="D304" i="1432"/>
  <c r="B291" i="1432" s="1"/>
  <c r="D279" i="1432"/>
  <c r="B266" i="1432" s="1"/>
  <c r="D254" i="1432"/>
  <c r="B241" i="1432" s="1"/>
  <c r="D229" i="1432"/>
  <c r="B216" i="1432" s="1"/>
  <c r="D204" i="1432"/>
  <c r="B191" i="1432" s="1"/>
  <c r="D179" i="1432"/>
  <c r="B166" i="1432" s="1"/>
  <c r="B4558" i="1432" l="1"/>
  <c r="B4633" i="1432"/>
  <c r="B4626" i="1432"/>
  <c r="B4551" i="1432"/>
  <c r="L4615" i="1432"/>
  <c r="M4615" i="1432" s="1"/>
  <c r="L4619" i="1432"/>
  <c r="M4619" i="1432" s="1"/>
  <c r="B4608" i="1432"/>
  <c r="L4617" i="1432"/>
  <c r="M4617" i="1432" s="1"/>
  <c r="L4614" i="1432"/>
  <c r="M4614" i="1432" s="1"/>
  <c r="L4618" i="1432"/>
  <c r="M4618" i="1432" s="1"/>
  <c r="L4616" i="1432"/>
  <c r="M4616" i="1432" s="1"/>
  <c r="L4620" i="1432"/>
  <c r="M4620" i="1432" s="1"/>
  <c r="L4589" i="1432"/>
  <c r="M4589" i="1432" s="1"/>
  <c r="L4590" i="1432"/>
  <c r="M4590" i="1432" s="1"/>
  <c r="L4591" i="1432"/>
  <c r="M4591" i="1432" s="1"/>
  <c r="L4593" i="1432"/>
  <c r="M4593" i="1432" s="1"/>
  <c r="L4594" i="1432"/>
  <c r="M4594" i="1432" s="1"/>
  <c r="L4595" i="1432"/>
  <c r="M4595" i="1432" s="1"/>
  <c r="B4583" i="1432"/>
  <c r="L4592" i="1432"/>
  <c r="M4592" i="1432" s="1"/>
  <c r="L4564" i="1432"/>
  <c r="M4564" i="1432" s="1"/>
  <c r="L4568" i="1432"/>
  <c r="M4568" i="1432" s="1"/>
  <c r="L4567" i="1432"/>
  <c r="M4567" i="1432" s="1"/>
  <c r="L4565" i="1432"/>
  <c r="M4565" i="1432" s="1"/>
  <c r="L4569" i="1432"/>
  <c r="M4569" i="1432" s="1"/>
  <c r="L4566" i="1432"/>
  <c r="M4566" i="1432" s="1"/>
  <c r="L4544" i="1432"/>
  <c r="M4544" i="1432" s="1"/>
  <c r="B4531" i="1432"/>
  <c r="B4513" i="1432"/>
  <c r="L4519" i="1432"/>
  <c r="M4519" i="1432" s="1"/>
  <c r="L4523" i="1432"/>
  <c r="M4523" i="1432" s="1"/>
  <c r="L4520" i="1432"/>
  <c r="M4520" i="1432" s="1"/>
  <c r="L4524" i="1432"/>
  <c r="M4524" i="1432" s="1"/>
  <c r="L4521" i="1432"/>
  <c r="M4521" i="1432" s="1"/>
  <c r="L4525" i="1432"/>
  <c r="M4525" i="1432" s="1"/>
  <c r="L4522" i="1432"/>
  <c r="M4522" i="1432" s="1"/>
  <c r="B4488" i="1432"/>
  <c r="L4497" i="1432"/>
  <c r="M4497" i="1432" s="1"/>
  <c r="L4494" i="1432"/>
  <c r="M4494" i="1432" s="1"/>
  <c r="L4498" i="1432"/>
  <c r="M4498" i="1432" s="1"/>
  <c r="L4495" i="1432"/>
  <c r="M4495" i="1432" s="1"/>
  <c r="L4499" i="1432"/>
  <c r="M4499" i="1432" s="1"/>
  <c r="L4496" i="1432"/>
  <c r="M4496" i="1432" s="1"/>
  <c r="L4500" i="1432"/>
  <c r="M4500" i="1432" s="1"/>
  <c r="B4461" i="1432"/>
  <c r="B4468" i="1432"/>
  <c r="B4393" i="1432"/>
  <c r="B4436" i="1432"/>
  <c r="L4450" i="1432"/>
  <c r="M4450" i="1432" s="1"/>
  <c r="L4449" i="1432"/>
  <c r="M4449" i="1432" s="1"/>
  <c r="L4451" i="1432"/>
  <c r="M4451" i="1432" s="1"/>
  <c r="L4453" i="1432"/>
  <c r="M4453" i="1432" s="1"/>
  <c r="L4454" i="1432"/>
  <c r="M4454" i="1432" s="1"/>
  <c r="L4455" i="1432"/>
  <c r="M4455" i="1432" s="1"/>
  <c r="B4443" i="1432"/>
  <c r="B4411" i="1432"/>
  <c r="L4426" i="1432"/>
  <c r="M4426" i="1432" s="1"/>
  <c r="L4430" i="1432"/>
  <c r="M4430" i="1432" s="1"/>
  <c r="B4418" i="1432"/>
  <c r="L4427" i="1432"/>
  <c r="M4427" i="1432" s="1"/>
  <c r="L4424" i="1432"/>
  <c r="M4424" i="1432" s="1"/>
  <c r="L4428" i="1432"/>
  <c r="M4428" i="1432" s="1"/>
  <c r="L4425" i="1432"/>
  <c r="M4425" i="1432" s="1"/>
  <c r="B4386" i="1432"/>
  <c r="L4402" i="1432"/>
  <c r="M4402" i="1432" s="1"/>
  <c r="L4399" i="1432"/>
  <c r="M4399" i="1432" s="1"/>
  <c r="L4403" i="1432"/>
  <c r="M4403" i="1432" s="1"/>
  <c r="L4400" i="1432"/>
  <c r="M4400" i="1432" s="1"/>
  <c r="L4404" i="1432"/>
  <c r="M4404" i="1432" s="1"/>
  <c r="L4401" i="1432"/>
  <c r="M4401" i="1432" s="1"/>
  <c r="B4373" i="1432"/>
  <c r="B4366" i="1432"/>
  <c r="L4358" i="1432"/>
  <c r="M4358" i="1432" s="1"/>
  <c r="L4354" i="1432"/>
  <c r="M4354" i="1432" s="1"/>
  <c r="L4356" i="1432"/>
  <c r="M4356" i="1432" s="1"/>
  <c r="L4360" i="1432"/>
  <c r="M4360" i="1432" s="1"/>
  <c r="B4348" i="1432"/>
  <c r="L4357" i="1432"/>
  <c r="M4357" i="1432" s="1"/>
  <c r="L4355" i="1432"/>
  <c r="M4355" i="1432" s="1"/>
  <c r="L4359" i="1432"/>
  <c r="M4359" i="1432" s="1"/>
  <c r="B4323" i="1432"/>
  <c r="L4332" i="1432"/>
  <c r="M4332" i="1432" s="1"/>
  <c r="L4329" i="1432"/>
  <c r="M4329" i="1432" s="1"/>
  <c r="L4333" i="1432"/>
  <c r="M4333" i="1432" s="1"/>
  <c r="L4330" i="1432"/>
  <c r="M4330" i="1432" s="1"/>
  <c r="L4334" i="1432"/>
  <c r="M4334" i="1432" s="1"/>
  <c r="L4331" i="1432"/>
  <c r="M4331" i="1432" s="1"/>
  <c r="L4335" i="1432"/>
  <c r="M4335" i="1432" s="1"/>
  <c r="B4296" i="1432"/>
  <c r="B4303" i="1432"/>
  <c r="B4283" i="1432"/>
  <c r="L4244" i="1432"/>
  <c r="M4244" i="1432" s="1"/>
  <c r="L4268" i="1432"/>
  <c r="M4268" i="1432" s="1"/>
  <c r="L4241" i="1432"/>
  <c r="M4241" i="1432" s="1"/>
  <c r="L4264" i="1432"/>
  <c r="M4264" i="1432" s="1"/>
  <c r="B4276" i="1432"/>
  <c r="B4251" i="1432"/>
  <c r="B4258" i="1432"/>
  <c r="L4267" i="1432"/>
  <c r="M4267" i="1432" s="1"/>
  <c r="L4265" i="1432"/>
  <c r="M4265" i="1432" s="1"/>
  <c r="L4269" i="1432"/>
  <c r="M4269" i="1432" s="1"/>
  <c r="L4266" i="1432"/>
  <c r="M4266" i="1432" s="1"/>
  <c r="L4240" i="1432"/>
  <c r="M4240" i="1432" s="1"/>
  <c r="L4245" i="1432"/>
  <c r="M4245" i="1432" s="1"/>
  <c r="B4233" i="1432"/>
  <c r="L4242" i="1432"/>
  <c r="M4242" i="1432" s="1"/>
  <c r="L4239" i="1432"/>
  <c r="M4239" i="1432" s="1"/>
  <c r="L4243" i="1432"/>
  <c r="M4243" i="1432" s="1"/>
  <c r="B4208" i="1432"/>
  <c r="L4217" i="1432"/>
  <c r="M4217" i="1432" s="1"/>
  <c r="L4214" i="1432"/>
  <c r="M4214" i="1432" s="1"/>
  <c r="L4218" i="1432"/>
  <c r="M4218" i="1432" s="1"/>
  <c r="L4215" i="1432"/>
  <c r="M4215" i="1432" s="1"/>
  <c r="L4219" i="1432"/>
  <c r="M4219" i="1432" s="1"/>
  <c r="L4216" i="1432"/>
  <c r="M4216" i="1432" s="1"/>
  <c r="L4220" i="1432"/>
  <c r="M4220" i="1432" s="1"/>
  <c r="B4183" i="1432"/>
  <c r="L4192" i="1432"/>
  <c r="M4192" i="1432" s="1"/>
  <c r="L4189" i="1432"/>
  <c r="M4189" i="1432" s="1"/>
  <c r="L4193" i="1432"/>
  <c r="M4193" i="1432" s="1"/>
  <c r="L4190" i="1432"/>
  <c r="M4190" i="1432" s="1"/>
  <c r="L4194" i="1432"/>
  <c r="M4194" i="1432" s="1"/>
  <c r="L4191" i="1432"/>
  <c r="M4191" i="1432" s="1"/>
  <c r="L4195" i="1432"/>
  <c r="M4195" i="1432" s="1"/>
  <c r="B4156" i="1432"/>
  <c r="B4163" i="1432"/>
  <c r="L4144" i="1432"/>
  <c r="M4144" i="1432" s="1"/>
  <c r="B4138" i="1432"/>
  <c r="L4147" i="1432"/>
  <c r="M4147" i="1432" s="1"/>
  <c r="L4148" i="1432"/>
  <c r="M4148" i="1432" s="1"/>
  <c r="L4145" i="1432"/>
  <c r="M4145" i="1432" s="1"/>
  <c r="L4149" i="1432"/>
  <c r="M4149" i="1432" s="1"/>
  <c r="L4146" i="1432"/>
  <c r="M4146" i="1432" s="1"/>
  <c r="L4150" i="1432"/>
  <c r="M4150" i="1432" s="1"/>
  <c r="B4113" i="1432"/>
  <c r="L4122" i="1432"/>
  <c r="M4122" i="1432" s="1"/>
  <c r="L4123" i="1432"/>
  <c r="M4123" i="1432" s="1"/>
  <c r="L4119" i="1432"/>
  <c r="M4119" i="1432" s="1"/>
  <c r="L4120" i="1432"/>
  <c r="M4120" i="1432" s="1"/>
  <c r="L4124" i="1432"/>
  <c r="M4124" i="1432" s="1"/>
  <c r="L4125" i="1432"/>
  <c r="M4125" i="1432" s="1"/>
  <c r="L4121" i="1432"/>
  <c r="M4121" i="1432" s="1"/>
  <c r="B4088" i="1432"/>
  <c r="L4097" i="1432"/>
  <c r="M4097" i="1432" s="1"/>
  <c r="L4094" i="1432"/>
  <c r="M4094" i="1432" s="1"/>
  <c r="L4098" i="1432"/>
  <c r="M4098" i="1432" s="1"/>
  <c r="L4095" i="1432"/>
  <c r="M4095" i="1432" s="1"/>
  <c r="L4099" i="1432"/>
  <c r="M4099" i="1432" s="1"/>
  <c r="L4100" i="1432"/>
  <c r="M4100" i="1432" s="1"/>
  <c r="L4096" i="1432"/>
  <c r="M4096" i="1432" s="1"/>
  <c r="B4036" i="1432"/>
  <c r="B4063" i="1432"/>
  <c r="L4072" i="1432"/>
  <c r="M4072" i="1432" s="1"/>
  <c r="L4069" i="1432"/>
  <c r="M4069" i="1432" s="1"/>
  <c r="L4073" i="1432"/>
  <c r="M4073" i="1432" s="1"/>
  <c r="L4070" i="1432"/>
  <c r="M4070" i="1432" s="1"/>
  <c r="L4074" i="1432"/>
  <c r="M4074" i="1432" s="1"/>
  <c r="L4071" i="1432"/>
  <c r="M4071" i="1432" s="1"/>
  <c r="L4075" i="1432"/>
  <c r="M4075" i="1432" s="1"/>
  <c r="B4043" i="1432"/>
  <c r="B4018" i="1432"/>
  <c r="L4027" i="1432"/>
  <c r="M4027" i="1432" s="1"/>
  <c r="L4024" i="1432"/>
  <c r="M4024" i="1432" s="1"/>
  <c r="L4028" i="1432"/>
  <c r="M4028" i="1432" s="1"/>
  <c r="L4025" i="1432"/>
  <c r="M4025" i="1432" s="1"/>
  <c r="L4029" i="1432"/>
  <c r="M4029" i="1432" s="1"/>
  <c r="L4026" i="1432"/>
  <c r="M4026" i="1432" s="1"/>
  <c r="L4030" i="1432"/>
  <c r="M4030" i="1432" s="1"/>
  <c r="B3991" i="1432"/>
  <c r="B3998" i="1432"/>
  <c r="B3973" i="1432"/>
  <c r="L3981" i="1432"/>
  <c r="M3981" i="1432" s="1"/>
  <c r="L3983" i="1432"/>
  <c r="M3983" i="1432" s="1"/>
  <c r="B3941" i="1432"/>
  <c r="L3984" i="1432"/>
  <c r="M3984" i="1432" s="1"/>
  <c r="L3985" i="1432"/>
  <c r="M3985" i="1432" s="1"/>
  <c r="L3956" i="1432"/>
  <c r="M3956" i="1432" s="1"/>
  <c r="B3966" i="1432"/>
  <c r="B3896" i="1432"/>
  <c r="L3979" i="1432"/>
  <c r="M3979" i="1432" s="1"/>
  <c r="L3980" i="1432"/>
  <c r="M3980" i="1432" s="1"/>
  <c r="B3903" i="1432"/>
  <c r="L3960" i="1432"/>
  <c r="M3960" i="1432" s="1"/>
  <c r="B3948" i="1432"/>
  <c r="L3957" i="1432"/>
  <c r="M3957" i="1432" s="1"/>
  <c r="L3954" i="1432"/>
  <c r="M3954" i="1432" s="1"/>
  <c r="L3958" i="1432"/>
  <c r="M3958" i="1432" s="1"/>
  <c r="L3955" i="1432"/>
  <c r="M3955" i="1432" s="1"/>
  <c r="B3916" i="1432"/>
  <c r="B3923" i="1432"/>
  <c r="L3929" i="1432"/>
  <c r="M3929" i="1432" s="1"/>
  <c r="L3933" i="1432"/>
  <c r="M3933" i="1432" s="1"/>
  <c r="L3932" i="1432"/>
  <c r="M3932" i="1432" s="1"/>
  <c r="L3930" i="1432"/>
  <c r="M3930" i="1432" s="1"/>
  <c r="L3934" i="1432"/>
  <c r="M3934" i="1432" s="1"/>
  <c r="L3931" i="1432"/>
  <c r="M3931" i="1432" s="1"/>
  <c r="B3801" i="1432"/>
  <c r="L3816" i="1432"/>
  <c r="M3816" i="1432" s="1"/>
  <c r="L3820" i="1432"/>
  <c r="M3820" i="1432" s="1"/>
  <c r="B3851" i="1432"/>
  <c r="B3871" i="1432"/>
  <c r="B3878" i="1432"/>
  <c r="L3887" i="1432"/>
  <c r="M3887" i="1432" s="1"/>
  <c r="L3884" i="1432"/>
  <c r="M3884" i="1432" s="1"/>
  <c r="L3888" i="1432"/>
  <c r="M3888" i="1432" s="1"/>
  <c r="L3889" i="1432"/>
  <c r="M3889" i="1432" s="1"/>
  <c r="L3885" i="1432"/>
  <c r="M3885" i="1432" s="1"/>
  <c r="L3886" i="1432"/>
  <c r="M3886" i="1432" s="1"/>
  <c r="B3858" i="1432"/>
  <c r="B3833" i="1432"/>
  <c r="L3842" i="1432"/>
  <c r="M3842" i="1432" s="1"/>
  <c r="L3839" i="1432"/>
  <c r="M3839" i="1432" s="1"/>
  <c r="L3843" i="1432"/>
  <c r="M3843" i="1432" s="1"/>
  <c r="L3840" i="1432"/>
  <c r="M3840" i="1432" s="1"/>
  <c r="L3844" i="1432"/>
  <c r="M3844" i="1432" s="1"/>
  <c r="L3841" i="1432"/>
  <c r="M3841" i="1432" s="1"/>
  <c r="L3845" i="1432"/>
  <c r="M3845" i="1432" s="1"/>
  <c r="B3808" i="1432"/>
  <c r="L3817" i="1432"/>
  <c r="M3817" i="1432" s="1"/>
  <c r="L3814" i="1432"/>
  <c r="M3814" i="1432" s="1"/>
  <c r="L3818" i="1432"/>
  <c r="M3818" i="1432" s="1"/>
  <c r="L3815" i="1432"/>
  <c r="M3815" i="1432" s="1"/>
  <c r="B2868" i="1432"/>
  <c r="B3783" i="1432"/>
  <c r="L3792" i="1432"/>
  <c r="M3792" i="1432" s="1"/>
  <c r="L3789" i="1432"/>
  <c r="M3789" i="1432" s="1"/>
  <c r="L3793" i="1432"/>
  <c r="M3793" i="1432" s="1"/>
  <c r="L3790" i="1432"/>
  <c r="M3790" i="1432" s="1"/>
  <c r="L3794" i="1432"/>
  <c r="M3794" i="1432" s="1"/>
  <c r="L3791" i="1432"/>
  <c r="M3791" i="1432" s="1"/>
  <c r="L3795" i="1432"/>
  <c r="M3795" i="1432" s="1"/>
  <c r="B3756" i="1432"/>
  <c r="B3763" i="1432"/>
  <c r="L3747" i="1432"/>
  <c r="M3747" i="1432" s="1"/>
  <c r="L3744" i="1432"/>
  <c r="M3744" i="1432" s="1"/>
  <c r="L3748" i="1432"/>
  <c r="M3748" i="1432" s="1"/>
  <c r="B3738" i="1432"/>
  <c r="L3745" i="1432"/>
  <c r="M3745" i="1432" s="1"/>
  <c r="L3749" i="1432"/>
  <c r="M3749" i="1432" s="1"/>
  <c r="L3746" i="1432"/>
  <c r="M3746" i="1432" s="1"/>
  <c r="L3750" i="1432"/>
  <c r="M3750" i="1432" s="1"/>
  <c r="L3719" i="1432"/>
  <c r="M3719" i="1432" s="1"/>
  <c r="L3723" i="1432"/>
  <c r="M3723" i="1432" s="1"/>
  <c r="L3720" i="1432"/>
  <c r="M3720" i="1432" s="1"/>
  <c r="L3724" i="1432"/>
  <c r="M3724" i="1432" s="1"/>
  <c r="L3722" i="1432"/>
  <c r="M3722" i="1432" s="1"/>
  <c r="L3721" i="1432"/>
  <c r="M3721" i="1432" s="1"/>
  <c r="L3725" i="1432"/>
  <c r="M3725" i="1432" s="1"/>
  <c r="B3713" i="1432"/>
  <c r="B3276" i="1432"/>
  <c r="B3353" i="1432"/>
  <c r="B3686" i="1432"/>
  <c r="B3693" i="1432"/>
  <c r="L3674" i="1432"/>
  <c r="M3674" i="1432" s="1"/>
  <c r="L3678" i="1432"/>
  <c r="M3678" i="1432" s="1"/>
  <c r="L3677" i="1432"/>
  <c r="M3677" i="1432" s="1"/>
  <c r="L3675" i="1432"/>
  <c r="M3675" i="1432" s="1"/>
  <c r="L3679" i="1432"/>
  <c r="M3679" i="1432" s="1"/>
  <c r="L3676" i="1432"/>
  <c r="M3676" i="1432" s="1"/>
  <c r="L3680" i="1432"/>
  <c r="M3680" i="1432" s="1"/>
  <c r="B3668" i="1432"/>
  <c r="B3643" i="1432"/>
  <c r="L3652" i="1432"/>
  <c r="M3652" i="1432" s="1"/>
  <c r="L3649" i="1432"/>
  <c r="M3649" i="1432" s="1"/>
  <c r="L3653" i="1432"/>
  <c r="M3653" i="1432" s="1"/>
  <c r="L3650" i="1432"/>
  <c r="M3650" i="1432" s="1"/>
  <c r="L3654" i="1432"/>
  <c r="M3654" i="1432" s="1"/>
  <c r="L3651" i="1432"/>
  <c r="M3651" i="1432" s="1"/>
  <c r="L3655" i="1432"/>
  <c r="M3655" i="1432" s="1"/>
  <c r="B3618" i="1432"/>
  <c r="L3627" i="1432"/>
  <c r="M3627" i="1432" s="1"/>
  <c r="L3624" i="1432"/>
  <c r="M3624" i="1432" s="1"/>
  <c r="L3628" i="1432"/>
  <c r="M3628" i="1432" s="1"/>
  <c r="L3625" i="1432"/>
  <c r="M3625" i="1432" s="1"/>
  <c r="L3629" i="1432"/>
  <c r="M3629" i="1432" s="1"/>
  <c r="L3626" i="1432"/>
  <c r="M3626" i="1432" s="1"/>
  <c r="L3630" i="1432"/>
  <c r="M3630" i="1432" s="1"/>
  <c r="B3593" i="1432"/>
  <c r="L3599" i="1432"/>
  <c r="M3599" i="1432" s="1"/>
  <c r="L3603" i="1432"/>
  <c r="M3603" i="1432" s="1"/>
  <c r="L3600" i="1432"/>
  <c r="M3600" i="1432" s="1"/>
  <c r="L3604" i="1432"/>
  <c r="M3604" i="1432" s="1"/>
  <c r="L3602" i="1432"/>
  <c r="M3602" i="1432" s="1"/>
  <c r="L3601" i="1432"/>
  <c r="M3601" i="1432" s="1"/>
  <c r="L3605" i="1432"/>
  <c r="M3605" i="1432" s="1"/>
  <c r="B3568" i="1432"/>
  <c r="L3577" i="1432"/>
  <c r="M3577" i="1432" s="1"/>
  <c r="L3578" i="1432"/>
  <c r="M3578" i="1432" s="1"/>
  <c r="L3574" i="1432"/>
  <c r="M3574" i="1432" s="1"/>
  <c r="L3575" i="1432"/>
  <c r="M3575" i="1432" s="1"/>
  <c r="L3579" i="1432"/>
  <c r="M3579" i="1432" s="1"/>
  <c r="L3576" i="1432"/>
  <c r="M3576" i="1432" s="1"/>
  <c r="L3580" i="1432"/>
  <c r="M3580" i="1432" s="1"/>
  <c r="B3543" i="1432"/>
  <c r="L3552" i="1432"/>
  <c r="M3552" i="1432" s="1"/>
  <c r="L3549" i="1432"/>
  <c r="M3549" i="1432" s="1"/>
  <c r="L3553" i="1432"/>
  <c r="M3553" i="1432" s="1"/>
  <c r="L3550" i="1432"/>
  <c r="M3550" i="1432" s="1"/>
  <c r="L3554" i="1432"/>
  <c r="M3554" i="1432" s="1"/>
  <c r="L3551" i="1432"/>
  <c r="M3551" i="1432" s="1"/>
  <c r="L3555" i="1432"/>
  <c r="M3555" i="1432" s="1"/>
  <c r="L3524" i="1432"/>
  <c r="M3524" i="1432" s="1"/>
  <c r="L3528" i="1432"/>
  <c r="M3528" i="1432" s="1"/>
  <c r="B3518" i="1432"/>
  <c r="L3525" i="1432"/>
  <c r="M3525" i="1432" s="1"/>
  <c r="L3529" i="1432"/>
  <c r="M3529" i="1432" s="1"/>
  <c r="L3527" i="1432"/>
  <c r="M3527" i="1432" s="1"/>
  <c r="L3526" i="1432"/>
  <c r="M3526" i="1432" s="1"/>
  <c r="L3530" i="1432"/>
  <c r="M3530" i="1432" s="1"/>
  <c r="B3441" i="1432"/>
  <c r="B3448" i="1432"/>
  <c r="L3499" i="1432"/>
  <c r="M3499" i="1432" s="1"/>
  <c r="L3503" i="1432"/>
  <c r="M3503" i="1432" s="1"/>
  <c r="B3493" i="1432"/>
  <c r="L3500" i="1432"/>
  <c r="M3500" i="1432" s="1"/>
  <c r="L3504" i="1432"/>
  <c r="M3504" i="1432" s="1"/>
  <c r="L3501" i="1432"/>
  <c r="M3501" i="1432" s="1"/>
  <c r="L3505" i="1432"/>
  <c r="M3505" i="1432" s="1"/>
  <c r="L3502" i="1432"/>
  <c r="M3502" i="1432" s="1"/>
  <c r="L3474" i="1432"/>
  <c r="M3474" i="1432" s="1"/>
  <c r="L3478" i="1432"/>
  <c r="M3478" i="1432" s="1"/>
  <c r="L3477" i="1432"/>
  <c r="M3477" i="1432" s="1"/>
  <c r="L3475" i="1432"/>
  <c r="M3475" i="1432" s="1"/>
  <c r="L3479" i="1432"/>
  <c r="M3479" i="1432" s="1"/>
  <c r="L3476" i="1432"/>
  <c r="M3476" i="1432" s="1"/>
  <c r="L3480" i="1432"/>
  <c r="M3480" i="1432" s="1"/>
  <c r="B3468" i="1432"/>
  <c r="B3423" i="1432"/>
  <c r="L3432" i="1432"/>
  <c r="M3432" i="1432" s="1"/>
  <c r="L3433" i="1432"/>
  <c r="M3433" i="1432" s="1"/>
  <c r="L3429" i="1432"/>
  <c r="M3429" i="1432" s="1"/>
  <c r="L3430" i="1432"/>
  <c r="M3430" i="1432" s="1"/>
  <c r="L3434" i="1432"/>
  <c r="M3434" i="1432" s="1"/>
  <c r="L3431" i="1432"/>
  <c r="M3431" i="1432" s="1"/>
  <c r="L3435" i="1432"/>
  <c r="M3435" i="1432" s="1"/>
  <c r="L3337" i="1432"/>
  <c r="M3337" i="1432" s="1"/>
  <c r="B3403" i="1432"/>
  <c r="B3328" i="1432"/>
  <c r="B3396" i="1432"/>
  <c r="B3378" i="1432"/>
  <c r="L3387" i="1432"/>
  <c r="M3387" i="1432" s="1"/>
  <c r="L3388" i="1432"/>
  <c r="M3388" i="1432" s="1"/>
  <c r="L3384" i="1432"/>
  <c r="M3384" i="1432" s="1"/>
  <c r="L3385" i="1432"/>
  <c r="M3385" i="1432" s="1"/>
  <c r="L3389" i="1432"/>
  <c r="M3389" i="1432" s="1"/>
  <c r="L3386" i="1432"/>
  <c r="M3386" i="1432" s="1"/>
  <c r="L3390" i="1432"/>
  <c r="M3390" i="1432" s="1"/>
  <c r="L3362" i="1432"/>
  <c r="M3362" i="1432" s="1"/>
  <c r="L3359" i="1432"/>
  <c r="M3359" i="1432" s="1"/>
  <c r="L3363" i="1432"/>
  <c r="M3363" i="1432" s="1"/>
  <c r="L3360" i="1432"/>
  <c r="M3360" i="1432" s="1"/>
  <c r="L3364" i="1432"/>
  <c r="M3364" i="1432" s="1"/>
  <c r="L3361" i="1432"/>
  <c r="M3361" i="1432" s="1"/>
  <c r="L3365" i="1432"/>
  <c r="M3365" i="1432" s="1"/>
  <c r="L3334" i="1432"/>
  <c r="M3334" i="1432" s="1"/>
  <c r="L3338" i="1432"/>
  <c r="M3338" i="1432" s="1"/>
  <c r="L3335" i="1432"/>
  <c r="M3335" i="1432" s="1"/>
  <c r="L3339" i="1432"/>
  <c r="M3339" i="1432" s="1"/>
  <c r="L3336" i="1432"/>
  <c r="M3336" i="1432" s="1"/>
  <c r="L3340" i="1432"/>
  <c r="M3340" i="1432" s="1"/>
  <c r="L3181" i="1432"/>
  <c r="M3181" i="1432" s="1"/>
  <c r="L3180" i="1432"/>
  <c r="M3180" i="1432" s="1"/>
  <c r="B3191" i="1432"/>
  <c r="B3303" i="1432"/>
  <c r="B3198" i="1432"/>
  <c r="L3312" i="1432"/>
  <c r="M3312" i="1432" s="1"/>
  <c r="B3141" i="1432"/>
  <c r="L3309" i="1432"/>
  <c r="M3309" i="1432" s="1"/>
  <c r="L3313" i="1432"/>
  <c r="M3313" i="1432" s="1"/>
  <c r="L3310" i="1432"/>
  <c r="M3310" i="1432" s="1"/>
  <c r="L3314" i="1432"/>
  <c r="M3314" i="1432" s="1"/>
  <c r="L3311" i="1432"/>
  <c r="M3311" i="1432" s="1"/>
  <c r="L3315" i="1432"/>
  <c r="M3315" i="1432" s="1"/>
  <c r="B3283" i="1432"/>
  <c r="L3264" i="1432"/>
  <c r="M3264" i="1432" s="1"/>
  <c r="L3268" i="1432"/>
  <c r="M3268" i="1432" s="1"/>
  <c r="L3267" i="1432"/>
  <c r="M3267" i="1432" s="1"/>
  <c r="L3265" i="1432"/>
  <c r="M3265" i="1432" s="1"/>
  <c r="L3269" i="1432"/>
  <c r="M3269" i="1432" s="1"/>
  <c r="B3258" i="1432"/>
  <c r="L3266" i="1432"/>
  <c r="M3266" i="1432" s="1"/>
  <c r="L3270" i="1432"/>
  <c r="M3270" i="1432" s="1"/>
  <c r="B3231" i="1432"/>
  <c r="B3238" i="1432"/>
  <c r="L3179" i="1432"/>
  <c r="M3179" i="1432" s="1"/>
  <c r="L3224" i="1432"/>
  <c r="M3224" i="1432" s="1"/>
  <c r="L3044" i="1432"/>
  <c r="M3044" i="1432" s="1"/>
  <c r="L3154" i="1432"/>
  <c r="M3154" i="1432" s="1"/>
  <c r="L3182" i="1432"/>
  <c r="M3182" i="1432" s="1"/>
  <c r="B3058" i="1432"/>
  <c r="L3158" i="1432"/>
  <c r="M3158" i="1432" s="1"/>
  <c r="L3183" i="1432"/>
  <c r="M3183" i="1432" s="1"/>
  <c r="B3166" i="1432"/>
  <c r="L3185" i="1432"/>
  <c r="M3185" i="1432" s="1"/>
  <c r="B3173" i="1432"/>
  <c r="B3211" i="1432"/>
  <c r="B3148" i="1432"/>
  <c r="L3157" i="1432"/>
  <c r="M3157" i="1432" s="1"/>
  <c r="L3155" i="1432"/>
  <c r="M3155" i="1432" s="1"/>
  <c r="L3159" i="1432"/>
  <c r="M3159" i="1432" s="1"/>
  <c r="L3156" i="1432"/>
  <c r="M3156" i="1432" s="1"/>
  <c r="B2848" i="1432"/>
  <c r="L3041" i="1432"/>
  <c r="M3041" i="1432" s="1"/>
  <c r="L2991" i="1432"/>
  <c r="M2991" i="1432" s="1"/>
  <c r="B3026" i="1432"/>
  <c r="L2921" i="1432"/>
  <c r="M2921" i="1432" s="1"/>
  <c r="L3039" i="1432"/>
  <c r="M3039" i="1432" s="1"/>
  <c r="L3040" i="1432"/>
  <c r="M3040" i="1432" s="1"/>
  <c r="B3123" i="1432"/>
  <c r="L3132" i="1432"/>
  <c r="M3132" i="1432" s="1"/>
  <c r="L3133" i="1432"/>
  <c r="M3133" i="1432" s="1"/>
  <c r="L3130" i="1432"/>
  <c r="M3130" i="1432" s="1"/>
  <c r="L3134" i="1432"/>
  <c r="M3134" i="1432" s="1"/>
  <c r="L3129" i="1432"/>
  <c r="M3129" i="1432" s="1"/>
  <c r="L3131" i="1432"/>
  <c r="M3131" i="1432" s="1"/>
  <c r="L3135" i="1432"/>
  <c r="M3135" i="1432" s="1"/>
  <c r="B3098" i="1432"/>
  <c r="L3107" i="1432"/>
  <c r="M3107" i="1432" s="1"/>
  <c r="L3104" i="1432"/>
  <c r="M3104" i="1432" s="1"/>
  <c r="L3108" i="1432"/>
  <c r="M3108" i="1432" s="1"/>
  <c r="L3105" i="1432"/>
  <c r="M3105" i="1432" s="1"/>
  <c r="L3109" i="1432"/>
  <c r="M3109" i="1432" s="1"/>
  <c r="L3106" i="1432"/>
  <c r="M3106" i="1432" s="1"/>
  <c r="L3110" i="1432"/>
  <c r="M3110" i="1432" s="1"/>
  <c r="B3071" i="1432"/>
  <c r="B3078" i="1432"/>
  <c r="B3051" i="1432"/>
  <c r="L2989" i="1432"/>
  <c r="M2989" i="1432" s="1"/>
  <c r="L2925" i="1432"/>
  <c r="M2925" i="1432" s="1"/>
  <c r="L2993" i="1432"/>
  <c r="M2993" i="1432" s="1"/>
  <c r="L3043" i="1432"/>
  <c r="M3043" i="1432" s="1"/>
  <c r="L2995" i="1432"/>
  <c r="M2995" i="1432" s="1"/>
  <c r="B2956" i="1432"/>
  <c r="L3045" i="1432"/>
  <c r="M3045" i="1432" s="1"/>
  <c r="B2763" i="1432"/>
  <c r="B2976" i="1432"/>
  <c r="B3033" i="1432"/>
  <c r="B3008" i="1432"/>
  <c r="L3017" i="1432"/>
  <c r="M3017" i="1432" s="1"/>
  <c r="L3014" i="1432"/>
  <c r="M3014" i="1432" s="1"/>
  <c r="L3018" i="1432"/>
  <c r="M3018" i="1432" s="1"/>
  <c r="L3015" i="1432"/>
  <c r="M3015" i="1432" s="1"/>
  <c r="L3019" i="1432"/>
  <c r="M3019" i="1432" s="1"/>
  <c r="L3016" i="1432"/>
  <c r="M3016" i="1432" s="1"/>
  <c r="L3020" i="1432"/>
  <c r="M3020" i="1432" s="1"/>
  <c r="B2983" i="1432"/>
  <c r="L2992" i="1432"/>
  <c r="M2992" i="1432" s="1"/>
  <c r="L2990" i="1432"/>
  <c r="M2990" i="1432" s="1"/>
  <c r="B2963" i="1432"/>
  <c r="B2703" i="1432"/>
  <c r="B2861" i="1432"/>
  <c r="B2938" i="1432"/>
  <c r="L2945" i="1432"/>
  <c r="M2945" i="1432" s="1"/>
  <c r="L2947" i="1432"/>
  <c r="M2947" i="1432" s="1"/>
  <c r="B2906" i="1432"/>
  <c r="L2944" i="1432"/>
  <c r="M2944" i="1432" s="1"/>
  <c r="L2948" i="1432"/>
  <c r="M2948" i="1432" s="1"/>
  <c r="L2949" i="1432"/>
  <c r="M2949" i="1432" s="1"/>
  <c r="L2946" i="1432"/>
  <c r="M2946" i="1432" s="1"/>
  <c r="L2950" i="1432"/>
  <c r="M2950" i="1432" s="1"/>
  <c r="B2913" i="1432"/>
  <c r="L2922" i="1432"/>
  <c r="M2922" i="1432" s="1"/>
  <c r="L2919" i="1432"/>
  <c r="M2919" i="1432" s="1"/>
  <c r="L2923" i="1432"/>
  <c r="M2923" i="1432" s="1"/>
  <c r="L2920" i="1432"/>
  <c r="M2920" i="1432" s="1"/>
  <c r="L2894" i="1432"/>
  <c r="M2894" i="1432" s="1"/>
  <c r="L2898" i="1432"/>
  <c r="M2898" i="1432" s="1"/>
  <c r="B2888" i="1432"/>
  <c r="L2899" i="1432"/>
  <c r="M2899" i="1432" s="1"/>
  <c r="L2895" i="1432"/>
  <c r="M2895" i="1432" s="1"/>
  <c r="L2897" i="1432"/>
  <c r="M2897" i="1432" s="1"/>
  <c r="L2896" i="1432"/>
  <c r="M2896" i="1432" s="1"/>
  <c r="L2900" i="1432"/>
  <c r="M2900" i="1432" s="1"/>
  <c r="L2639" i="1432"/>
  <c r="M2639" i="1432" s="1"/>
  <c r="B2626" i="1432"/>
  <c r="L2854" i="1432"/>
  <c r="M2854" i="1432" s="1"/>
  <c r="B2821" i="1432"/>
  <c r="B2828" i="1432"/>
  <c r="B2801" i="1432"/>
  <c r="B2808" i="1432"/>
  <c r="B2783" i="1432"/>
  <c r="L2792" i="1432"/>
  <c r="M2792" i="1432" s="1"/>
  <c r="L2793" i="1432"/>
  <c r="M2793" i="1432" s="1"/>
  <c r="L2790" i="1432"/>
  <c r="M2790" i="1432" s="1"/>
  <c r="L2794" i="1432"/>
  <c r="M2794" i="1432" s="1"/>
  <c r="L2789" i="1432"/>
  <c r="M2789" i="1432" s="1"/>
  <c r="L2791" i="1432"/>
  <c r="M2791" i="1432" s="1"/>
  <c r="L2795" i="1432"/>
  <c r="M2795" i="1432" s="1"/>
  <c r="B2716" i="1432"/>
  <c r="B2756" i="1432"/>
  <c r="B2696" i="1432"/>
  <c r="B2736" i="1432"/>
  <c r="B2743" i="1432"/>
  <c r="B2723" i="1432"/>
  <c r="L2686" i="1432"/>
  <c r="M2686" i="1432" s="1"/>
  <c r="L2687" i="1432"/>
  <c r="M2687" i="1432" s="1"/>
  <c r="L2685" i="1432"/>
  <c r="M2685" i="1432" s="1"/>
  <c r="L2689" i="1432"/>
  <c r="M2689" i="1432" s="1"/>
  <c r="L2690" i="1432"/>
  <c r="M2690" i="1432" s="1"/>
  <c r="B2671" i="1432"/>
  <c r="B2233" i="1432"/>
  <c r="B2678" i="1432"/>
  <c r="L2684" i="1432"/>
  <c r="M2684" i="1432" s="1"/>
  <c r="B2653" i="1432"/>
  <c r="L2662" i="1432"/>
  <c r="M2662" i="1432" s="1"/>
  <c r="B2646" i="1432"/>
  <c r="L2663" i="1432"/>
  <c r="M2663" i="1432" s="1"/>
  <c r="L2659" i="1432"/>
  <c r="M2659" i="1432" s="1"/>
  <c r="L2660" i="1432"/>
  <c r="M2660" i="1432" s="1"/>
  <c r="L2664" i="1432"/>
  <c r="M2664" i="1432" s="1"/>
  <c r="L2661" i="1432"/>
  <c r="M2661" i="1432" s="1"/>
  <c r="B2606" i="1432"/>
  <c r="B2613" i="1432"/>
  <c r="B2506" i="1432"/>
  <c r="B2581" i="1432"/>
  <c r="L2519" i="1432"/>
  <c r="M2519" i="1432" s="1"/>
  <c r="L2594" i="1432"/>
  <c r="M2594" i="1432" s="1"/>
  <c r="L2521" i="1432"/>
  <c r="M2521" i="1432" s="1"/>
  <c r="L2596" i="1432"/>
  <c r="M2596" i="1432" s="1"/>
  <c r="L2523" i="1432"/>
  <c r="M2523" i="1432" s="1"/>
  <c r="L2598" i="1432"/>
  <c r="M2598" i="1432" s="1"/>
  <c r="L2525" i="1432"/>
  <c r="M2525" i="1432" s="1"/>
  <c r="L2600" i="1432"/>
  <c r="M2600" i="1432" s="1"/>
  <c r="B2588" i="1432"/>
  <c r="L2597" i="1432"/>
  <c r="M2597" i="1432" s="1"/>
  <c r="L2595" i="1432"/>
  <c r="M2595" i="1432" s="1"/>
  <c r="L2573" i="1432"/>
  <c r="M2573" i="1432" s="1"/>
  <c r="B2563" i="1432"/>
  <c r="L2569" i="1432"/>
  <c r="M2569" i="1432" s="1"/>
  <c r="L2574" i="1432"/>
  <c r="M2574" i="1432" s="1"/>
  <c r="L2572" i="1432"/>
  <c r="M2572" i="1432" s="1"/>
  <c r="L2570" i="1432"/>
  <c r="M2570" i="1432" s="1"/>
  <c r="L2571" i="1432"/>
  <c r="M2571" i="1432" s="1"/>
  <c r="L2575" i="1432"/>
  <c r="M2575" i="1432" s="1"/>
  <c r="B2538" i="1432"/>
  <c r="L2547" i="1432"/>
  <c r="M2547" i="1432" s="1"/>
  <c r="L2544" i="1432"/>
  <c r="M2544" i="1432" s="1"/>
  <c r="L2548" i="1432"/>
  <c r="M2548" i="1432" s="1"/>
  <c r="L2549" i="1432"/>
  <c r="M2549" i="1432" s="1"/>
  <c r="B2531" i="1432"/>
  <c r="L2545" i="1432"/>
  <c r="M2545" i="1432" s="1"/>
  <c r="L2546" i="1432"/>
  <c r="M2546" i="1432" s="1"/>
  <c r="B2513" i="1432"/>
  <c r="L2522" i="1432"/>
  <c r="M2522" i="1432" s="1"/>
  <c r="L2520" i="1432"/>
  <c r="M2520" i="1432" s="1"/>
  <c r="L2244" i="1432"/>
  <c r="M2244" i="1432" s="1"/>
  <c r="B2486" i="1432"/>
  <c r="B2493" i="1432"/>
  <c r="L2475" i="1432"/>
  <c r="M2475" i="1432" s="1"/>
  <c r="B2461" i="1432"/>
  <c r="B2468" i="1432"/>
  <c r="L2477" i="1432"/>
  <c r="M2477" i="1432" s="1"/>
  <c r="L2474" i="1432"/>
  <c r="M2474" i="1432" s="1"/>
  <c r="L2478" i="1432"/>
  <c r="M2478" i="1432" s="1"/>
  <c r="L2479" i="1432"/>
  <c r="M2479" i="1432" s="1"/>
  <c r="L2476" i="1432"/>
  <c r="M2476" i="1432" s="1"/>
  <c r="B2443" i="1432"/>
  <c r="L2449" i="1432"/>
  <c r="M2449" i="1432" s="1"/>
  <c r="L2453" i="1432"/>
  <c r="M2453" i="1432" s="1"/>
  <c r="L2450" i="1432"/>
  <c r="M2450" i="1432" s="1"/>
  <c r="L2454" i="1432"/>
  <c r="M2454" i="1432" s="1"/>
  <c r="L2452" i="1432"/>
  <c r="M2452" i="1432" s="1"/>
  <c r="L2451" i="1432"/>
  <c r="M2451" i="1432" s="1"/>
  <c r="L2455" i="1432"/>
  <c r="M2455" i="1432" s="1"/>
  <c r="L2424" i="1432"/>
  <c r="M2424" i="1432" s="1"/>
  <c r="L2428" i="1432"/>
  <c r="M2428" i="1432" s="1"/>
  <c r="L2425" i="1432"/>
  <c r="M2425" i="1432" s="1"/>
  <c r="L2429" i="1432"/>
  <c r="M2429" i="1432" s="1"/>
  <c r="B2418" i="1432"/>
  <c r="L2427" i="1432"/>
  <c r="M2427" i="1432" s="1"/>
  <c r="L2426" i="1432"/>
  <c r="M2426" i="1432" s="1"/>
  <c r="L2430" i="1432"/>
  <c r="M2430" i="1432" s="1"/>
  <c r="B2391" i="1432"/>
  <c r="B2398" i="1432"/>
  <c r="B2373" i="1432"/>
  <c r="L2382" i="1432"/>
  <c r="M2382" i="1432" s="1"/>
  <c r="L2383" i="1432"/>
  <c r="M2383" i="1432" s="1"/>
  <c r="L2379" i="1432"/>
  <c r="M2379" i="1432" s="1"/>
  <c r="L2380" i="1432"/>
  <c r="M2380" i="1432" s="1"/>
  <c r="L2384" i="1432"/>
  <c r="M2384" i="1432" s="1"/>
  <c r="L2381" i="1432"/>
  <c r="M2381" i="1432" s="1"/>
  <c r="L2385" i="1432"/>
  <c r="M2385" i="1432" s="1"/>
  <c r="L2354" i="1432"/>
  <c r="M2354" i="1432" s="1"/>
  <c r="L2358" i="1432"/>
  <c r="M2358" i="1432" s="1"/>
  <c r="L2355" i="1432"/>
  <c r="M2355" i="1432" s="1"/>
  <c r="L2359" i="1432"/>
  <c r="M2359" i="1432" s="1"/>
  <c r="L2357" i="1432"/>
  <c r="M2357" i="1432" s="1"/>
  <c r="L2356" i="1432"/>
  <c r="M2356" i="1432" s="1"/>
  <c r="L2360" i="1432"/>
  <c r="M2360" i="1432" s="1"/>
  <c r="B2348" i="1432"/>
  <c r="B2321" i="1432"/>
  <c r="B2328" i="1432"/>
  <c r="L2240" i="1432"/>
  <c r="M2240" i="1432" s="1"/>
  <c r="B2186" i="1432"/>
  <c r="B2276" i="1432"/>
  <c r="B2283" i="1432"/>
  <c r="B2226" i="1432"/>
  <c r="B2303" i="1432"/>
  <c r="L2312" i="1432"/>
  <c r="M2312" i="1432" s="1"/>
  <c r="L2313" i="1432"/>
  <c r="M2313" i="1432" s="1"/>
  <c r="L2310" i="1432"/>
  <c r="M2310" i="1432" s="1"/>
  <c r="L2314" i="1432"/>
  <c r="M2314" i="1432" s="1"/>
  <c r="L2309" i="1432"/>
  <c r="M2309" i="1432" s="1"/>
  <c r="L2311" i="1432"/>
  <c r="M2311" i="1432" s="1"/>
  <c r="L2315" i="1432"/>
  <c r="M2315" i="1432" s="1"/>
  <c r="L2267" i="1432"/>
  <c r="M2267" i="1432" s="1"/>
  <c r="L2264" i="1432"/>
  <c r="M2264" i="1432" s="1"/>
  <c r="L2268" i="1432"/>
  <c r="M2268" i="1432" s="1"/>
  <c r="B2258" i="1432"/>
  <c r="L2265" i="1432"/>
  <c r="M2265" i="1432" s="1"/>
  <c r="L2269" i="1432"/>
  <c r="M2269" i="1432" s="1"/>
  <c r="L2266" i="1432"/>
  <c r="M2266" i="1432" s="1"/>
  <c r="L2270" i="1432"/>
  <c r="M2270" i="1432" s="1"/>
  <c r="L2242" i="1432"/>
  <c r="M2242" i="1432" s="1"/>
  <c r="L2239" i="1432"/>
  <c r="M2239" i="1432" s="1"/>
  <c r="L2243" i="1432"/>
  <c r="M2243" i="1432" s="1"/>
  <c r="L2241" i="1432"/>
  <c r="M2241" i="1432" s="1"/>
  <c r="B2173" i="1432"/>
  <c r="B2206" i="1432"/>
  <c r="B2213" i="1432"/>
  <c r="B2193" i="1432"/>
  <c r="B2166" i="1432"/>
  <c r="L2157" i="1432"/>
  <c r="M2157" i="1432" s="1"/>
  <c r="B2148" i="1432"/>
  <c r="L2158" i="1432"/>
  <c r="M2158" i="1432" s="1"/>
  <c r="L2155" i="1432"/>
  <c r="M2155" i="1432" s="1"/>
  <c r="L2159" i="1432"/>
  <c r="M2159" i="1432" s="1"/>
  <c r="L2154" i="1432"/>
  <c r="M2154" i="1432" s="1"/>
  <c r="L2156" i="1432"/>
  <c r="M2156" i="1432" s="1"/>
  <c r="L2160" i="1432"/>
  <c r="M2160" i="1432" s="1"/>
  <c r="B1926" i="1432"/>
  <c r="L2061" i="1432"/>
  <c r="M2061" i="1432" s="1"/>
  <c r="L2109" i="1432"/>
  <c r="M2109" i="1432" s="1"/>
  <c r="L2012" i="1432"/>
  <c r="M2012" i="1432" s="1"/>
  <c r="L2129" i="1432"/>
  <c r="M2129" i="1432" s="1"/>
  <c r="L2133" i="1432"/>
  <c r="M2133" i="1432" s="1"/>
  <c r="B2123" i="1432"/>
  <c r="L2134" i="1432"/>
  <c r="M2134" i="1432" s="1"/>
  <c r="L2132" i="1432"/>
  <c r="M2132" i="1432" s="1"/>
  <c r="L2131" i="1432"/>
  <c r="M2131" i="1432" s="1"/>
  <c r="L2135" i="1432"/>
  <c r="M2135" i="1432" s="1"/>
  <c r="L2130" i="1432"/>
  <c r="M2130" i="1432" s="1"/>
  <c r="B2096" i="1432"/>
  <c r="L2087" i="1432"/>
  <c r="M2087" i="1432" s="1"/>
  <c r="L2088" i="1432"/>
  <c r="M2088" i="1432" s="1"/>
  <c r="L2089" i="1432"/>
  <c r="M2089" i="1432" s="1"/>
  <c r="L2084" i="1432"/>
  <c r="M2084" i="1432" s="1"/>
  <c r="L2085" i="1432"/>
  <c r="M2085" i="1432" s="1"/>
  <c r="B2078" i="1432"/>
  <c r="L2086" i="1432"/>
  <c r="M2086" i="1432" s="1"/>
  <c r="L2090" i="1432"/>
  <c r="M2090" i="1432" s="1"/>
  <c r="L2062" i="1432"/>
  <c r="M2062" i="1432" s="1"/>
  <c r="L2059" i="1432"/>
  <c r="M2059" i="1432" s="1"/>
  <c r="L2063" i="1432"/>
  <c r="M2063" i="1432" s="1"/>
  <c r="B2053" i="1432"/>
  <c r="L2060" i="1432"/>
  <c r="M2060" i="1432" s="1"/>
  <c r="L2064" i="1432"/>
  <c r="M2064" i="1432" s="1"/>
  <c r="L2065" i="1432"/>
  <c r="M2065" i="1432" s="1"/>
  <c r="B1996" i="1432"/>
  <c r="B2003" i="1432"/>
  <c r="L2011" i="1432"/>
  <c r="M2011" i="1432" s="1"/>
  <c r="L2015" i="1432"/>
  <c r="M2015" i="1432" s="1"/>
  <c r="B2028" i="1432"/>
  <c r="L2037" i="1432"/>
  <c r="M2037" i="1432" s="1"/>
  <c r="L2034" i="1432"/>
  <c r="M2034" i="1432" s="1"/>
  <c r="L2038" i="1432"/>
  <c r="M2038" i="1432" s="1"/>
  <c r="L2035" i="1432"/>
  <c r="M2035" i="1432" s="1"/>
  <c r="L2039" i="1432"/>
  <c r="M2039" i="1432" s="1"/>
  <c r="L2036" i="1432"/>
  <c r="M2036" i="1432" s="1"/>
  <c r="L2040" i="1432"/>
  <c r="M2040" i="1432" s="1"/>
  <c r="L2009" i="1432"/>
  <c r="M2009" i="1432" s="1"/>
  <c r="L2013" i="1432"/>
  <c r="M2013" i="1432" s="1"/>
  <c r="L2010" i="1432"/>
  <c r="M2010" i="1432" s="1"/>
  <c r="L1988" i="1432"/>
  <c r="M1988" i="1432" s="1"/>
  <c r="L1984" i="1432"/>
  <c r="M1984" i="1432" s="1"/>
  <c r="L1985" i="1432"/>
  <c r="M1985" i="1432" s="1"/>
  <c r="L1989" i="1432"/>
  <c r="M1989" i="1432" s="1"/>
  <c r="B1978" i="1432"/>
  <c r="L1986" i="1432"/>
  <c r="M1986" i="1432" s="1"/>
  <c r="L1990" i="1432"/>
  <c r="M1990" i="1432" s="1"/>
  <c r="L1987" i="1432"/>
  <c r="M1987" i="1432" s="1"/>
  <c r="L1959" i="1432"/>
  <c r="M1959" i="1432" s="1"/>
  <c r="L1963" i="1432"/>
  <c r="M1963" i="1432" s="1"/>
  <c r="L1960" i="1432"/>
  <c r="M1960" i="1432" s="1"/>
  <c r="L1964" i="1432"/>
  <c r="M1964" i="1432" s="1"/>
  <c r="B1953" i="1432"/>
  <c r="L1961" i="1432"/>
  <c r="M1961" i="1432" s="1"/>
  <c r="L1965" i="1432"/>
  <c r="M1965" i="1432" s="1"/>
  <c r="L1962" i="1432"/>
  <c r="M1962" i="1432" s="1"/>
  <c r="B1773" i="1432"/>
  <c r="L1679" i="1432"/>
  <c r="M1679" i="1432" s="1"/>
  <c r="L1779" i="1432"/>
  <c r="M1779" i="1432" s="1"/>
  <c r="L1683" i="1432"/>
  <c r="M1683" i="1432" s="1"/>
  <c r="L1684" i="1432"/>
  <c r="M1684" i="1432" s="1"/>
  <c r="B1933" i="1432"/>
  <c r="B1831" i="1432"/>
  <c r="L1846" i="1432"/>
  <c r="M1846" i="1432" s="1"/>
  <c r="B1908" i="1432"/>
  <c r="L1917" i="1432"/>
  <c r="M1917" i="1432" s="1"/>
  <c r="L1918" i="1432"/>
  <c r="M1918" i="1432" s="1"/>
  <c r="L1915" i="1432"/>
  <c r="M1915" i="1432" s="1"/>
  <c r="L1919" i="1432"/>
  <c r="M1919" i="1432" s="1"/>
  <c r="L1914" i="1432"/>
  <c r="M1914" i="1432" s="1"/>
  <c r="L1916" i="1432"/>
  <c r="M1916" i="1432" s="1"/>
  <c r="L1920" i="1432"/>
  <c r="M1920" i="1432" s="1"/>
  <c r="B1876" i="1432"/>
  <c r="B1883" i="1432"/>
  <c r="L1893" i="1432"/>
  <c r="M1893" i="1432" s="1"/>
  <c r="L1890" i="1432"/>
  <c r="M1890" i="1432" s="1"/>
  <c r="L1894" i="1432"/>
  <c r="M1894" i="1432" s="1"/>
  <c r="L1892" i="1432"/>
  <c r="M1892" i="1432" s="1"/>
  <c r="L1889" i="1432"/>
  <c r="M1889" i="1432" s="1"/>
  <c r="L1891" i="1432"/>
  <c r="M1891" i="1432" s="1"/>
  <c r="B1856" i="1432"/>
  <c r="B1863" i="1432"/>
  <c r="B1811" i="1432"/>
  <c r="L1735" i="1432"/>
  <c r="M1735" i="1432" s="1"/>
  <c r="B1818" i="1432"/>
  <c r="L1850" i="1432"/>
  <c r="M1850" i="1432" s="1"/>
  <c r="B1838" i="1432"/>
  <c r="L1847" i="1432"/>
  <c r="M1847" i="1432" s="1"/>
  <c r="L1844" i="1432"/>
  <c r="M1844" i="1432" s="1"/>
  <c r="L1848" i="1432"/>
  <c r="M1848" i="1432" s="1"/>
  <c r="L1845" i="1432"/>
  <c r="M1845" i="1432" s="1"/>
  <c r="L1802" i="1432"/>
  <c r="M1802" i="1432" s="1"/>
  <c r="L1803" i="1432"/>
  <c r="M1803" i="1432" s="1"/>
  <c r="B1793" i="1432"/>
  <c r="L1799" i="1432"/>
  <c r="M1799" i="1432" s="1"/>
  <c r="L1800" i="1432"/>
  <c r="M1800" i="1432" s="1"/>
  <c r="L1804" i="1432"/>
  <c r="M1804" i="1432" s="1"/>
  <c r="L1801" i="1432"/>
  <c r="M1801" i="1432" s="1"/>
  <c r="L1805" i="1432"/>
  <c r="M1805" i="1432" s="1"/>
  <c r="L1685" i="1432"/>
  <c r="M1685" i="1432" s="1"/>
  <c r="B1666" i="1432"/>
  <c r="L1756" i="1432"/>
  <c r="M1756" i="1432" s="1"/>
  <c r="B1716" i="1432"/>
  <c r="L1760" i="1432"/>
  <c r="M1760" i="1432" s="1"/>
  <c r="L1680" i="1432"/>
  <c r="M1680" i="1432" s="1"/>
  <c r="L1730" i="1432"/>
  <c r="M1730" i="1432" s="1"/>
  <c r="L1681" i="1432"/>
  <c r="M1681" i="1432" s="1"/>
  <c r="L1731" i="1432"/>
  <c r="M1731" i="1432" s="1"/>
  <c r="L1734" i="1432"/>
  <c r="M1734" i="1432" s="1"/>
  <c r="B1748" i="1432"/>
  <c r="L1757" i="1432"/>
  <c r="M1757" i="1432" s="1"/>
  <c r="L1754" i="1432"/>
  <c r="M1754" i="1432" s="1"/>
  <c r="L1758" i="1432"/>
  <c r="M1758" i="1432" s="1"/>
  <c r="L1755" i="1432"/>
  <c r="M1755" i="1432" s="1"/>
  <c r="L1759" i="1432"/>
  <c r="M1759" i="1432" s="1"/>
  <c r="B1723" i="1432"/>
  <c r="L1732" i="1432"/>
  <c r="M1732" i="1432" s="1"/>
  <c r="L1729" i="1432"/>
  <c r="M1729" i="1432" s="1"/>
  <c r="L1707" i="1432"/>
  <c r="M1707" i="1432" s="1"/>
  <c r="L1705" i="1432"/>
  <c r="M1705" i="1432" s="1"/>
  <c r="L1709" i="1432"/>
  <c r="M1709" i="1432" s="1"/>
  <c r="L1704" i="1432"/>
  <c r="M1704" i="1432" s="1"/>
  <c r="B1698" i="1432"/>
  <c r="L1708" i="1432"/>
  <c r="M1708" i="1432" s="1"/>
  <c r="L1706" i="1432"/>
  <c r="M1706" i="1432" s="1"/>
  <c r="L1710" i="1432"/>
  <c r="M1710" i="1432" s="1"/>
  <c r="B1673" i="1432"/>
  <c r="B1218" i="1432"/>
  <c r="B1648" i="1432"/>
  <c r="L1658" i="1432"/>
  <c r="M1658" i="1432" s="1"/>
  <c r="L1655" i="1432"/>
  <c r="M1655" i="1432" s="1"/>
  <c r="L1659" i="1432"/>
  <c r="M1659" i="1432" s="1"/>
  <c r="L1657" i="1432"/>
  <c r="M1657" i="1432" s="1"/>
  <c r="L1656" i="1432"/>
  <c r="M1656" i="1432" s="1"/>
  <c r="L1660" i="1432"/>
  <c r="M1660" i="1432" s="1"/>
  <c r="L1654" i="1432"/>
  <c r="M1654" i="1432" s="1"/>
  <c r="L1633" i="1432"/>
  <c r="M1633" i="1432" s="1"/>
  <c r="L1632" i="1432"/>
  <c r="M1632" i="1432" s="1"/>
  <c r="L1629" i="1432"/>
  <c r="M1629" i="1432" s="1"/>
  <c r="L1634" i="1432"/>
  <c r="M1634" i="1432" s="1"/>
  <c r="B1623" i="1432"/>
  <c r="L1630" i="1432"/>
  <c r="M1630" i="1432" s="1"/>
  <c r="L1631" i="1432"/>
  <c r="M1631" i="1432" s="1"/>
  <c r="L1635" i="1432"/>
  <c r="M1635" i="1432" s="1"/>
  <c r="L1607" i="1432"/>
  <c r="M1607" i="1432" s="1"/>
  <c r="L1604" i="1432"/>
  <c r="M1604" i="1432" s="1"/>
  <c r="L1608" i="1432"/>
  <c r="M1608" i="1432" s="1"/>
  <c r="B1598" i="1432"/>
  <c r="L1605" i="1432"/>
  <c r="M1605" i="1432" s="1"/>
  <c r="L1609" i="1432"/>
  <c r="M1609" i="1432" s="1"/>
  <c r="L1606" i="1432"/>
  <c r="M1606" i="1432" s="1"/>
  <c r="L1610" i="1432"/>
  <c r="M1610" i="1432" s="1"/>
  <c r="B1573" i="1432"/>
  <c r="L1583" i="1432"/>
  <c r="M1583" i="1432" s="1"/>
  <c r="L1582" i="1432"/>
  <c r="M1582" i="1432" s="1"/>
  <c r="L1579" i="1432"/>
  <c r="M1579" i="1432" s="1"/>
  <c r="L1580" i="1432"/>
  <c r="M1580" i="1432" s="1"/>
  <c r="L1584" i="1432"/>
  <c r="M1584" i="1432" s="1"/>
  <c r="L1581" i="1432"/>
  <c r="M1581" i="1432" s="1"/>
  <c r="L1585" i="1432"/>
  <c r="M1585" i="1432" s="1"/>
  <c r="B1211" i="1432"/>
  <c r="L1557" i="1432"/>
  <c r="M1557" i="1432" s="1"/>
  <c r="L1554" i="1432"/>
  <c r="M1554" i="1432" s="1"/>
  <c r="L1558" i="1432"/>
  <c r="M1558" i="1432" s="1"/>
  <c r="B1548" i="1432"/>
  <c r="L1555" i="1432"/>
  <c r="M1555" i="1432" s="1"/>
  <c r="L1559" i="1432"/>
  <c r="M1559" i="1432" s="1"/>
  <c r="B1541" i="1432"/>
  <c r="L1556" i="1432"/>
  <c r="M1556" i="1432" s="1"/>
  <c r="L1532" i="1432"/>
  <c r="M1532" i="1432" s="1"/>
  <c r="L1533" i="1432"/>
  <c r="M1533" i="1432" s="1"/>
  <c r="L1529" i="1432"/>
  <c r="M1529" i="1432" s="1"/>
  <c r="L1530" i="1432"/>
  <c r="M1530" i="1432" s="1"/>
  <c r="L1534" i="1432"/>
  <c r="M1534" i="1432" s="1"/>
  <c r="L1531" i="1432"/>
  <c r="M1531" i="1432" s="1"/>
  <c r="L1535" i="1432"/>
  <c r="M1535" i="1432" s="1"/>
  <c r="B1523" i="1432"/>
  <c r="B1498" i="1432"/>
  <c r="L1508" i="1432"/>
  <c r="M1508" i="1432" s="1"/>
  <c r="L1509" i="1432"/>
  <c r="M1509" i="1432" s="1"/>
  <c r="L1505" i="1432"/>
  <c r="M1505" i="1432" s="1"/>
  <c r="L1506" i="1432"/>
  <c r="M1506" i="1432" s="1"/>
  <c r="L1510" i="1432"/>
  <c r="M1510" i="1432" s="1"/>
  <c r="L1507" i="1432"/>
  <c r="M1507" i="1432" s="1"/>
  <c r="L1504" i="1432"/>
  <c r="M1504" i="1432" s="1"/>
  <c r="L1482" i="1432"/>
  <c r="M1482" i="1432" s="1"/>
  <c r="L1483" i="1432"/>
  <c r="M1483" i="1432" s="1"/>
  <c r="B1473" i="1432"/>
  <c r="L1479" i="1432"/>
  <c r="M1479" i="1432" s="1"/>
  <c r="L1480" i="1432"/>
  <c r="M1480" i="1432" s="1"/>
  <c r="L1484" i="1432"/>
  <c r="M1484" i="1432" s="1"/>
  <c r="L1481" i="1432"/>
  <c r="M1481" i="1432" s="1"/>
  <c r="L1485" i="1432"/>
  <c r="M1485" i="1432" s="1"/>
  <c r="B1396" i="1432"/>
  <c r="B1403" i="1432"/>
  <c r="B1448" i="1432"/>
  <c r="L1458" i="1432"/>
  <c r="M1458" i="1432" s="1"/>
  <c r="L1457" i="1432"/>
  <c r="M1457" i="1432" s="1"/>
  <c r="L1455" i="1432"/>
  <c r="M1455" i="1432" s="1"/>
  <c r="L1459" i="1432"/>
  <c r="M1459" i="1432" s="1"/>
  <c r="L1454" i="1432"/>
  <c r="M1454" i="1432" s="1"/>
  <c r="L1456" i="1432"/>
  <c r="M1456" i="1432" s="1"/>
  <c r="L1460" i="1432"/>
  <c r="M1460" i="1432" s="1"/>
  <c r="L1430" i="1432"/>
  <c r="M1430" i="1432" s="1"/>
  <c r="L1434" i="1432"/>
  <c r="M1434" i="1432" s="1"/>
  <c r="B1423" i="1432"/>
  <c r="L1429" i="1432"/>
  <c r="M1429" i="1432" s="1"/>
  <c r="L1431" i="1432"/>
  <c r="M1431" i="1432" s="1"/>
  <c r="L1435" i="1432"/>
  <c r="M1435" i="1432" s="1"/>
  <c r="L1432" i="1432"/>
  <c r="M1432" i="1432" s="1"/>
  <c r="L1433" i="1432"/>
  <c r="M1433" i="1432" s="1"/>
  <c r="B1376" i="1432"/>
  <c r="B1383" i="1432"/>
  <c r="B1191" i="1432"/>
  <c r="B1063" i="1432"/>
  <c r="L1367" i="1432"/>
  <c r="M1367" i="1432" s="1"/>
  <c r="L1364" i="1432"/>
  <c r="M1364" i="1432" s="1"/>
  <c r="L1365" i="1432"/>
  <c r="M1365" i="1432" s="1"/>
  <c r="L1369" i="1432"/>
  <c r="M1369" i="1432" s="1"/>
  <c r="L1368" i="1432"/>
  <c r="M1368" i="1432" s="1"/>
  <c r="L1366" i="1432"/>
  <c r="M1366" i="1432" s="1"/>
  <c r="L1370" i="1432"/>
  <c r="M1370" i="1432" s="1"/>
  <c r="B1358" i="1432"/>
  <c r="B1326" i="1432"/>
  <c r="L1343" i="1432"/>
  <c r="M1343" i="1432" s="1"/>
  <c r="B1333" i="1432"/>
  <c r="L1340" i="1432"/>
  <c r="M1340" i="1432" s="1"/>
  <c r="L1344" i="1432"/>
  <c r="M1344" i="1432" s="1"/>
  <c r="L1339" i="1432"/>
  <c r="M1339" i="1432" s="1"/>
  <c r="L1342" i="1432"/>
  <c r="M1342" i="1432" s="1"/>
  <c r="L1341" i="1432"/>
  <c r="M1341" i="1432" s="1"/>
  <c r="B1306" i="1432"/>
  <c r="B1313" i="1432"/>
  <c r="L1297" i="1432"/>
  <c r="M1297" i="1432" s="1"/>
  <c r="L1294" i="1432"/>
  <c r="M1294" i="1432" s="1"/>
  <c r="B1288" i="1432"/>
  <c r="L1298" i="1432"/>
  <c r="M1298" i="1432" s="1"/>
  <c r="L1295" i="1432"/>
  <c r="M1295" i="1432" s="1"/>
  <c r="L1299" i="1432"/>
  <c r="M1299" i="1432" s="1"/>
  <c r="L1296" i="1432"/>
  <c r="M1296" i="1432" s="1"/>
  <c r="L1300" i="1432"/>
  <c r="M1300" i="1432" s="1"/>
  <c r="B1198" i="1432"/>
  <c r="L1139" i="1432"/>
  <c r="M1139" i="1432" s="1"/>
  <c r="L1272" i="1432"/>
  <c r="M1272" i="1432" s="1"/>
  <c r="L1273" i="1432"/>
  <c r="M1273" i="1432" s="1"/>
  <c r="L1274" i="1432"/>
  <c r="M1274" i="1432" s="1"/>
  <c r="L1271" i="1432"/>
  <c r="M1271" i="1432" s="1"/>
  <c r="L1275" i="1432"/>
  <c r="M1275" i="1432" s="1"/>
  <c r="B1263" i="1432"/>
  <c r="L1269" i="1432"/>
  <c r="M1269" i="1432" s="1"/>
  <c r="L1270" i="1432"/>
  <c r="M1270" i="1432" s="1"/>
  <c r="L1248" i="1432"/>
  <c r="M1248" i="1432" s="1"/>
  <c r="L1247" i="1432"/>
  <c r="M1247" i="1432" s="1"/>
  <c r="L1244" i="1432"/>
  <c r="M1244" i="1432" s="1"/>
  <c r="L1245" i="1432"/>
  <c r="M1245" i="1432" s="1"/>
  <c r="L1249" i="1432"/>
  <c r="M1249" i="1432" s="1"/>
  <c r="B1238" i="1432"/>
  <c r="L1246" i="1432"/>
  <c r="M1246" i="1432" s="1"/>
  <c r="L1250" i="1432"/>
  <c r="M1250" i="1432" s="1"/>
  <c r="L1120" i="1432"/>
  <c r="M1120" i="1432" s="1"/>
  <c r="L1048" i="1432"/>
  <c r="M1048" i="1432" s="1"/>
  <c r="L1116" i="1432"/>
  <c r="M1116" i="1432" s="1"/>
  <c r="B1171" i="1432"/>
  <c r="B1101" i="1432"/>
  <c r="B1178" i="1432"/>
  <c r="B1153" i="1432"/>
  <c r="L1162" i="1432"/>
  <c r="M1162" i="1432" s="1"/>
  <c r="L1163" i="1432"/>
  <c r="M1163" i="1432" s="1"/>
  <c r="L1159" i="1432"/>
  <c r="M1159" i="1432" s="1"/>
  <c r="L1160" i="1432"/>
  <c r="M1160" i="1432" s="1"/>
  <c r="L1164" i="1432"/>
  <c r="M1164" i="1432" s="1"/>
  <c r="L1161" i="1432"/>
  <c r="M1161" i="1432" s="1"/>
  <c r="L1165" i="1432"/>
  <c r="M1165" i="1432" s="1"/>
  <c r="B1126" i="1432"/>
  <c r="B1108" i="1432"/>
  <c r="L1117" i="1432"/>
  <c r="M1117" i="1432" s="1"/>
  <c r="L1114" i="1432"/>
  <c r="M1114" i="1432" s="1"/>
  <c r="L1118" i="1432"/>
  <c r="M1118" i="1432" s="1"/>
  <c r="L1115" i="1432"/>
  <c r="M1115" i="1432" s="1"/>
  <c r="B1056" i="1432"/>
  <c r="L1094" i="1432"/>
  <c r="M1094" i="1432" s="1"/>
  <c r="L1093" i="1432"/>
  <c r="M1093" i="1432" s="1"/>
  <c r="L1090" i="1432"/>
  <c r="M1090" i="1432" s="1"/>
  <c r="B1083" i="1432"/>
  <c r="L1091" i="1432"/>
  <c r="M1091" i="1432" s="1"/>
  <c r="L1095" i="1432"/>
  <c r="M1095" i="1432" s="1"/>
  <c r="L1092" i="1432"/>
  <c r="M1092" i="1432" s="1"/>
  <c r="L1089" i="1432"/>
  <c r="M1089" i="1432" s="1"/>
  <c r="L1047" i="1432"/>
  <c r="M1047" i="1432" s="1"/>
  <c r="L1049" i="1432"/>
  <c r="M1049" i="1432" s="1"/>
  <c r="B1038" i="1432"/>
  <c r="L1044" i="1432"/>
  <c r="M1044" i="1432" s="1"/>
  <c r="L1045" i="1432"/>
  <c r="M1045" i="1432" s="1"/>
  <c r="L1046" i="1432"/>
  <c r="M1046" i="1432" s="1"/>
  <c r="L1050" i="1432"/>
  <c r="M1050" i="1432" s="1"/>
  <c r="L1019" i="1432"/>
  <c r="M1019" i="1432" s="1"/>
  <c r="L1023" i="1432"/>
  <c r="M1023" i="1432" s="1"/>
  <c r="L1020" i="1432"/>
  <c r="M1020" i="1432" s="1"/>
  <c r="L1024" i="1432"/>
  <c r="M1024" i="1432" s="1"/>
  <c r="L1022" i="1432"/>
  <c r="M1022" i="1432" s="1"/>
  <c r="B1013" i="1432"/>
  <c r="L1021" i="1432"/>
  <c r="M1021" i="1432" s="1"/>
  <c r="L1025" i="1432"/>
  <c r="M1025" i="1432" s="1"/>
  <c r="B936" i="1432"/>
  <c r="B986" i="1432"/>
  <c r="B993" i="1432"/>
  <c r="B968" i="1432"/>
  <c r="L974" i="1432"/>
  <c r="M974" i="1432" s="1"/>
  <c r="L977" i="1432"/>
  <c r="M977" i="1432" s="1"/>
  <c r="L978" i="1432"/>
  <c r="M978" i="1432" s="1"/>
  <c r="L979" i="1432"/>
  <c r="M979" i="1432" s="1"/>
  <c r="L976" i="1432"/>
  <c r="M976" i="1432" s="1"/>
  <c r="L980" i="1432"/>
  <c r="M980" i="1432" s="1"/>
  <c r="L975" i="1432"/>
  <c r="M975" i="1432" s="1"/>
  <c r="L949" i="1432"/>
  <c r="M949" i="1432" s="1"/>
  <c r="L953" i="1432"/>
  <c r="M953" i="1432" s="1"/>
  <c r="B943" i="1432"/>
  <c r="L950" i="1432"/>
  <c r="M950" i="1432" s="1"/>
  <c r="L954" i="1432"/>
  <c r="M954" i="1432" s="1"/>
  <c r="L952" i="1432"/>
  <c r="M952" i="1432" s="1"/>
  <c r="L951" i="1432"/>
  <c r="M951" i="1432" s="1"/>
  <c r="L924" i="1432"/>
  <c r="M924" i="1432" s="1"/>
  <c r="L929" i="1432"/>
  <c r="M929" i="1432" s="1"/>
  <c r="B918" i="1432"/>
  <c r="L925" i="1432"/>
  <c r="M925" i="1432" s="1"/>
  <c r="L926" i="1432"/>
  <c r="M926" i="1432" s="1"/>
  <c r="L930" i="1432"/>
  <c r="M930" i="1432" s="1"/>
  <c r="L927" i="1432"/>
  <c r="M927" i="1432" s="1"/>
  <c r="L928" i="1432"/>
  <c r="M928" i="1432" s="1"/>
  <c r="B866" i="1432"/>
  <c r="B873" i="1432"/>
  <c r="L904" i="1432"/>
  <c r="M904" i="1432" s="1"/>
  <c r="L902" i="1432"/>
  <c r="M902" i="1432" s="1"/>
  <c r="L900" i="1432"/>
  <c r="M900" i="1432" s="1"/>
  <c r="B893" i="1432"/>
  <c r="L903" i="1432"/>
  <c r="M903" i="1432" s="1"/>
  <c r="L901" i="1432"/>
  <c r="M901" i="1432" s="1"/>
  <c r="L905" i="1432"/>
  <c r="M905" i="1432" s="1"/>
  <c r="L899" i="1432"/>
  <c r="M899" i="1432" s="1"/>
  <c r="L858" i="1432"/>
  <c r="M858" i="1432" s="1"/>
  <c r="L855" i="1432"/>
  <c r="M855" i="1432" s="1"/>
  <c r="L859" i="1432"/>
  <c r="M859" i="1432" s="1"/>
  <c r="B848" i="1432"/>
  <c r="L854" i="1432"/>
  <c r="M854" i="1432" s="1"/>
  <c r="L857" i="1432"/>
  <c r="M857" i="1432" s="1"/>
  <c r="L856" i="1432"/>
  <c r="M856" i="1432" s="1"/>
  <c r="L860" i="1432"/>
  <c r="M860" i="1432" s="1"/>
  <c r="B828" i="1432"/>
  <c r="L834" i="1432"/>
  <c r="M834" i="1432" s="1"/>
  <c r="B803" i="1432"/>
  <c r="L813" i="1432"/>
  <c r="M813" i="1432" s="1"/>
  <c r="L809" i="1432"/>
  <c r="M809" i="1432" s="1"/>
  <c r="L811" i="1432"/>
  <c r="M811" i="1432" s="1"/>
  <c r="L815" i="1432"/>
  <c r="M815" i="1432" s="1"/>
  <c r="L812" i="1432"/>
  <c r="M812" i="1432" s="1"/>
  <c r="L810" i="1432"/>
  <c r="M810" i="1432" s="1"/>
  <c r="L814" i="1432"/>
  <c r="M814" i="1432" s="1"/>
  <c r="L785" i="1432"/>
  <c r="M785" i="1432" s="1"/>
  <c r="L787" i="1432"/>
  <c r="M787" i="1432" s="1"/>
  <c r="L784" i="1432"/>
  <c r="M784" i="1432" s="1"/>
  <c r="L786" i="1432"/>
  <c r="M786" i="1432" s="1"/>
  <c r="L790" i="1432"/>
  <c r="M790" i="1432" s="1"/>
  <c r="B778" i="1432"/>
  <c r="L788" i="1432"/>
  <c r="M788" i="1432" s="1"/>
  <c r="L789" i="1432"/>
  <c r="M789" i="1432" s="1"/>
  <c r="L762" i="1432"/>
  <c r="M762" i="1432" s="1"/>
  <c r="L759" i="1432"/>
  <c r="M759" i="1432" s="1"/>
  <c r="B753" i="1432"/>
  <c r="L764" i="1432"/>
  <c r="M764" i="1432" s="1"/>
  <c r="B746" i="1432"/>
  <c r="L763" i="1432"/>
  <c r="M763" i="1432" s="1"/>
  <c r="L760" i="1432"/>
  <c r="M760" i="1432" s="1"/>
  <c r="L761" i="1432"/>
  <c r="M761" i="1432" s="1"/>
  <c r="B726" i="1432"/>
  <c r="B733" i="1432"/>
  <c r="L717" i="1432"/>
  <c r="M717" i="1432" s="1"/>
  <c r="L718" i="1432"/>
  <c r="M718" i="1432" s="1"/>
  <c r="L719" i="1432"/>
  <c r="M719" i="1432" s="1"/>
  <c r="L714" i="1432"/>
  <c r="M714" i="1432" s="1"/>
  <c r="L716" i="1432"/>
  <c r="M716" i="1432" s="1"/>
  <c r="L720" i="1432"/>
  <c r="M720" i="1432" s="1"/>
  <c r="B708" i="1432"/>
  <c r="L715" i="1432"/>
  <c r="M715" i="1432" s="1"/>
  <c r="B683" i="1432"/>
  <c r="L693" i="1432"/>
  <c r="M693" i="1432" s="1"/>
  <c r="L690" i="1432"/>
  <c r="M690" i="1432" s="1"/>
  <c r="L694" i="1432"/>
  <c r="M694" i="1432" s="1"/>
  <c r="L689" i="1432"/>
  <c r="M689" i="1432" s="1"/>
  <c r="L692" i="1432"/>
  <c r="M692" i="1432" s="1"/>
  <c r="L691" i="1432"/>
  <c r="M691" i="1432" s="1"/>
  <c r="L695" i="1432"/>
  <c r="M695" i="1432" s="1"/>
  <c r="B656" i="1432"/>
  <c r="B663" i="1432"/>
  <c r="B636" i="1432"/>
  <c r="B643" i="1432"/>
  <c r="B571" i="1432"/>
  <c r="B578" i="1432"/>
  <c r="B478" i="1432"/>
  <c r="B616" i="1432"/>
  <c r="L629" i="1432"/>
  <c r="M629" i="1432" s="1"/>
  <c r="B598" i="1432"/>
  <c r="L608" i="1432"/>
  <c r="M608" i="1432" s="1"/>
  <c r="L604" i="1432"/>
  <c r="M604" i="1432" s="1"/>
  <c r="L607" i="1432"/>
  <c r="M607" i="1432" s="1"/>
  <c r="L609" i="1432"/>
  <c r="M609" i="1432" s="1"/>
  <c r="L606" i="1432"/>
  <c r="M606" i="1432" s="1"/>
  <c r="L610" i="1432"/>
  <c r="M610" i="1432" s="1"/>
  <c r="L605" i="1432"/>
  <c r="M605" i="1432" s="1"/>
  <c r="L565" i="1432"/>
  <c r="M565" i="1432" s="1"/>
  <c r="B546" i="1432"/>
  <c r="B553" i="1432"/>
  <c r="L562" i="1432"/>
  <c r="M562" i="1432" s="1"/>
  <c r="L561" i="1432"/>
  <c r="M561" i="1432" s="1"/>
  <c r="L559" i="1432"/>
  <c r="M559" i="1432" s="1"/>
  <c r="L563" i="1432"/>
  <c r="M563" i="1432" s="1"/>
  <c r="L560" i="1432"/>
  <c r="M560" i="1432" s="1"/>
  <c r="B528" i="1432"/>
  <c r="L534" i="1432"/>
  <c r="M534" i="1432" s="1"/>
  <c r="L537" i="1432"/>
  <c r="M537" i="1432" s="1"/>
  <c r="L539" i="1432"/>
  <c r="M539" i="1432" s="1"/>
  <c r="L536" i="1432"/>
  <c r="M536" i="1432" s="1"/>
  <c r="L540" i="1432"/>
  <c r="M540" i="1432" s="1"/>
  <c r="L538" i="1432"/>
  <c r="M538" i="1432" s="1"/>
  <c r="L535" i="1432"/>
  <c r="M535" i="1432" s="1"/>
  <c r="L510" i="1432"/>
  <c r="M510" i="1432" s="1"/>
  <c r="B503" i="1432"/>
  <c r="L513" i="1432"/>
  <c r="M513" i="1432" s="1"/>
  <c r="L514" i="1432"/>
  <c r="M514" i="1432" s="1"/>
  <c r="L515" i="1432"/>
  <c r="M515" i="1432" s="1"/>
  <c r="L512" i="1432"/>
  <c r="M512" i="1432" s="1"/>
  <c r="L509" i="1432"/>
  <c r="M509" i="1432" s="1"/>
  <c r="L511" i="1432"/>
  <c r="M511" i="1432" s="1"/>
  <c r="L488" i="1432"/>
  <c r="M488" i="1432" s="1"/>
  <c r="L485" i="1432"/>
  <c r="M485" i="1432" s="1"/>
  <c r="L489" i="1432"/>
  <c r="M489" i="1432" s="1"/>
  <c r="L486" i="1432"/>
  <c r="M486" i="1432" s="1"/>
  <c r="L490" i="1432"/>
  <c r="M490" i="1432" s="1"/>
  <c r="L487" i="1432"/>
  <c r="M487" i="1432" s="1"/>
  <c r="L484" i="1432"/>
  <c r="M484" i="1432" s="1"/>
  <c r="B451" i="1432"/>
  <c r="L464" i="1432"/>
  <c r="M464" i="1432" s="1"/>
  <c r="L440" i="1432"/>
  <c r="M440" i="1432" s="1"/>
  <c r="L444" i="1432"/>
  <c r="M444" i="1432" s="1"/>
  <c r="L439" i="1432"/>
  <c r="M439" i="1432" s="1"/>
  <c r="B433" i="1432"/>
  <c r="L443" i="1432"/>
  <c r="M443" i="1432" s="1"/>
  <c r="L441" i="1432"/>
  <c r="M441" i="1432" s="1"/>
  <c r="L445" i="1432"/>
  <c r="M445" i="1432" s="1"/>
  <c r="L442" i="1432"/>
  <c r="M442" i="1432" s="1"/>
  <c r="B408" i="1432"/>
  <c r="L418" i="1432"/>
  <c r="M418" i="1432" s="1"/>
  <c r="L419" i="1432"/>
  <c r="M419" i="1432" s="1"/>
  <c r="L415" i="1432"/>
  <c r="M415" i="1432" s="1"/>
  <c r="L416" i="1432"/>
  <c r="M416" i="1432" s="1"/>
  <c r="L420" i="1432"/>
  <c r="M420" i="1432" s="1"/>
  <c r="L417" i="1432"/>
  <c r="M417" i="1432" s="1"/>
  <c r="L414" i="1432"/>
  <c r="M414" i="1432" s="1"/>
  <c r="L392" i="1432"/>
  <c r="M392" i="1432" s="1"/>
  <c r="L389" i="1432"/>
  <c r="M389" i="1432" s="1"/>
  <c r="L390" i="1432"/>
  <c r="M390" i="1432" s="1"/>
  <c r="L394" i="1432"/>
  <c r="M394" i="1432" s="1"/>
  <c r="B383" i="1432"/>
  <c r="L391" i="1432"/>
  <c r="M391" i="1432" s="1"/>
  <c r="L395" i="1432"/>
  <c r="M395" i="1432" s="1"/>
  <c r="L393" i="1432"/>
  <c r="M393" i="1432" s="1"/>
  <c r="B363" i="1432"/>
  <c r="L369" i="1432"/>
  <c r="M369" i="1432" s="1"/>
  <c r="B338" i="1432"/>
  <c r="L344" i="1432"/>
  <c r="M344" i="1432" s="1"/>
  <c r="L347" i="1432"/>
  <c r="M347" i="1432" s="1"/>
  <c r="L348" i="1432"/>
  <c r="M348" i="1432" s="1"/>
  <c r="L345" i="1432"/>
  <c r="M345" i="1432" s="1"/>
  <c r="L346" i="1432"/>
  <c r="M346" i="1432" s="1"/>
  <c r="L350" i="1432"/>
  <c r="M350" i="1432" s="1"/>
  <c r="L349" i="1432"/>
  <c r="M349" i="1432" s="1"/>
  <c r="B311" i="1432"/>
  <c r="B318" i="1432"/>
  <c r="B298" i="1432"/>
  <c r="L304" i="1432"/>
  <c r="M304" i="1432" s="1"/>
  <c r="L284" i="1432"/>
  <c r="M284" i="1432" s="1"/>
  <c r="L279" i="1432"/>
  <c r="M279" i="1432" s="1"/>
  <c r="B273" i="1432"/>
  <c r="L282" i="1432"/>
  <c r="M282" i="1432" s="1"/>
  <c r="L283" i="1432"/>
  <c r="M283" i="1432" s="1"/>
  <c r="L281" i="1432"/>
  <c r="M281" i="1432" s="1"/>
  <c r="L285" i="1432"/>
  <c r="M285" i="1432" s="1"/>
  <c r="L280" i="1432"/>
  <c r="M280" i="1432" s="1"/>
  <c r="L259" i="1432"/>
  <c r="M259" i="1432" s="1"/>
  <c r="B248" i="1432"/>
  <c r="L258" i="1432"/>
  <c r="M258" i="1432" s="1"/>
  <c r="L255" i="1432"/>
  <c r="M255" i="1432" s="1"/>
  <c r="L256" i="1432"/>
  <c r="M256" i="1432" s="1"/>
  <c r="L260" i="1432"/>
  <c r="M260" i="1432" s="1"/>
  <c r="L257" i="1432"/>
  <c r="M257" i="1432" s="1"/>
  <c r="L254" i="1432"/>
  <c r="M254" i="1432" s="1"/>
  <c r="B223" i="1432"/>
  <c r="L229" i="1432"/>
  <c r="M229" i="1432" s="1"/>
  <c r="L232" i="1432"/>
  <c r="M232" i="1432" s="1"/>
  <c r="L230" i="1432"/>
  <c r="M230" i="1432" s="1"/>
  <c r="L233" i="1432"/>
  <c r="M233" i="1432" s="1"/>
  <c r="L234" i="1432"/>
  <c r="M234" i="1432" s="1"/>
  <c r="L231" i="1432"/>
  <c r="M231" i="1432" s="1"/>
  <c r="L235" i="1432"/>
  <c r="M235" i="1432" s="1"/>
  <c r="L208" i="1432"/>
  <c r="M208" i="1432" s="1"/>
  <c r="L207" i="1432"/>
  <c r="M207" i="1432" s="1"/>
  <c r="L209" i="1432"/>
  <c r="M209" i="1432" s="1"/>
  <c r="L205" i="1432"/>
  <c r="M205" i="1432" s="1"/>
  <c r="B198" i="1432"/>
  <c r="L204" i="1432"/>
  <c r="M204" i="1432" s="1"/>
  <c r="L206" i="1432"/>
  <c r="M206" i="1432" s="1"/>
  <c r="L210" i="1432"/>
  <c r="M210" i="1432" s="1"/>
  <c r="L183" i="1432"/>
  <c r="M183" i="1432" s="1"/>
  <c r="L182" i="1432"/>
  <c r="M182" i="1432" s="1"/>
  <c r="L180" i="1432"/>
  <c r="M180" i="1432" s="1"/>
  <c r="L179" i="1432"/>
  <c r="M179" i="1432" s="1"/>
  <c r="L184" i="1432"/>
  <c r="M184" i="1432" s="1"/>
  <c r="L181" i="1432"/>
  <c r="M181" i="1432" s="1"/>
  <c r="L185" i="1432"/>
  <c r="M185" i="1432" s="1"/>
  <c r="B173" i="1432"/>
  <c r="L160" i="1432"/>
  <c r="M160" i="1432" s="1"/>
  <c r="L159" i="1432"/>
  <c r="M159" i="1432" s="1"/>
  <c r="L158" i="1432"/>
  <c r="M158" i="1432" s="1"/>
  <c r="L157" i="1432"/>
  <c r="M157" i="1432" s="1"/>
  <c r="L156" i="1432"/>
  <c r="M156" i="1432" s="1"/>
  <c r="L155" i="1432"/>
  <c r="M155" i="1432" s="1"/>
  <c r="D155" i="1432"/>
  <c r="L154" i="1432"/>
  <c r="M154" i="1432" s="1"/>
  <c r="D154" i="1432"/>
  <c r="B141" i="1432" l="1"/>
  <c r="B148" i="1432"/>
  <c r="D129" i="1432"/>
  <c r="B116" i="1432" s="1"/>
  <c r="D104" i="1432"/>
  <c r="B91" i="1432" s="1"/>
  <c r="D81" i="1432"/>
  <c r="D80" i="1432"/>
  <c r="D79" i="1432"/>
  <c r="L79" i="1432" l="1"/>
  <c r="M79" i="1432" s="1"/>
  <c r="L82" i="1432"/>
  <c r="M82" i="1432" s="1"/>
  <c r="L85" i="1432"/>
  <c r="M85" i="1432" s="1"/>
  <c r="L129" i="1432"/>
  <c r="M129" i="1432" s="1"/>
  <c r="L133" i="1432"/>
  <c r="M133" i="1432" s="1"/>
  <c r="L134" i="1432"/>
  <c r="M134" i="1432" s="1"/>
  <c r="L132" i="1432"/>
  <c r="M132" i="1432" s="1"/>
  <c r="L131" i="1432"/>
  <c r="M131" i="1432" s="1"/>
  <c r="L135" i="1432"/>
  <c r="M135" i="1432" s="1"/>
  <c r="B123" i="1432"/>
  <c r="L130" i="1432"/>
  <c r="M130" i="1432" s="1"/>
  <c r="B98" i="1432"/>
  <c r="L107" i="1432"/>
  <c r="M107" i="1432" s="1"/>
  <c r="L108" i="1432"/>
  <c r="M108" i="1432" s="1"/>
  <c r="L109" i="1432"/>
  <c r="M109" i="1432" s="1"/>
  <c r="L110" i="1432"/>
  <c r="M110" i="1432" s="1"/>
  <c r="L104" i="1432"/>
  <c r="M104" i="1432" s="1"/>
  <c r="L105" i="1432"/>
  <c r="M105" i="1432" s="1"/>
  <c r="L106" i="1432"/>
  <c r="M106" i="1432" s="1"/>
  <c r="L83" i="1432"/>
  <c r="M83" i="1432" s="1"/>
  <c r="L80" i="1432"/>
  <c r="M80" i="1432" s="1"/>
  <c r="L84" i="1432"/>
  <c r="M84" i="1432" s="1"/>
  <c r="B66" i="1432"/>
  <c r="B73" i="1432"/>
  <c r="L81" i="1432"/>
  <c r="M81" i="1432" s="1"/>
  <c r="D59" i="1432"/>
  <c r="D58" i="1432"/>
  <c r="D38" i="1432"/>
  <c r="B32" i="1432" s="1"/>
  <c r="D18" i="1432"/>
  <c r="B12" i="1432" s="1"/>
  <c r="B45" i="1432" l="1"/>
  <c r="B52" i="1432"/>
  <c r="B25" i="1432"/>
  <c r="B5" i="1432"/>
  <c r="D17" i="5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tc={C64A2CD4-C5C9-489D-AFCB-A29C41C62E0A}</author>
  </authors>
  <commentList>
    <comment ref="P18" authorId="0" shapeId="0" xr:uid="{C64A2CD4-C5C9-489D-AFCB-A29C41C62E0A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time estimate of the remaining time</t>
      </text>
    </comment>
  </commentList>
</comments>
</file>

<file path=xl/sharedStrings.xml><?xml version="1.0" encoding="utf-8"?>
<sst xmlns="http://schemas.openxmlformats.org/spreadsheetml/2006/main" count="13690" uniqueCount="1277">
  <si>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</si>
  <si>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</si>
  <si>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</si>
  <si>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</si>
  <si>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</si>
  <si>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</si>
  <si>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</si>
  <si>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</si>
  <si>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</si>
  <si>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</si>
  <si>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</si>
  <si>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</si>
  <si>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</si>
  <si>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</si>
  <si>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</si>
  <si>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</si>
  <si>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</si>
  <si>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</si>
  <si>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</si>
  <si>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</si>
  <si>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</si>
  <si>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</si>
  <si>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</si>
  <si>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</si>
  <si>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</si>
  <si>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</si>
  <si>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</si>
  <si>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</si>
  <si>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</si>
  <si>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</si>
  <si>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</si>
  <si>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</si>
  <si>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</si>
  <si>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</si>
  <si>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</si>
  <si>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</si>
  <si>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</si>
  <si>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</si>
  <si>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</si>
  <si>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</si>
  <si>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</si>
  <si>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</si>
  <si>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</si>
  <si>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</si>
  <si>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</si>
  <si>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</si>
  <si>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</si>
  <si>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</si>
  <si>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</si>
  <si>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</si>
  <si>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</si>
  <si>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</si>
  <si>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</si>
  <si>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</si>
  <si>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</si>
  <si>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</si>
  <si>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</si>
  <si>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</si>
  <si>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</si>
  <si>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</si>
  <si>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</si>
  <si>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</si>
  <si>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</si>
  <si>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</si>
  <si>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</si>
  <si>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</si>
  <si>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</si>
  <si>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</si>
  <si>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</si>
  <si>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</si>
  <si>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</si>
  <si>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</si>
  <si>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</si>
  <si>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</si>
  <si>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</si>
  <si>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</si>
  <si>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</si>
  <si>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</si>
  <si>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</si>
  <si>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</si>
  <si>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</si>
  <si>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</si>
  <si>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</si>
  <si>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</si>
  <si>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</si>
  <si>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</si>
  <si>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</si>
  <si>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</si>
  <si>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</si>
  <si>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</si>
  <si>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</si>
  <si>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</si>
  <si>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</si>
  <si>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</si>
  <si>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</si>
  <si>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</si>
  <si>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</si>
  <si>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</si>
  <si>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</si>
  <si>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</si>
  <si>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</si>
  <si>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</si>
  <si>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</si>
  <si>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</si>
  <si>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</si>
  <si>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</si>
  <si>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</si>
  <si>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</si>
  <si>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</si>
  <si>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</si>
  <si>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</si>
  <si>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</si>
  <si>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</si>
  <si>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</si>
  <si>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</si>
  <si>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</si>
  <si>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</si>
  <si>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</si>
  <si>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</si>
  <si>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</si>
  <si>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</si>
  <si>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</si>
  <si>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</si>
  <si>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</si>
  <si>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</si>
  <si>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</si>
  <si>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</si>
  <si>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</si>
  <si>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</si>
  <si>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</si>
  <si>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</si>
  <si>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</si>
  <si>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</si>
  <si>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Meta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</si>
  <si>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</si>
  <si>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</si>
  <si>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</si>
  <si>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</si>
  <si>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</si>
  <si>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</si>
  <si>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</si>
  <si>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</si>
  <si>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</si>
  <si>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</si>
  <si>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EBS 80% date</t>
  </si>
  <si>
    <t>#3</t>
  </si>
  <si>
    <t>#4</t>
  </si>
  <si>
    <t>#5</t>
  </si>
  <si>
    <t>v1.200</t>
  </si>
  <si>
    <t>\\my.mail@provider.com\Calendar</t>
  </si>
  <si>
    <t>0000000038A1BB1005E5101AA1BB058002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</si>
  <si>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00000000F593AB5CD8A4614C8B14C1E4C84EFB870100D67807C5E37E4B47A653892DF42F73BD00000000010D0000</t>
  </si>
  <si>
    <t>TryCatch handler now handles all kind of errors. Users do not have to enter debugging mode</t>
  </si>
  <si>
    <t xml:space="preserve">Change calendar standard: Use optional events as 'busy'-time </t>
  </si>
  <si>
    <t>Clipboard is now cleared when data is copied</t>
  </si>
  <si>
    <t>Improved stability and error handling</t>
  </si>
  <si>
    <t>Long-running operations can be stopped via progress bar</t>
  </si>
  <si>
    <t>Implement feature to auto-format task list</t>
  </si>
  <si>
    <t>Tasks now have  a creation date internally stored for extended analysis</t>
  </si>
  <si>
    <t>Change appearance of task list: Add more space and prevent long fields textoverflow with spacer columns</t>
  </si>
  <si>
    <t>Progress bars indicate state of long-running operations</t>
  </si>
  <si>
    <t>Task order is now preserved when tasks are exported and imported again</t>
  </si>
  <si>
    <t>Time of meta tasks can now be shared: Track time on one meta task and split time on all visible tasks afterwards </t>
  </si>
  <si>
    <t>t5D6D3C17A703516B0</t>
  </si>
  <si>
    <t>.</t>
  </si>
  <si>
    <t>Buy strawberries</t>
  </si>
  <si>
    <t>t56897537B7D0EB0ED</t>
  </si>
  <si>
    <t>Buy apples</t>
  </si>
  <si>
    <t>tE95456FD28B05D24F</t>
  </si>
  <si>
    <t>#000003</t>
  </si>
  <si>
    <t>Buy soy beans</t>
  </si>
  <si>
    <t>t17D002B34366981BE</t>
  </si>
  <si>
    <t>#000004</t>
  </si>
  <si>
    <t>Have a chat with the store owner</t>
  </si>
  <si>
    <t>fruits</t>
  </si>
  <si>
    <t>{%Tag 1}</t>
  </si>
  <si>
    <t>{fruits}</t>
  </si>
  <si>
    <t>other</t>
  </si>
  <si>
    <t>{other}</t>
  </si>
  <si>
    <t>important</t>
  </si>
  <si>
    <t>{%Tag 1;%Tag 2}</t>
  </si>
  <si>
    <t>{fruits;important}</t>
  </si>
  <si>
    <t>{%Tag 2}</t>
  </si>
  <si>
    <t>{important}</t>
  </si>
  <si>
    <t>SetPlainDelta()</t>
  </si>
  <si>
    <t>SetCalendarDelta()</t>
  </si>
  <si>
    <t>tEB5070FA0A50A1350</t>
  </si>
  <si>
    <t>#000005</t>
  </si>
  <si>
    <t>Find shopping cart</t>
  </si>
  <si>
    <t>VIRTUAL_SHEET_NAME</t>
  </si>
  <si>
    <t>VIRTUAL_SHEET_RANGE_ROWS</t>
  </si>
  <si>
    <t>VIRTUAL_SHEET_RANGE_COLS</t>
  </si>
  <si>
    <t>#000006</t>
  </si>
  <si>
    <t>#000007</t>
  </si>
  <si>
    <t>t27A0206F6E4FA6801</t>
  </si>
  <si>
    <t>Buy rice</t>
  </si>
  <si>
    <t>t75D774E7EE48EF5A9</t>
  </si>
  <si>
    <t>Take a milk carton</t>
  </si>
  <si>
    <t>Watch best before note</t>
  </si>
  <si>
    <t>{0.050;0.200;0.350;0.500;0.650;0.800;0.950}</t>
  </si>
  <si>
    <t>#000008</t>
  </si>
  <si>
    <t>&lt;ENTER_ESTIMATE&gt;</t>
  </si>
  <si>
    <t>1name</t>
  </si>
  <si>
    <t>t96242F8ABD9774FF5</t>
  </si>
  <si>
    <t>tC718C9CBC8AF8EC74</t>
  </si>
  <si>
    <t>#000009</t>
  </si>
  <si>
    <t>2name</t>
  </si>
  <si>
    <t>t4B129644900EA769B</t>
  </si>
  <si>
    <t>#000010</t>
  </si>
  <si>
    <t>3name</t>
  </si>
  <si>
    <t>t5B08A217137C366E3</t>
  </si>
  <si>
    <t>#000011</t>
  </si>
  <si>
    <t>4name</t>
  </si>
  <si>
    <t>t9A6D924558E484727</t>
  </si>
  <si>
    <t>#000012</t>
  </si>
  <si>
    <t>5name</t>
  </si>
  <si>
    <t>tB365725453CAEFC8F</t>
  </si>
  <si>
    <t>#000013</t>
  </si>
  <si>
    <t>6name</t>
  </si>
  <si>
    <t>tB5B61B2EC181A8AC4</t>
  </si>
  <si>
    <t>#000014</t>
  </si>
  <si>
    <t>7name</t>
  </si>
  <si>
    <t>t4A836D52D5199F30C</t>
  </si>
  <si>
    <t>#000015</t>
  </si>
  <si>
    <t>8name</t>
  </si>
  <si>
    <t>t395BC901214D3DD58</t>
  </si>
  <si>
    <t>#000016</t>
  </si>
  <si>
    <t>9name</t>
  </si>
  <si>
    <t>tCC82D69CF578BC598</t>
  </si>
  <si>
    <t>#000017</t>
  </si>
  <si>
    <t>10name</t>
  </si>
  <si>
    <t>t87F5F84BA54CFE40B</t>
  </si>
  <si>
    <t>#000018</t>
  </si>
  <si>
    <t>11name</t>
  </si>
  <si>
    <t>t7E14A7AD9346325E5</t>
  </si>
  <si>
    <t>#000019</t>
  </si>
  <si>
    <t>12name</t>
  </si>
  <si>
    <t>tBB0A9FE4DB7A56E23</t>
  </si>
  <si>
    <t>#000020</t>
  </si>
  <si>
    <t>13name</t>
  </si>
  <si>
    <t>t38A7334C1367C31C8</t>
  </si>
  <si>
    <t>#000021</t>
  </si>
  <si>
    <t>14name</t>
  </si>
  <si>
    <t>tE8AF2138686E4BBFF</t>
  </si>
  <si>
    <t>#000022</t>
  </si>
  <si>
    <t>15name</t>
  </si>
  <si>
    <t>tFABEC27EE2EBE2141</t>
  </si>
  <si>
    <t>#000023</t>
  </si>
  <si>
    <t>16name</t>
  </si>
  <si>
    <t>tDCCB30E583F6B7BB9</t>
  </si>
  <si>
    <t>#000024</t>
  </si>
  <si>
    <t>17name</t>
  </si>
  <si>
    <t>t32B2518B30EBC96ED</t>
  </si>
  <si>
    <t>#000025</t>
  </si>
  <si>
    <t>18name</t>
  </si>
  <si>
    <t>tDF9D09982DD4B0B0E</t>
  </si>
  <si>
    <t>#000026</t>
  </si>
  <si>
    <t>19name</t>
  </si>
  <si>
    <t>t6AE8D95D02258468F</t>
  </si>
  <si>
    <t>#000027</t>
  </si>
  <si>
    <t>20name</t>
  </si>
  <si>
    <t>t5ACC3571925D08661</t>
  </si>
  <si>
    <t>#000028</t>
  </si>
  <si>
    <t>21name</t>
  </si>
  <si>
    <t>tF5F76BB38BA8CCA4D</t>
  </si>
  <si>
    <t>#000029</t>
  </si>
  <si>
    <t>22name</t>
  </si>
  <si>
    <t>tDF5F903FD2EC7ED72</t>
  </si>
  <si>
    <t>#000030</t>
  </si>
  <si>
    <t>23name</t>
  </si>
  <si>
    <t>tABCF1B05E7D4FB749</t>
  </si>
  <si>
    <t>#000031</t>
  </si>
  <si>
    <t>24name</t>
  </si>
  <si>
    <t>t5F8154EB8402869F5</t>
  </si>
  <si>
    <t>#000032</t>
  </si>
  <si>
    <t>25name</t>
  </si>
  <si>
    <t>t9021169FCEAC9C5DD</t>
  </si>
  <si>
    <t>#000033</t>
  </si>
  <si>
    <t>26name</t>
  </si>
  <si>
    <t>t3D13EBEF0137A12C6</t>
  </si>
  <si>
    <t>#000034</t>
  </si>
  <si>
    <t>27name</t>
  </si>
  <si>
    <t>t42226A30F7A46AEC0</t>
  </si>
  <si>
    <t>#000035</t>
  </si>
  <si>
    <t>28name</t>
  </si>
  <si>
    <t>t1C98D567926C8A508</t>
  </si>
  <si>
    <t>#000036</t>
  </si>
  <si>
    <t>29name</t>
  </si>
  <si>
    <t>t830657D3CC5734553</t>
  </si>
  <si>
    <t>#000037</t>
  </si>
  <si>
    <t>30name</t>
  </si>
  <si>
    <t>t29E47A2B24360ED2A</t>
  </si>
  <si>
    <t>#000038</t>
  </si>
  <si>
    <t>31name</t>
  </si>
  <si>
    <t>t3A102F119D08DE0D1</t>
  </si>
  <si>
    <t>#000039</t>
  </si>
  <si>
    <t>32name</t>
  </si>
  <si>
    <t>tBE753535AE5BA7116</t>
  </si>
  <si>
    <t>#000040</t>
  </si>
  <si>
    <t>33name</t>
  </si>
  <si>
    <t>t7A36F20430CFBB57A</t>
  </si>
  <si>
    <t>#000041</t>
  </si>
  <si>
    <t>34name</t>
  </si>
  <si>
    <t>tB16FFE84A982118FE</t>
  </si>
  <si>
    <t>#000042</t>
  </si>
  <si>
    <t>35name</t>
  </si>
  <si>
    <t>t29B2147715BE8CA5D</t>
  </si>
  <si>
    <t>#000043</t>
  </si>
  <si>
    <t>36name</t>
  </si>
  <si>
    <t>tC6CFC6C2B50952460</t>
  </si>
  <si>
    <t>#000044</t>
  </si>
  <si>
    <t>37name</t>
  </si>
  <si>
    <t>t9C8B8AFD9AF808997</t>
  </si>
  <si>
    <t>#000045</t>
  </si>
  <si>
    <t>38name</t>
  </si>
  <si>
    <t>t0510CD32966E48F12</t>
  </si>
  <si>
    <t>#000046</t>
  </si>
  <si>
    <t>39name</t>
  </si>
  <si>
    <t>t453A86BE2ACB6B2D7</t>
  </si>
  <si>
    <t>#000047</t>
  </si>
  <si>
    <t>40name</t>
  </si>
  <si>
    <t>tF78B906D2A8C22C88</t>
  </si>
  <si>
    <t>#000048</t>
  </si>
  <si>
    <t>41name</t>
  </si>
  <si>
    <t>tB0476E9EA373E964A</t>
  </si>
  <si>
    <t>#000049</t>
  </si>
  <si>
    <t>42name</t>
  </si>
  <si>
    <t>t983FF5D65294C7CE0</t>
  </si>
  <si>
    <t>#000050</t>
  </si>
  <si>
    <t>43name</t>
  </si>
  <si>
    <t>t8161C806B95CE02A4</t>
  </si>
  <si>
    <t>#000051</t>
  </si>
  <si>
    <t>44name</t>
  </si>
  <si>
    <t>t2D9DA2E42134AC7B3</t>
  </si>
  <si>
    <t>#000052</t>
  </si>
  <si>
    <t>45name</t>
  </si>
  <si>
    <t>t023BCF33ACD92E56C</t>
  </si>
  <si>
    <t>#000053</t>
  </si>
  <si>
    <t>46name</t>
  </si>
  <si>
    <t>t3400A49DC5EDB79EA</t>
  </si>
  <si>
    <t>#000054</t>
  </si>
  <si>
    <t>47name</t>
  </si>
  <si>
    <t>tCB73B78A33D00C948</t>
  </si>
  <si>
    <t>#000055</t>
  </si>
  <si>
    <t>48name</t>
  </si>
  <si>
    <t>tFE774FA3866D846C5</t>
  </si>
  <si>
    <t>#000056</t>
  </si>
  <si>
    <t>49name</t>
  </si>
  <si>
    <t>tBC81F836B2880250A</t>
  </si>
  <si>
    <t>#000057</t>
  </si>
  <si>
    <t>50name</t>
  </si>
  <si>
    <t>t6D0761CC3C0837FCB</t>
  </si>
  <si>
    <t>#000058</t>
  </si>
  <si>
    <t>51name</t>
  </si>
  <si>
    <t>t3153BDE05E25A872D</t>
  </si>
  <si>
    <t>#000059</t>
  </si>
  <si>
    <t>52name</t>
  </si>
  <si>
    <t>t79249AE420B98946B</t>
  </si>
  <si>
    <t>#000060</t>
  </si>
  <si>
    <t>53name</t>
  </si>
  <si>
    <t>t3D4F360955E68CD18</t>
  </si>
  <si>
    <t>#000061</t>
  </si>
  <si>
    <t>54name</t>
  </si>
  <si>
    <t>tDE08330363B2CAE98</t>
  </si>
  <si>
    <t>#000062</t>
  </si>
  <si>
    <t>55name</t>
  </si>
  <si>
    <t>t86DC3EAA7141E7B70</t>
  </si>
  <si>
    <t>#000063</t>
  </si>
  <si>
    <t>56name</t>
  </si>
  <si>
    <t>t88A293A01224551A0</t>
  </si>
  <si>
    <t>#000064</t>
  </si>
  <si>
    <t>57name</t>
  </si>
  <si>
    <t>tE73B8912F52C9E64D</t>
  </si>
  <si>
    <t>#000065</t>
  </si>
  <si>
    <t>58name</t>
  </si>
  <si>
    <t>t951522053217EE4D0</t>
  </si>
  <si>
    <t>#000066</t>
  </si>
  <si>
    <t>59name</t>
  </si>
  <si>
    <t>t9F8702C4DDE1B3D11</t>
  </si>
  <si>
    <t>#000067</t>
  </si>
  <si>
    <t>60name</t>
  </si>
  <si>
    <t>t7A1C312CED325F13A</t>
  </si>
  <si>
    <t>#000068</t>
  </si>
  <si>
    <t>61name</t>
  </si>
  <si>
    <t>tA97F83F7A727E691F</t>
  </si>
  <si>
    <t>#000069</t>
  </si>
  <si>
    <t>62name</t>
  </si>
  <si>
    <t>t351443B55FCCAC0D3</t>
  </si>
  <si>
    <t>#000070</t>
  </si>
  <si>
    <t>63name</t>
  </si>
  <si>
    <t>t1EC2D8F80CE3237F6</t>
  </si>
  <si>
    <t>#000071</t>
  </si>
  <si>
    <t>64name</t>
  </si>
  <si>
    <t>t60B9F67AB19EEF031</t>
  </si>
  <si>
    <t>#000072</t>
  </si>
  <si>
    <t>65name</t>
  </si>
  <si>
    <t>tDB81A9F25992A1629</t>
  </si>
  <si>
    <t>#000073</t>
  </si>
  <si>
    <t>66name</t>
  </si>
  <si>
    <t>tCF5D619AB80A10359</t>
  </si>
  <si>
    <t>#000074</t>
  </si>
  <si>
    <t>67name</t>
  </si>
  <si>
    <t>t9BF75357E8C339502</t>
  </si>
  <si>
    <t>#000075</t>
  </si>
  <si>
    <t>68name</t>
  </si>
  <si>
    <t>t62EFA624738182F71</t>
  </si>
  <si>
    <t>#000076</t>
  </si>
  <si>
    <t>69name</t>
  </si>
  <si>
    <t>t9F97FB627B5068617</t>
  </si>
  <si>
    <t>#000077</t>
  </si>
  <si>
    <t>70name</t>
  </si>
  <si>
    <t>t0AAB374796CAC7F4F</t>
  </si>
  <si>
    <t>#000078</t>
  </si>
  <si>
    <t>71name</t>
  </si>
  <si>
    <t>t5F6AD694E527956BE</t>
  </si>
  <si>
    <t>#000079</t>
  </si>
  <si>
    <t>72name</t>
  </si>
  <si>
    <t>t2A88C0B76ECA10CBC</t>
  </si>
  <si>
    <t>#000080</t>
  </si>
  <si>
    <t>73name</t>
  </si>
  <si>
    <t>t4281A072FC905DDFF</t>
  </si>
  <si>
    <t>#000081</t>
  </si>
  <si>
    <t>74name</t>
  </si>
  <si>
    <t>tEC8971BC016D059AF</t>
  </si>
  <si>
    <t>#000082</t>
  </si>
  <si>
    <t>75name</t>
  </si>
  <si>
    <t>tDA2A6A940C3D296B5</t>
  </si>
  <si>
    <t>#000083</t>
  </si>
  <si>
    <t>76name</t>
  </si>
  <si>
    <t>t3BA1EE8AA38B3495A</t>
  </si>
  <si>
    <t>#000084</t>
  </si>
  <si>
    <t>77name</t>
  </si>
  <si>
    <t>tC8E84AF46CE7CBEFF</t>
  </si>
  <si>
    <t>#000085</t>
  </si>
  <si>
    <t>78name</t>
  </si>
  <si>
    <t>tFBB024B3466A78602</t>
  </si>
  <si>
    <t>#000086</t>
  </si>
  <si>
    <t>79name</t>
  </si>
  <si>
    <t>tFC540E289DCCD15EC</t>
  </si>
  <si>
    <t>#000087</t>
  </si>
  <si>
    <t>80name</t>
  </si>
  <si>
    <t>t3874616E8D49851AA</t>
  </si>
  <si>
    <t>#000088</t>
  </si>
  <si>
    <t>81name</t>
  </si>
  <si>
    <t>t3C4B326A88174EC1E</t>
  </si>
  <si>
    <t>#000089</t>
  </si>
  <si>
    <t>82name</t>
  </si>
  <si>
    <t>t785CBF2E8E19EDF60</t>
  </si>
  <si>
    <t>#000090</t>
  </si>
  <si>
    <t>83name</t>
  </si>
  <si>
    <t>t557C0EB4EF5A6498D</t>
  </si>
  <si>
    <t>#000091</t>
  </si>
  <si>
    <t>84name</t>
  </si>
  <si>
    <t>t5B1430FF2BDACBC55</t>
  </si>
  <si>
    <t>#000092</t>
  </si>
  <si>
    <t>85name</t>
  </si>
  <si>
    <t>t62548771E7FAC80F1</t>
  </si>
  <si>
    <t>#000093</t>
  </si>
  <si>
    <t>86name</t>
  </si>
  <si>
    <t>t3604ADAF41F58A174</t>
  </si>
  <si>
    <t>#000094</t>
  </si>
  <si>
    <t>87name</t>
  </si>
  <si>
    <t>t9812BF218067D50FD</t>
  </si>
  <si>
    <t>#000095</t>
  </si>
  <si>
    <t>88name</t>
  </si>
  <si>
    <t>tD0E292B5FD1A167B3</t>
  </si>
  <si>
    <t>#000096</t>
  </si>
  <si>
    <t>89name</t>
  </si>
  <si>
    <t>t1D27BC6313D42B9F0</t>
  </si>
  <si>
    <t>#000097</t>
  </si>
  <si>
    <t>90name</t>
  </si>
  <si>
    <t>t5728E5F3217CA100D</t>
  </si>
  <si>
    <t>#000098</t>
  </si>
  <si>
    <t>91name</t>
  </si>
  <si>
    <t>tC31383FA22E744CD6</t>
  </si>
  <si>
    <t>#000099</t>
  </si>
  <si>
    <t>92name</t>
  </si>
  <si>
    <t>tEF0900E1D5AC37CAD</t>
  </si>
  <si>
    <t>#000100</t>
  </si>
  <si>
    <t>93name</t>
  </si>
  <si>
    <t>t8A140B30755FF82F4</t>
  </si>
  <si>
    <t>#000101</t>
  </si>
  <si>
    <t>94name</t>
  </si>
  <si>
    <t>t2DD88E4E280CDC39C</t>
  </si>
  <si>
    <t>#000102</t>
  </si>
  <si>
    <t>95name</t>
  </si>
  <si>
    <t>t46FFF6518B91F75AA</t>
  </si>
  <si>
    <t>#000103</t>
  </si>
  <si>
    <t>96name</t>
  </si>
  <si>
    <t>t4B9CB8CDE8FA98582</t>
  </si>
  <si>
    <t>#000104</t>
  </si>
  <si>
    <t>97name</t>
  </si>
  <si>
    <t>tBA963321F05BC6BE3</t>
  </si>
  <si>
    <t>#000105</t>
  </si>
  <si>
    <t>98name</t>
  </si>
  <si>
    <t>t463C8AEDB8A3162E1</t>
  </si>
  <si>
    <t>#000106</t>
  </si>
  <si>
    <t>99name</t>
  </si>
  <si>
    <t>t376438F89869C3453</t>
  </si>
  <si>
    <t>#000107</t>
  </si>
  <si>
    <t>100name</t>
  </si>
  <si>
    <t>tFA84785A7EFB12E41</t>
  </si>
  <si>
    <t>#000108</t>
  </si>
  <si>
    <t>101name</t>
  </si>
  <si>
    <t>t92135F811E23221CD</t>
  </si>
  <si>
    <t>#000109</t>
  </si>
  <si>
    <t>102name</t>
  </si>
  <si>
    <t>t95BE1B040A553740F</t>
  </si>
  <si>
    <t>#000110</t>
  </si>
  <si>
    <t>103name</t>
  </si>
  <si>
    <t>t2D1EAAC2056B02F39</t>
  </si>
  <si>
    <t>#000111</t>
  </si>
  <si>
    <t>104name</t>
  </si>
  <si>
    <t>tF0D4B3509C4A8BBB2</t>
  </si>
  <si>
    <t>#000112</t>
  </si>
  <si>
    <t>105name</t>
  </si>
  <si>
    <t>t9FDF2C4167C3CE6D6</t>
  </si>
  <si>
    <t>#000113</t>
  </si>
  <si>
    <t>106name</t>
  </si>
  <si>
    <t>t70B7E83CEB7A4EC1A</t>
  </si>
  <si>
    <t>#000114</t>
  </si>
  <si>
    <t>107name</t>
  </si>
  <si>
    <t>t1B936FC28688C863B</t>
  </si>
  <si>
    <t>#000115</t>
  </si>
  <si>
    <t>108name</t>
  </si>
  <si>
    <t>t8DC0733AFA7FD5176</t>
  </si>
  <si>
    <t>#000116</t>
  </si>
  <si>
    <t>109name</t>
  </si>
  <si>
    <t>t332075C2C2EA069A3</t>
  </si>
  <si>
    <t>#000117</t>
  </si>
  <si>
    <t>110name</t>
  </si>
  <si>
    <t>t7B510DD7D9494B02C</t>
  </si>
  <si>
    <t>#000118</t>
  </si>
  <si>
    <t>111name</t>
  </si>
  <si>
    <t>t8B675C3EDEDADEB9F</t>
  </si>
  <si>
    <t>#000119</t>
  </si>
  <si>
    <t>112name</t>
  </si>
  <si>
    <t>tC7D477F674B63CC70</t>
  </si>
  <si>
    <t>#000120</t>
  </si>
  <si>
    <t>113name</t>
  </si>
  <si>
    <t>t06B401CB4339AD35C</t>
  </si>
  <si>
    <t>#000121</t>
  </si>
  <si>
    <t>114name</t>
  </si>
  <si>
    <t>t858B2AB6362047BCE</t>
  </si>
  <si>
    <t>#000122</t>
  </si>
  <si>
    <t>115name</t>
  </si>
  <si>
    <t>t900A3174F83351D83</t>
  </si>
  <si>
    <t>#000123</t>
  </si>
  <si>
    <t>116name</t>
  </si>
  <si>
    <t>t025CDCF0C0CAEF745</t>
  </si>
  <si>
    <t>#000124</t>
  </si>
  <si>
    <t>117name</t>
  </si>
  <si>
    <t>t94D758E20E3CB1696</t>
  </si>
  <si>
    <t>#000125</t>
  </si>
  <si>
    <t>118name</t>
  </si>
  <si>
    <t>t84F4758839876BE17</t>
  </si>
  <si>
    <t>#000126</t>
  </si>
  <si>
    <t>119name</t>
  </si>
  <si>
    <t>t81536D523936BAB32</t>
  </si>
  <si>
    <t>#000127</t>
  </si>
  <si>
    <t>120name</t>
  </si>
  <si>
    <t>t3855DFF96A7CA9E13</t>
  </si>
  <si>
    <t>#000128</t>
  </si>
  <si>
    <t>121name</t>
  </si>
  <si>
    <t>t6CF7B10B7D9E876ED</t>
  </si>
  <si>
    <t>#000129</t>
  </si>
  <si>
    <t>122name</t>
  </si>
  <si>
    <t>t3AF4CCDD3974CA21A</t>
  </si>
  <si>
    <t>#000130</t>
  </si>
  <si>
    <t>123name</t>
  </si>
  <si>
    <t>t38B1F47534ED1D87D</t>
  </si>
  <si>
    <t>#000131</t>
  </si>
  <si>
    <t>124name</t>
  </si>
  <si>
    <t>t72F1581798F476861</t>
  </si>
  <si>
    <t>#000132</t>
  </si>
  <si>
    <t>125name</t>
  </si>
  <si>
    <t>t54C926EBD41740347</t>
  </si>
  <si>
    <t>#000133</t>
  </si>
  <si>
    <t>126name</t>
  </si>
  <si>
    <t>tD9BA8D1AD92AC6632</t>
  </si>
  <si>
    <t>#000134</t>
  </si>
  <si>
    <t>127name</t>
  </si>
  <si>
    <t>t6CD5D04837B037518</t>
  </si>
  <si>
    <t>#000135</t>
  </si>
  <si>
    <t>128name</t>
  </si>
  <si>
    <t>tC76B908F48971293E</t>
  </si>
  <si>
    <t>#000136</t>
  </si>
  <si>
    <t>129name</t>
  </si>
  <si>
    <t>t778F32ED234640BE5</t>
  </si>
  <si>
    <t>#000137</t>
  </si>
  <si>
    <t>130name</t>
  </si>
  <si>
    <t>tF04F63011ACEB9425</t>
  </si>
  <si>
    <t>#000138</t>
  </si>
  <si>
    <t>131name</t>
  </si>
  <si>
    <t>t8139E465E01E69CBA</t>
  </si>
  <si>
    <t>#000139</t>
  </si>
  <si>
    <t>132name</t>
  </si>
  <si>
    <t>t6BA81CF9AEE9D6905</t>
  </si>
  <si>
    <t>#000140</t>
  </si>
  <si>
    <t>133name</t>
  </si>
  <si>
    <t>tF49C79887C9D8A1B0</t>
  </si>
  <si>
    <t>#000141</t>
  </si>
  <si>
    <t>134name</t>
  </si>
  <si>
    <t>t4743A2632FEABFD46</t>
  </si>
  <si>
    <t>#000142</t>
  </si>
  <si>
    <t>135name</t>
  </si>
  <si>
    <t>t83B35A93777D8B5E2</t>
  </si>
  <si>
    <t>#000143</t>
  </si>
  <si>
    <t>136name</t>
  </si>
  <si>
    <t>t6289F46CE8D6D5523</t>
  </si>
  <si>
    <t>#000144</t>
  </si>
  <si>
    <t>137name</t>
  </si>
  <si>
    <t>t0F15FCB4081300072</t>
  </si>
  <si>
    <t>#000145</t>
  </si>
  <si>
    <t>138name</t>
  </si>
  <si>
    <t>tD5D87639E86EF4896</t>
  </si>
  <si>
    <t>#000146</t>
  </si>
  <si>
    <t>139name</t>
  </si>
  <si>
    <t>t9B07DC65CA6CD8D66</t>
  </si>
  <si>
    <t>#000147</t>
  </si>
  <si>
    <t>140name</t>
  </si>
  <si>
    <t>tD127969D0070113EE</t>
  </si>
  <si>
    <t>#000148</t>
  </si>
  <si>
    <t>141name</t>
  </si>
  <si>
    <t>tA9A51B6620A1E4D0E</t>
  </si>
  <si>
    <t>#000149</t>
  </si>
  <si>
    <t>142name</t>
  </si>
  <si>
    <t>t861FB63E79BAC0CE3</t>
  </si>
  <si>
    <t>#000150</t>
  </si>
  <si>
    <t>143name</t>
  </si>
  <si>
    <t>tC339E4A50B2ABA92E</t>
  </si>
  <si>
    <t>#000151</t>
  </si>
  <si>
    <t>144name</t>
  </si>
  <si>
    <t>t733CEFA9A1D97FB37</t>
  </si>
  <si>
    <t>#000152</t>
  </si>
  <si>
    <t>145name</t>
  </si>
  <si>
    <t>t44E1F8207315A6F7C</t>
  </si>
  <si>
    <t>#000153</t>
  </si>
  <si>
    <t>146name</t>
  </si>
  <si>
    <t>tAE1EB7B80B3435FF6</t>
  </si>
  <si>
    <t>#000154</t>
  </si>
  <si>
    <t>147name</t>
  </si>
  <si>
    <t>tF57065DDEDA6051BF</t>
  </si>
  <si>
    <t>#000155</t>
  </si>
  <si>
    <t>148name</t>
  </si>
  <si>
    <t>t7804BB2732E8BD15B</t>
  </si>
  <si>
    <t>#000156</t>
  </si>
  <si>
    <t>149name</t>
  </si>
  <si>
    <t>t3B720F10B9F74387F</t>
  </si>
  <si>
    <t>#000157</t>
  </si>
  <si>
    <t>150name</t>
  </si>
  <si>
    <t>t0996DEBD0C6E73D34</t>
  </si>
  <si>
    <t>#000158</t>
  </si>
  <si>
    <t>151name</t>
  </si>
  <si>
    <t>t7C015F79B421DB5AA</t>
  </si>
  <si>
    <t>#000159</t>
  </si>
  <si>
    <t>152name</t>
  </si>
  <si>
    <t>tDE78E127B9390ECD3</t>
  </si>
  <si>
    <t>#000160</t>
  </si>
  <si>
    <t>153name</t>
  </si>
  <si>
    <t>tFA0B6C4A8682B64BA</t>
  </si>
  <si>
    <t>#000161</t>
  </si>
  <si>
    <t>154name</t>
  </si>
  <si>
    <t>tCB85E2E134A22785C</t>
  </si>
  <si>
    <t>#000162</t>
  </si>
  <si>
    <t>155name</t>
  </si>
  <si>
    <t>t3107620CFA5B94B29</t>
  </si>
  <si>
    <t>#000163</t>
  </si>
  <si>
    <t>156name</t>
  </si>
  <si>
    <t>t8A45F4EF44A1844D8</t>
  </si>
  <si>
    <t>#000164</t>
  </si>
  <si>
    <t>157name</t>
  </si>
  <si>
    <t>tAFCD2747B54C68013</t>
  </si>
  <si>
    <t>#000165</t>
  </si>
  <si>
    <t>158name</t>
  </si>
  <si>
    <t>tAB6E78199619F6B45</t>
  </si>
  <si>
    <t>#000166</t>
  </si>
  <si>
    <t>159name</t>
  </si>
  <si>
    <t>t16CEF2640C3BBCF10</t>
  </si>
  <si>
    <t>#000167</t>
  </si>
  <si>
    <t>160name</t>
  </si>
  <si>
    <t>tD2ACB6A94C26823EB</t>
  </si>
  <si>
    <t>#000168</t>
  </si>
  <si>
    <t>161name</t>
  </si>
  <si>
    <t>t05225C10C8C92E86E</t>
  </si>
  <si>
    <t>#000169</t>
  </si>
  <si>
    <t>162name</t>
  </si>
  <si>
    <t>t663CA1F838C8DFE9E</t>
  </si>
  <si>
    <t>#000170</t>
  </si>
  <si>
    <t>163name</t>
  </si>
  <si>
    <t>t67531F7BA405CAABE</t>
  </si>
  <si>
    <t>#000171</t>
  </si>
  <si>
    <t>164name</t>
  </si>
  <si>
    <t>t9F8734759D38C3AF8</t>
  </si>
  <si>
    <t>#000172</t>
  </si>
  <si>
    <t>165name</t>
  </si>
  <si>
    <t>t37398097D66386EA2</t>
  </si>
  <si>
    <t>#000173</t>
  </si>
  <si>
    <t>166name</t>
  </si>
  <si>
    <t>t093AA249ED8B6DEB8</t>
  </si>
  <si>
    <t>#000174</t>
  </si>
  <si>
    <t>167name</t>
  </si>
  <si>
    <t>t525293A2AF5C62184</t>
  </si>
  <si>
    <t>#000175</t>
  </si>
  <si>
    <t>168name</t>
  </si>
  <si>
    <t>t3625BB0F7F5781411</t>
  </si>
  <si>
    <t>#000176</t>
  </si>
  <si>
    <t>169name</t>
  </si>
  <si>
    <t>t3E53E45638BDA8A55</t>
  </si>
  <si>
    <t>#000177</t>
  </si>
  <si>
    <t>170name</t>
  </si>
  <si>
    <t>t667E6952F9189A3C0</t>
  </si>
  <si>
    <t>#000178</t>
  </si>
  <si>
    <t>171name</t>
  </si>
  <si>
    <t>tD1214D54091AF6D30</t>
  </si>
  <si>
    <t>#000179</t>
  </si>
  <si>
    <t>172name</t>
  </si>
  <si>
    <t>tBCD0360FAB3310B45</t>
  </si>
  <si>
    <t>#000180</t>
  </si>
  <si>
    <t>173name</t>
  </si>
  <si>
    <t>t5B50A8DADFF01D9C1</t>
  </si>
  <si>
    <t>#000181</t>
  </si>
  <si>
    <t>174name</t>
  </si>
  <si>
    <t>t9D2BC0FFB8532B3AA</t>
  </si>
  <si>
    <t>#000182</t>
  </si>
  <si>
    <t>175name</t>
  </si>
  <si>
    <t>t9BB390742E0CF5186</t>
  </si>
  <si>
    <t>#000183</t>
  </si>
  <si>
    <t>176name</t>
  </si>
  <si>
    <t>tB20AAFF0464C26A1D</t>
  </si>
  <si>
    <t>#000184</t>
  </si>
  <si>
    <t>177name</t>
  </si>
  <si>
    <t>t61B148FBCD91A7C1D</t>
  </si>
  <si>
    <t>#000185</t>
  </si>
  <si>
    <t>178name</t>
  </si>
  <si>
    <t>t5D4B741F90B7BD7C7</t>
  </si>
  <si>
    <t>#000186</t>
  </si>
  <si>
    <t>179name</t>
  </si>
  <si>
    <t>t381A146FC75E43518</t>
  </si>
  <si>
    <t>#000187</t>
  </si>
  <si>
    <t>180name</t>
  </si>
  <si>
    <t>t928020A0D4D55AA01</t>
  </si>
  <si>
    <t>#000188</t>
  </si>
  <si>
    <t>181name</t>
  </si>
  <si>
    <t>tF086311190608ED07</t>
  </si>
  <si>
    <t>#000189</t>
  </si>
  <si>
    <t>182name</t>
  </si>
  <si>
    <t>tA5B0C603F6DB49A6C</t>
  </si>
  <si>
    <t>#000190</t>
  </si>
  <si>
    <t>183name</t>
  </si>
  <si>
    <t>t14139C806F184D40E</t>
  </si>
  <si>
    <t>#000191</t>
  </si>
  <si>
    <t>184name</t>
  </si>
  <si>
    <t>tF602A7E7D175D58CB</t>
  </si>
  <si>
    <t>#000192</t>
  </si>
  <si>
    <t>185name</t>
  </si>
  <si>
    <t>t7D84C33AE58DECCD1</t>
  </si>
  <si>
    <t>#000193</t>
  </si>
  <si>
    <t>186name</t>
  </si>
  <si>
    <t>t298DA09C2635931EC</t>
  </si>
  <si>
    <t>#000194</t>
  </si>
  <si>
    <t>187name</t>
  </si>
  <si>
    <t>tE1BA2AD622F5C0BCB</t>
  </si>
  <si>
    <t>#000195</t>
  </si>
  <si>
    <t>188name</t>
  </si>
  <si>
    <t>t0D586AE6B7F488420</t>
  </si>
  <si>
    <t>#000196</t>
  </si>
  <si>
    <t>189name</t>
  </si>
  <si>
    <t>tEDF1CB5F907EF57B4</t>
  </si>
  <si>
    <t>#000197</t>
  </si>
  <si>
    <t>190name</t>
  </si>
  <si>
    <t>t5BE72F927C2A30C7C</t>
  </si>
  <si>
    <t>#000198</t>
  </si>
  <si>
    <t>191name</t>
  </si>
  <si>
    <t>t31E844C0959212E50</t>
  </si>
  <si>
    <t>#000199</t>
  </si>
  <si>
    <t>192name</t>
  </si>
  <si>
    <t>t3C49BEE42D0D3E2C1</t>
  </si>
  <si>
    <t>#000200</t>
  </si>
  <si>
    <t>193name</t>
  </si>
  <si>
    <t>t3E7BD584FB8D26F81</t>
  </si>
  <si>
    <t>#000201</t>
  </si>
  <si>
    <t>194name</t>
  </si>
  <si>
    <t>t8F2FA624ADA2C9F4C</t>
  </si>
  <si>
    <t>#000202</t>
  </si>
  <si>
    <t>195name</t>
  </si>
  <si>
    <t>tB4083BF10FF3C09BA</t>
  </si>
  <si>
    <t>#000203</t>
  </si>
  <si>
    <t>196name</t>
  </si>
  <si>
    <t>tBE7971E8AEDAE3A65</t>
  </si>
  <si>
    <t>#000204</t>
  </si>
  <si>
    <t>197name</t>
  </si>
  <si>
    <t>t7F6AE1C1867595767</t>
  </si>
  <si>
    <t>#000205</t>
  </si>
  <si>
    <t>198name</t>
  </si>
  <si>
    <t>t4F310D072631DE1FB</t>
  </si>
  <si>
    <t>#000206</t>
  </si>
  <si>
    <t>199name</t>
  </si>
  <si>
    <t>tFC844B415427E76E2</t>
  </si>
  <si>
    <t>#000207</t>
  </si>
  <si>
    <t>200name</t>
  </si>
  <si>
    <t>{0.000;0.000;0.000;0.000;0.000;0.000;0.000;0.000;0.000;0.000;0.000;0.000;0.000;0.000;0.000;0.000;0.000;0.000;0.000;0.000;0.000;0.000;0.000;0.000;0.000;0.000;0.000;0.000;0.000;0.000;0.000;0.000;0.000;0.000;0.000;0.000;0.000;0.000;0.000;0.000;0.000;0.000;0.000;0.000;0.000;0.000;0.000;0.000;0.000;0.000}</t>
  </si>
  <si>
    <t>{1509.760;2088.762;2229.766;2370.868;2598.747;2752.250;3162.299}</t>
  </si>
  <si>
    <t>{16/06/2021 16:15:36;01/09/2021 17:45:44;21/09/2021 11:45:58;08/10/2021 16:22:04;09/11/2021 13:14:49;30/11/2021 09:14:59;24/01/2022 09:47:56}</t>
  </si>
  <si>
    <t>e03898ABE0183F6D67</t>
  </si>
  <si>
    <t>{2.424;0.049;0.319;1.679;1.802;0.512;0.482;0.076;0.620;0.649;11.129;1.962;0.137;0.196;0.225;0.430;0.472;71.052;0.773;0.131;0.504;1.080;0.336;0.060;1.254;2.246;0.621;0.089;2.153;0.082;0.048;0.515;0.465;0.554;0.641;0.808;0.373;0.516}</t>
  </si>
  <si>
    <t>{13.613;10.369;107.904;13.613;9.901;48.972;72.000;28.499;28.499;3.567;11.589;14.939;12.485;20.124;47.009;3.213;47.009;131.549;3.567;5.123;14.939;32.861;10.369;19.125;12.757;12.451;28.499;11.589;12.451;10.024;3.567;13.346;0.090;11.589;7.952;3.828;0.577;13.346;2.984;131.549;14.939;133.558;13.346;131.549;13.809;0.090;5.123;5.123;107.904;72.000}</t>
  </si>
  <si>
    <t>{0.000;0.000;90.515;0.000;0.000;31.583;54.610;11.110;11.110;0.000;0.000;0.000;0.000;2.735;29.620;0.000;29.620;114.160;0.000;0.000;0.000;15.472;0.000;1.736;0.000;0.000;11.110;0.000;0.000;0.000;0.000;0.000;0.000;0.000;0.000;0.000;0.000;0.000;0.000;114.160;0.000;116.169;0.000;114.160;0.000;0.000;0.000;0.000;90.515;54.610}</t>
  </si>
  <si>
    <t>{0.000;0.000;0.000;0.000;0.738;29.816;114.160}</t>
  </si>
  <si>
    <t>{03/12/2020 08:00:00;03/12/2020 08:00:00;03/12/2020 08:00:00;03/12/2020 08:00:00;03/12/2020 08:44:15;07/12/2020 16:48:58;17/12/2020 17:09:36}</t>
  </si>
  <si>
    <t>{30.852;7.421;30.852;6.009;22.440;22.440;13.480;11.612;23.441;28.912;7.282;7.421;28.444;31.297;110.988;28.912;39.058;18.837;43.344;31.297;298.140;0.205;163.178;0.205;190.718;163.178;28.444;8.084;6.485;7.421;11.612;64.590;0.205;39.058;0.205;6.485;13.480;18.022;31.297;1.309;163.178;30.247;6.009;39.058;30.247;110.988;302.692;190.718;28.218;28.444}</t>
  </si>
  <si>
    <t>{6.857;0.000;6.857;0.000;0.000;0.000;0.000;0.000;0.000;4.918;0.000;0.000;4.450;7.303;86.994;4.918;15.063;0.000;19.349;7.303;274.146;0.000;139.184;0.000;166.724;139.184;4.450;0.000;0.000;0.000;0.000;40.596;0.000;15.063;0.000;0.000;0.000;0.000;7.303;0.000;139.184;6.252;0.000;15.063;6.252;86.994;278.698;166.724;4.224;4.450}</t>
  </si>
  <si>
    <t>{6.857;0.000;97.373;0.000;0.000;31.583;54.610;11.110;11.110;4.918;0.000;0.000;4.450;10.038;116.614;4.918;44.683;114.160;19.349;7.303;274.146;15.472;139.184;1.736;166.724;139.184;15.560;0.000;0.000;0.000;0.000;40.596;0.000;15.063;0.000;0.000;0.000;0.000;7.303;114.160;139.184;122.421;0.000;129.223;6.252;86.994;278.698;166.724;94.739;59.060}</t>
  </si>
  <si>
    <t>{0.000;0.000;5.018;12.098;46.552;114.986;196.265}</t>
  </si>
  <si>
    <t>{03/12/2020 08:00:00;03/12/2020 08:00:00;03/12/2020 13:01:04;04/12/2020 09:35:54;09/12/2020 12:33:07;17/12/2020 17:59:10;29/12/2020 15:15:53}</t>
  </si>
  <si>
    <t>{18.422;28.923;66.024;34.608;304.757;31.536;29.554;23.961;19.255;8.869;22.938;1.338;22.938;108.905;309.410;18.422;304.757;11.869;23.222;26.849;30.918;22.938;7.586;29.075;11.869;18.422;182.330;19.255;8.263;30.918;13.779;8.263;194.951;0.210;34.608;46.621;108.905;28.923;28.923;76.128;113.451;6.914;1.338;6.629;1.338;6.914;46.621;44.306;46.621;7.586}</t>
  </si>
  <si>
    <t>{0.000;5.589;42.689;11.273;281.422;8.202;6.219;0.627;0.000;0.000;0.000;0.000;0.000;85.570;286.075;0.000;281.422;0.000;0.000;3.514;7.584;0.000;0.000;5.741;0.000;0.000;158.996;0.000;0.000;7.584;0.000;0.000;171.616;0.000;11.273;23.286;85.570;5.589;5.589;52.794;90.117;0.000;0.000;0.000;0.000;0.000;23.286;20.971;23.286;0.000}</t>
  </si>
  <si>
    <t>{6.857;5.589;140.062;11.273;281.422;39.785;60.829;11.737;11.110;4.918;0.000;0.000;4.450;95.608;402.689;4.918;326.106;114.160;19.349;10.817;281.730;15.472;139.184;7.477;166.724;139.184;174.556;0.000;0.000;7.584;0.000;40.596;171.616;15.063;11.273;23.286;85.570;5.589;12.892;166.954;229.301;122.421;0.000;129.223;6.252;86.994;301.984;187.695;118.026;59.060}</t>
  </si>
  <si>
    <t>{0.000;5.854;11.308;27.614;105.136;167.213;293.933}</t>
  </si>
  <si>
    <t>{03/12/2020 08:00:00;03/12/2020 13:51:16;04/12/2020 08:48:29;07/12/2020 14:36:49;17/12/2020 08:08:08;24/12/2020 17:42:47;11/01/2021 18:25:59}</t>
  </si>
  <si>
    <t>{4.649;17.552;1.200;5.083;1.332;17.552;0.034;10.641;7.141;2.969;31.419;12.269;10.641;2.221;0.990;2.969;3.103;4.763;4.686;0.216;1.913;49.866;7.141;31.419;1.429;1.332;1.429;4.983;3.743;0.990;4.983;3.103;1.200;1.200;1.223;1.429;4.686;1.200;3.103;0.990;40.288;7.141;3.871;0.990;5.578;3.871;49.116;1.223;18.284;4.983}</t>
  </si>
  <si>
    <t>{0.000;0.000;0.000;0.000;0.000;0.000;0.000;0.000;0.000;0.000;10.412;0.000;0.000;0.000;0.000;0.000;0.000;0.000;0.000;0.000;0.000;28.858;0.000;10.412;0.000;0.000;0.000;0.000;0.000;0.000;0.000;0.000;0.000;0.000;0.000;0.000;0.000;0.000;0.000;0.000;19.280;0.000;0.000;0.000;0.000;0.000;28.109;0.000;0.000;0.000}</t>
  </si>
  <si>
    <t>{6.857;5.589;140.062;11.273;281.422;39.785;60.829;11.737;11.110;4.918;10.412;0.000;4.450;95.608;402.689;4.918;326.106;114.160;19.349;10.817;281.730;44.330;139.184;17.888;166.724;139.184;174.556;0.000;0.000;7.584;0.000;40.596;171.616;15.063;11.273;23.286;85.570;5.589;12.892;166.954;248.581;122.421;0.000;129.223;6.252;86.994;330.093;187.695;118.026;59.060}</t>
  </si>
  <si>
    <t>{0.000;6.096;11.395;40.921;105.136;167.213;295.029}</t>
  </si>
  <si>
    <t>{03/12/2020 08:00:00;03/12/2020 14:05:47;04/12/2020 08:53:41;08/12/2020 17:25:16;17/12/2020 08:08:08;24/12/2020 17:42:47;12/01/2021 09:01:46}</t>
  </si>
  <si>
    <t>{42.921;0.054;4.955;1.915;7.482;8.905;10.273;28.023;4.740;16.989;1.779;7.422;1.779;6.166;3.546;4.740;6.909;1.952;1.915;50.165;1.952;6.181;0.054;79.617;79.617;50.165;5.902;8.115;6.909;29.193;11.996;16.989;1.915;2.126;4.955;1.706;0.054;78.420;7.422;7.422;10.273;78.420;1.779;64.325;46.917;28.023;6.909;11.401;5.976;10.273}</t>
  </si>
  <si>
    <t>{31.436;0.000;0.000;0.000;0.000;0.000;0.000;16.538;0.000;5.504;0.000;0.000;0.000;0.000;0.000;0.000;0.000;0.000;0.000;38.680;0.000;0.000;0.000;68.132;68.132;38.680;0.000;0.000;0.000;17.708;0.511;5.504;0.000;0.000;0.000;0.000;0.000;66.935;0.000;0.000;0.000;66.935;0.000;52.840;35.432;16.538;0.000;0.000;0.000;0.000}</t>
  </si>
  <si>
    <t>{38.293;5.589;140.062;11.273;281.422;39.785;60.829;28.275;11.110;10.422;10.412;0.000;4.450;95.608;402.689;4.918;326.106;114.160;19.349;49.497;281.730;44.330;139.184;86.021;234.856;177.863;174.556;0.000;0.000;25.292;0.511;46.100;171.616;15.063;11.273;23.286;85.570;72.524;12.892;166.954;248.581;189.356;0.000;182.063;41.685;103.532;330.093;187.695;118.026;59.060}</t>
  </si>
  <si>
    <t>{0.115;10.762;26.267;52.330;109.692;178.847;295.029}</t>
  </si>
  <si>
    <t>{03/12/2020 08:06:54;04/12/2020 08:15:45;07/12/2020 13:16:02;09/12/2020 18:19:49;17/12/2020 12:41:31;28/12/2020 08:20:48;12/01/2021 09:01:46}</t>
  </si>
  <si>
    <t>{5.708;35.464;6.574;1.470;23.155;1.306;8.489;35.464;1.757;8.489;38.766;1.306;5.107;4.937;4.937;2.524;14.037;4.937;23.155;2.930;6.802;4.094;6.149;2.930;2.524;1.757;4.937;6.802;1.470;1.886;1.306;0.045;4.937;16.186;4.094;7.358;2.524;5.094;6.133;14.037;7.358;9.420;65.785;5.094;4.877;2.930;3.917;1.613;1.409;2.930}</t>
  </si>
  <si>
    <t>{0.000;5.554;0.000;0.000;0.000;0.000;0.000;5.554;0.000;0.000;8.856;0.000;0.000;0.000;0.000;0.000;0.000;0.000;0.000;0.000;0.000;0.000;0.000;0.000;0.000;0.000;0.000;0.000;0.000;0.000;0.000;0.000;0.000;0.000;0.000;0.000;0.000;0.000;0.000;0.000;0.000;0.000;35.875;0.000;0.000;0.000;0.000;0.000;0.000;0.000}</t>
  </si>
  <si>
    <t>{38.293;11.143;140.062;11.273;281.422;39.785;60.829;33.829;11.110;10.422;19.268;0.000;4.450;95.608;402.689;4.918;326.106;114.160;19.349;49.497;281.730;44.330;139.184;86.021;234.856;177.863;174.556;0.000;0.000;25.292;0.511;46.100;171.616;15.063;11.273;23.286;85.570;72.524;12.892;166.954;248.581;189.356;35.875;182.063;41.685;103.532;330.093;187.695;118.026;59.060}</t>
  </si>
  <si>
    <t>{1.001;11.921;34.164;52.330;109.692;178.847;295.029}</t>
  </si>
  <si>
    <t>{03/12/2020 09:00:04;04/12/2020 09:25:15;08/12/2020 10:39:50;09/12/2020 18:19:49;17/12/2020 12:41:31;28/12/2020 08:20:48;12/01/2021 09:01:46}</t>
  </si>
  <si>
    <t>{0.055;12.278;6.041;6.041;6.327;28.682;1.618;6.116;80.262;65.836;7.071;7.071;8.143;6.327;0.352;2.176;65.836;6.116;48.020;0.055;2.336;7.657;7.783;2.336;8.143;0.055;3.126;80.262;1.998;12.278;81.488;28.682;48.020;1.821;0.352;4.852;6.041;7.597;80.262;3.629;12.278;0.352;7.657;29.879;0.055;6.116;1.998;81.488;3.126;3.629}</t>
  </si>
  <si>
    <t>{0.000;0.021;0.000;0.000;0.000;16.424;0.000;0.000;68.005;53.578;0.000;0.000;0.000;0.000;0.000;0.000;53.578;0.000;35.762;0.000;0.000;0.000;0.000;0.000;0.000;0.000;0.000;68.005;0.000;0.021;69.230;16.424;35.762;0.000;0.000;0.000;0.000;0.000;68.005;0.000;0.021;0.000;0.000;17.622;0.000;0.000;0.000;69.230;0.000;0.000}</t>
  </si>
  <si>
    <t>{38.293;11.164;140.062;11.273;281.422;56.209;60.829;33.829;79.115;64.000;19.268;0.000;4.450;95.608;402.689;4.918;379.684;114.160;55.111;49.497;281.730;44.330;139.184;86.021;234.856;177.863;174.556;68.005;0.000;25.313;69.742;62.524;207.378;15.063;11.273;23.286;85.570;72.524;80.897;166.954;248.602;189.356;35.875;199.685;41.685;103.532;330.093;256.925;118.026;59.060}</t>
  </si>
  <si>
    <t>{5.960;27.503;55.408;72.085;109.692;191.158;308.667}</t>
  </si>
  <si>
    <t>{03/12/2020 13:57:37;07/12/2020 14:30:12;10/12/2020 10:54:27;11/12/2020 17:05:07;17/12/2020 12:41:31;29/12/2020 10:09:30;13/01/2021 12:10:01}</t>
  </si>
  <si>
    <t>{5.675;6.535;0.044;5.675;2.509;6.113;0.283;6.535;1.461;65.398;7.315;65.398;4.908;64.414;6.762;0.044;2.509;2.509;52.836;35.255;6.145;0.283;6.666;1.573;4.848;4.848;2.912;52.836;5.065;23.979;1.573;0.283;6.145;6.762;4.070;6.247;8.439;4.070;2.912;6.762;38.538;6.666;5.065;6.535;41.205;35.255;5.675;1.747;1.401;64.414}</t>
  </si>
  <si>
    <t>{0.000;0.000;0.000;0.000;0.000;0.000;0.000;0.000;0.000;49.450;0.000;49.450;0.000;48.467;0.000;0.000;0.000;0.000;36.889;19.308;0.000;0.000;0.000;0.000;0.000;0.000;0.000;36.889;0.000;8.032;0.000;0.000;0.000;0.000;0.000;0.000;0.000;0.000;0.000;0.000;22.590;0.000;0.000;0.000;25.258;19.308;0.000;0.000;0.000;48.467}</t>
  </si>
  <si>
    <t>{38.293;11.164;140.062;11.273;281.422;56.209;60.829;33.829;79.115;113.450;19.268;49.450;4.450;144.075;402.689;4.918;379.684;114.160;92.000;68.805;281.730;44.330;139.184;86.021;234.856;177.863;174.556;104.894;0.000;33.345;69.742;62.524;207.378;15.063;11.273;23.286;85.570;72.524;80.897;166.954;271.192;189.356;35.875;199.685;66.943;122.840;330.093;256.925;118.026;107.527}</t>
  </si>
  <si>
    <t>{6.348;34.357;62.995;87.178;127.018;191.158;308.667}</t>
  </si>
  <si>
    <t>{03/12/2020 14:20:51;08/12/2020 10:51:24;10/12/2020 18:29:43;15/12/2020 11:10:40;21/12/2020 09:01:04;29/12/2020 10:09:30;13/01/2021 12:10:01}</t>
  </si>
  <si>
    <t>{3.126;26.880;3.102;0.023;3.102;3.325;5.013;3.721;0.954;3.178;2.583;3.391;3.178;0.023;2.576;0.660;0.816;3.391;2.070;0.713;0.954;0.800;4.764;26.880;2.583;8.186;0.743;2.497;2.576;0.144;20.962;20.962;3.325;0.144;0.800;0.889;2.466;1.482;0.954;5.013;7.099;3.325;2.466;5.013;1.482;0.889;17.935;0.713;11.710;0.954}</t>
  </si>
  <si>
    <t>{0.000;14.354;0.000;0.000;0.000;0.000;0.000;0.000;0.000;0.000;0.000;0.000;0.000;0.000;0.000;0.000;0.000;0.000;0.000;0.000;0.000;0.000;0.000;14.354;0.000;0.000;0.000;0.000;0.000;0.000;8.437;8.437;0.000;0.000;0.000;0.000;0.000;0.000;0.000;0.000;0.000;0.000;0.000;0.000;0.000;0.000;5.410;0.000;0.000;0.000}</t>
  </si>
  <si>
    <t>{38.293;25.518;140.062;11.273;281.422;56.209;60.829;33.829;79.115;113.450;19.268;49.450;4.450;144.075;402.689;4.918;379.684;114.160;92.000;68.805;281.730;44.330;139.184;100.375;234.856;177.863;174.556;104.894;0.000;33.345;78.179;70.961;207.378;15.063;11.273;23.286;85.570;72.524;80.897;166.954;271.192;189.356;35.875;199.685;66.943;122.840;335.503;256.925;118.026;107.527}</t>
  </si>
  <si>
    <t>{6.348;34.357;67.244;89.271;127.018;191.158;308.667}</t>
  </si>
  <si>
    <t>{03/12/2020 14:20:51;08/12/2020 10:51:24;11/12/2020 12:14:38;15/12/2020 13:16:17;21/12/2020 09:01:04;29/12/2020 10:09:30;13/01/2021 12:10:01}</t>
  </si>
  <si>
    <t>{25.791;24.061;258.101;38.890;1.116;33.304;15.367;19.988;19.988;162.622;55.075;208.525;24.254;24.653;6.893;36.959;33.304;25.791;33.304;19.371;258.101;6.893;38.890;94.638;162.622;28.869;94.638;26.307;5.530;6.209;5.124;26.307;0.175;9.901;7.398;139.139;6.328;36.959;20.038;90.845;139.139;22.396;5.530;1.116;25.791;162.622;24.254;19.134;24.061;26.687}</t>
  </si>
  <si>
    <t>{7.339;5.609;239.649;20.438;0.000;14.852;0.000;1.536;1.536;144.170;36.623;190.073;5.802;6.201;0.000;18.507;14.852;7.339;14.852;0.919;239.649;0.000;20.438;76.186;144.170;10.417;76.186;7.855;0.000;0.000;0.000;7.855;0.000;0.000;0.000;120.687;0.000;18.507;1.586;72.393;120.687;3.944;0.000;0.000;7.339;144.170;5.802;0.682;5.609;8.235}</t>
  </si>
  <si>
    <t>{45.632;31.127;379.710;31.711;281.422;71.061;60.829;35.365;80.651;257.621;55.891;239.524;10.252;150.276;402.689;23.424;394.536;121.499;106.852;69.724;521.378;44.330;159.621;176.561;379.026;188.280;250.742;112.749;0.000;33.345;78.179;78.816;207.378;15.063;11.273;143.974;85.570;91.031;82.483;239.347;391.879;193.301;35.875;199.685;74.282;267.010;341.305;257.608;123.635;115.762}</t>
  </si>
  <si>
    <t>{14.007;39.778;78.364;114.936;183.675;258.548;394.852}</t>
  </si>
  <si>
    <t>{04/12/2020 11:30:26;08/12/2020 16:16:40;14/12/2020 12:51:52;17/12/2020 17:56:10;28/12/2020 13:10:31;06/01/2021 14:32:52;25/01/2021 14:21:07}</t>
  </si>
  <si>
    <t>{17.115;11.232;2.561;13.369;64.434;70.434;11.173;2.561;11.232;64.434;2.930;2.876;7.116;9.256;18.010;8.971;64.434;2.876;11.944;10.372;12.358;96.566;42.070;10.372;2.930;11.416;11.173;0.081;119.524;43.826;17.115;3.426;10.372;11.173;9.256;117.727;2.876;12.182;12.358;42.070;12.182;29.408;17.115;2.561;15.423;29.408;25.505;5.323;2.671;4.585}</t>
  </si>
  <si>
    <t>{5.815;0.000;0.000;2.069;53.134;59.134;0.000;0.000;0.000;53.134;0.000;0.000;0.000;0.000;6.710;0.000;53.134;0.000;0.644;0.000;1.058;85.266;30.770;0.000;0.000;0.116;0.000;0.000;108.224;32.526;5.815;0.000;0.000;0.000;0.000;106.427;0.000;0.882;1.058;30.770;0.882;18.108;5.815;0.000;4.123;18.108;14.205;0.000;0.000;0.000}</t>
  </si>
  <si>
    <t>{51.447;31.127;379.710;33.780;334.556;130.195;60.829;35.365;80.651;310.755;55.891;239.524;10.252;150.276;409.399;23.424;447.670;121.499;107.496;69.724;522.437;129.597;190.391;176.561;379.026;188.397;250.742;112.749;108.224;65.871;83.994;78.816;207.378;15.063;11.273;250.400;85.570;91.913;83.542;270.117;392.762;211.409;41.690;199.685;78.404;285.118;355.510;257.608;123.635;115.762}</t>
  </si>
  <si>
    <t>{18.678;59.883;84.588;123.524;197.611;274.181;407.862}</t>
  </si>
  <si>
    <t>{04/12/2020 16:10:40;10/12/2020 15:22:57;15/12/2020 08:35:17;18/12/2020 16:01:25;29/12/2020 16:36:38;08/01/2021 09:10:50;26/01/2021 16:51:42}</t>
  </si>
  <si>
    <t>{28.045;148.333;7.887;17.123;28.450;6.148;26.282;25.857;6.746;96.848;6.746;58.714;7.887;25.651;7.887;21.308;35.505;16.383;21.362;6.746;67.700;173.368;21.308;25.651;25.721;100.891;27.495;21.362;222.304;25.857;20.399;100.891;148.333;7.348;58.714;7.348;23.876;58.714;25.721;275.155;96.848;25.651;96.848;271.017;7.348;222.304;7.348;67.700;21.362;39.401}</t>
  </si>
  <si>
    <t>{8.474;128.762;0.000;0.000;8.879;0.000;6.711;6.285;0.000;77.277;0.000;39.143;0.000;6.080;0.000;1.737;15.933;0.000;1.791;0.000;48.129;153.797;1.737;6.080;6.150;81.320;7.924;1.791;202.733;6.285;0.827;81.320;128.762;0.000;39.143;0.000;4.305;39.143;6.150;255.584;77.277;6.080;77.277;251.446;0.000;202.733;0.000;48.129;1.791;19.830}</t>
  </si>
  <si>
    <t>{59.921;159.889;379.710;33.780;343.435;130.195;67.540;41.650;80.651;388.032;55.891;278.667;10.252;156.356;409.399;25.161;463.604;121.499;109.287;69.724;570.566;283.393;192.128;182.641;385.176;269.717;258.666;114.540;310.957;72.156;84.822;160.136;336.140;15.063;50.416;250.400;89.876;131.056;89.692;525.701;470.039;217.489;118.967;451.131;78.404;487.852;355.510;305.737;125.426;135.591}</t>
  </si>
  <si>
    <t>{28.871;73.196;115.062;157.301;267.166;358.476;485.346}</t>
  </si>
  <si>
    <t>{07/12/2020 15:52:17;11/12/2020 18:11:46;17/12/2020 18:03:42;23/12/2020 18:18:03;07/01/2021 12:39:58;20/01/2021 09:28:35;05/02/2021 10:20:45}</t>
  </si>
  <si>
    <t>{6.986;9.347;119.564;7.845;33.716;192.153;7.845;7.995;263.447;6.473;192.153;42.076;36.472;7.995;28.295;19.415;31.146;19.415;6.473;205.454;7.845;46.693;192.153;326.079;7.286;33.716;1.410;33.235;14.522;30.642;69.581;69.581;25.252;192.153;30.482;6.986;8.708;33.235;1.410;30.399;12.509;6.986;49.133;263.447;175.786;30.399;24.473;14.522;33.716;114.772}</t>
  </si>
  <si>
    <t>{0.000;0.000;108.860;0.000;23.012;181.450;0.000;0.000;252.743;0.000;181.450;31.372;25.769;0.000;17.592;8.711;20.442;8.711;0.000;194.750;0.000;35.989;181.450;315.376;0.000;23.012;0.000;22.532;3.818;19.938;58.877;58.877;14.549;181.450;19.778;0.000;0.000;22.532;0.000;19.695;1.805;0.000;38.429;252.743;165.082;19.695;13.770;3.818;23.012;104.068}</t>
  </si>
  <si>
    <t>{59.921;159.889;488.570;33.780;366.447;311.644;67.540;41.650;333.394;388.032;237.340;310.039;36.020;156.356;426.990;33.873;484.046;130.210;109.287;264.474;570.566;319.383;373.578;498.017;385.176;292.729;258.666;137.072;314.775;92.094;143.699;219.013;350.689;196.513;70.194;250.400;89.876;153.588;89.692;545.396;471.844;217.489;157.396;703.875;243.487;507.547;369.279;309.555;148.438;239.660}</t>
  </si>
  <si>
    <t>{41.398;107.341;160.330;247.281;314.933;389.358;524.877}</t>
  </si>
  <si>
    <t>{08/12/2020 17:53:53;17/12/2020 10:20:27;24/12/2020 10:49:46;05/01/2021 13:46:53;13/01/2021 18:25:59;25/01/2021 08:51:28;10/02/2021 18:22:37}</t>
  </si>
  <si>
    <t>{5.153;24.792;139.926;33.492;16.153;22.523;0.176;15.454;1.122;152.955;1.122;16.153;55.386;5.800;29.032;26.838;24.792;5.800;26.838;152.955;6.244;91.359;209.705;152.955;259.560;24.197;26.456;91.359;19.481;15.454;11.559;5.561;255.657;163.542;6.244;209.705;95.173;24.792;16.153;37.168;6.364;26.456;11.559;19.481;29.032;55.386;20.101;95.173;11.559;29.032}</t>
  </si>
  <si>
    <t>{0.000;0.000;114.654;8.220;0.000;0.000;0.000;0.000;0.000;127.682;0.000;0.000;30.114;0.000;3.760;1.565;0.000;0.000;1.565;127.682;0.000;66.087;184.432;127.682;234.288;0.000;1.183;66.087;0.000;0.000;0.000;0.000;230.385;138.269;0.000;184.432;69.901;0.000;0.000;11.895;0.000;1.183;0.000;0.000;3.760;30.114;0.000;69.901;0.000;3.760}</t>
  </si>
  <si>
    <t>{59.921;159.889;603.224;42.000;366.447;311.644;67.540;41.650;333.394;515.714;237.340;310.039;66.134;156.356;430.750;35.438;484.046;130.210;110.852;392.157;570.566;385.469;558.011;625.699;619.464;292.729;259.849;203.158;314.775;92.094;143.699;219.013;581.073;334.783;70.194;434.833;159.776;153.588;89.692;557.291;471.844;218.672;157.396;703.875;247.246;537.661;369.279;379.455;148.438;243.419}</t>
  </si>
  <si>
    <t>{47.430;123.991;164.298;272.396;371.976;489.407;609.405}</t>
  </si>
  <si>
    <t>{09/12/2020 13:25:49;18/12/2020 16:29:27;24/12/2020 14:47:52;07/01/2021 17:53:47;21/01/2021 12:28:33;05/02/2021 14:24:26;23/02/2021 08:24:17}</t>
  </si>
  <si>
    <t>{71.748;15.299;12.686;0.138;5.843;17.688;0.881;5.843;12.137;20.369;43.497;200.779;200.779;203.844;203.844;71.748;12.686;109.890;15.112;7.820;15.112;109.890;200.779;0.881;200.779;4.904;15.299;15.112;20.369;164.691;4.998;74.744;7.820;9.078;120.122;5.843;5.444;19.470;9.078;4.555;128.437;21.077;22.800;109.890;71.748;0.138;19.055;19.003;120.122;43.497}</t>
  </si>
  <si>
    <t>{54.285;0.000;0.000;0.000;0.000;0.225;0.000;0.000;0.000;2.906;26.034;183.316;183.316;186.381;186.381;54.285;0.000;92.427;0.000;0.000;0.000;92.427;183.316;0.000;183.316;0.000;0.000;0.000;2.906;147.228;0.000;57.281;0.000;0.000;102.659;0.000;0.000;2.007;0.000;0.000;110.974;3.614;5.337;92.427;54.285;0.000;1.592;1.540;102.659;26.034}</t>
  </si>
  <si>
    <t>{114.207;159.889;603.224;42.000;366.447;311.870;67.540;41.650;333.394;518.620;263.375;493.355;249.450;342.737;617.131;89.723;484.046;222.637;110.852;392.157;570.566;477.896;741.327;625.699;802.780;292.729;259.849;203.158;317.682;239.322;143.699;276.294;581.073;334.783;172.854;434.833;159.776;155.595;89.692;557.291;582.818;222.286;162.733;796.302;301.531;537.661;370.872;380.995;251.097;269.454}</t>
  </si>
  <si>
    <t>{72.531;160.959;250.230;305.569;379.918;540.951;672.615}</t>
  </si>
  <si>
    <t>{11/12/2020 17:31:53;24/12/2020 11:27:32;05/01/2021 16:43:49;13/01/2021 09:04:09;22/01/2021 09:55:04;12/02/2021 13:27:04;03/03/2021 08:36:54}</t>
  </si>
  <si>
    <t>{15.954;15.954;7.362;2.454;66.654;17.705;2.763;3.031;11.558;5.506;10.729;7.362;11.526;11.558;3.031;10.729;0.084;11.619;18.630;12.784;9.599;121.782;10.729;11.619;43.519;2.454;2.975;72.860;7.694;2.454;0.084;9.575;11.526;99.892;15.954;2.649;2.763;9.166;2.454;11.526;12.784;77.903;11.619;17.705;2.975;7.694;17.705;45.336;2.763;11.558}</t>
  </si>
  <si>
    <t>{0.000;0.000;0.000;0.000;43.171;0.000;0.000;0.000;0.000;0.000;0.000;0.000;0.000;0.000;0.000;0.000;0.000;0.000;0.000;0.000;0.000;98.299;0.000;0.000;20.036;0.000;0.000;49.377;0.000;0.000;0.000;0.000;0.000;76.410;0.000;0.000;0.000;0.000;0.000;0.000;0.000;54.420;0.000;0.000;0.000;0.000;0.000;21.853;0.000;0.000}</t>
  </si>
  <si>
    <t>{114.207;159.889;603.224;42.000;409.618;311.870;67.540;41.650;333.394;518.620;263.375;493.355;249.450;342.737;617.131;89.723;484.046;222.637;110.852;392.157;570.566;576.195;741.327;625.699;822.817;292.729;259.849;252.535;317.682;239.322;143.699;276.294;581.073;411.193;172.854;434.833;159.776;155.595;89.692;557.291;582.818;276.706;162.733;796.302;301.531;537.661;370.872;402.849;251.097;269.454}</t>
  </si>
  <si>
    <t>{72.531;160.959;253.348;305.569;406.395;559.182;672.615}</t>
  </si>
  <si>
    <t>{11/12/2020 17:31:53;24/12/2020 11:27:32;06/01/2021 09:20:54;13/01/2021 09:04:09;26/01/2021 15:23:41;16/02/2021 10:40:53;03/03/2021 08:36:54}</t>
  </si>
  <si>
    <t>{8.306;2.713;38.951;40.577;59.657;89.408;11.058;0.075;11.442;8.592;15.846;6.887;0.478;8.306;108.999;16.674;108.999;2.955;11.442;59.657;11.442;11.279;8.570;2.371;10.317;108.999;3.172;14.279;11.279;59.657;4.928;8.204;6.589;10.317;27.228;8.306;2.662;8.204;0.075;9.603;2.955;9.603;89.408;2.955;4.928;10.570;16.674;59.657;16.674;110.664}</t>
  </si>
  <si>
    <t>{0.000;0.000;25.825;27.452;46.532;76.282;0.000;0.000;0.000;0.000;2.721;0.000;0.000;0.000;95.874;3.549;95.874;0.000;0.000;46.532;0.000;0.000;0.000;0.000;0.000;95.874;0.000;1.154;0.000;46.532;0.000;0.000;0.000;0.000;14.102;0.000;0.000;0.000;0.000;0.000;0.000;0.000;76.282;0.000;0.000;0.000;3.549;46.532;3.549;97.538}</t>
  </si>
  <si>
    <t>{114.207;159.889;629.049;69.451;456.150;388.152;67.540;41.650;333.394;518.620;266.096;493.355;249.450;342.737;713.005;93.272;579.920;222.637;110.852;438.689;570.566;576.195;741.327;625.699;822.817;388.603;259.849;253.689;317.682;285.854;143.699;276.294;581.073;411.193;186.956;434.833;159.776;155.595;89.692;557.291;582.818;276.706;239.015;796.302;301.531;537.661;374.420;449.380;254.646;366.992}</t>
  </si>
  <si>
    <t>{74.811;170.648;261.082;341.794;441.016;571.501;735.912}</t>
  </si>
  <si>
    <t>{14/12/2020 09:18:40;25/12/2020 10:38:54;06/01/2021 17:04:56;18/01/2021 13:47:37;01/02/2021 08:00:56;17/02/2021 12:30:04;11/03/2021 08:54:42}</t>
  </si>
  <si>
    <t>{0.359;1.794;0.359;4.410;7.894;0.558;4.594;1.617;3.083;1.171;0.970;10.123;1.171;1.177;1.277;1.295;10.123;12.529;0.929;1.177;6.754;0.280;2.674;7.383;1.087;0.249;1.171;1.277;10.123;10.123;1.794;0.970;0.335;0.929;1.401;1.168;0.973;7.894;1.197;1.794;0.481;0.780;1.168;0.929;0.335;1.171;0.008;4.594;0.940;0.008}</t>
  </si>
  <si>
    <t>{21.107;16.037;7.944;5.077;9.222;203.971;203.971;29.653;4.627;19.305;75.932;15.543;75.932;19.305;5.077;19.358;5.077;19.780;23.163;122.032;21.107;17.970;9.222;122.032;15.543;19.358;4.111;50.952;7.944;207.086;19.358;4.982;0.140;50.952;12.330;19.305;29.653;111.638;31.203;16.078;4.111;7.944;19.780;9.222;19.780;167.309;72.889;0.140;167.309;12.330}</t>
  </si>
  <si>
    <t>{0.000;0.000;0.000;0.000;0.000;176.120;176.120;1.802;0.000;0.000;48.081;0.000;48.081;0.000;0.000;0.000;0.000;0.000;0.000;94.181;0.000;0.000;0.000;94.181;0.000;0.000;0.000;23.101;0.000;179.234;0.000;0.000;0.000;23.101;0.000;0.000;1.802;83.786;3.352;0.000;0.000;0.000;0.000;0.000;0.000;139.458;45.038;0.000;139.458;0.000}</t>
  </si>
  <si>
    <t>{114.207;159.889;629.049;69.451;456.150;564.272;243.660;43.452;333.394;518.620;314.176;493.355;297.531;342.737;713.005;93.272;579.920;222.637;110.852;532.870;570.566;576.195;741.327;719.880;822.817;388.603;259.849;276.790;317.682;465.088;143.699;276.294;581.073;434.293;186.956;434.833;161.578;239.382;93.043;557.291;582.818;276.706;239.015;796.302;301.531;677.118;419.458;449.380;394.104;366.992}</t>
  </si>
  <si>
    <t>{97.050;207.780;278.646;373.770;471.962;576.683;740.896}</t>
  </si>
  <si>
    <t>{16/12/2020 10:33:01;30/12/2020 16:16:47;08/01/2021 13:38:44;21/01/2021 14:16:11;03/02/2021 17:57:44;17/02/2021 17:41:00;11/03/2021 13:53:46}</t>
  </si>
  <si>
    <t>{3.381;27.440;4.160;15.329;9.293;3.381;23.477;3.229;4.503;4.071;0.029;3.229;1.671;0.029;0.188;4.160;0.973;4.871;4.871;4.092;4.092;3.373;4.503;1.248;1.671;1.048;35.185;6.562;4.871;1.671;4.439;9.293;3.229;35.185;1.939;1.048;0.933;3.779;1.048;2.593;4.092;0.029;2.710;3.269;2.593;1.248;1.939;27.440;25.663;6.562}</t>
  </si>
  <si>
    <t>{0.000;14.933;0.000;2.822;0.000;0.000;10.971;0.000;0.000;0.000;0.000;0.000;0.000;0.000;0.000;0.000;0.000;0.000;0.000;0.000;0.000;0.000;0.000;0.000;0.000;0.000;22.678;0.000;0.000;0.000;0.000;0.000;0.000;22.678;0.000;0.000;0.000;0.000;0.000;0.000;0.000;0.000;0.000;0.000;0.000;0.000;0.000;14.933;13.157;0.000}</t>
  </si>
  <si>
    <t>{114.207;174.822;629.049;72.273;456.150;564.272;254.631;43.452;333.394;518.620;314.176;493.355;297.531;342.737;713.005;93.272;579.920;222.637;110.852;532.870;570.566;576.195;741.327;719.880;822.817;388.603;282.527;276.790;317.682;465.088;143.699;276.294;581.073;456.972;186.956;434.833;161.578;239.382;93.043;557.291;582.818;276.706;239.015;796.302;301.531;677.118;419.458;464.313;407.261;366.992}</t>
  </si>
  <si>
    <t>{97.050;207.780;283.953;377.059;476.656;576.683;740.896}</t>
  </si>
  <si>
    <t>{16/12/2020 10:33:01;30/12/2020 16:16:47;11/01/2021 08:27:09;21/01/2021 17:33:32;04/02/2021 12:09:21;17/02/2021 17:41:00;11/03/2021 13:53:46}</t>
  </si>
  <si>
    <t>{21.946;25.627;17.335;24.354;36.292;4.092;10.126;10.126;12.765;4.092;13.171;7.574;13.171;0.735;170.078;62.363;15.899;12.765;21.946;170.078;0.735;17.586;17.335;4.542;3.376;15.899;107.162;3.376;17.586;4.542;4.170;15.855;15.855;3.800;0.115;4.092;19.023;3.644;21.946;24.354;10.126;6.524;91.687;13.204;4.092;21.946;15.899;16.995;4.542;7.574}</t>
  </si>
  <si>
    <t>{8.110;11.791;3.499;10.518;22.456;0.000;0.000;0.000;0.000;0.000;0.000;0.000;0.000;0.000;156.242;48.527;2.063;0.000;8.110;156.242;0.000;3.749;3.499;0.000;0.000;2.063;93.326;0.000;3.749;0.000;0.000;2.019;2.019;0.000;0.000;0.000;5.187;0.000;8.110;10.518;0.000;0.000;77.851;0.000;0.000;8.110;2.063;3.159;0.000;0.000}</t>
  </si>
  <si>
    <t>{122.317;186.613;632.548;82.791;478.606;564.272;254.631;43.452;333.394;518.620;314.176;493.355;297.531;342.737;869.247;141.798;581.982;222.637;118.962;689.112;570.566;579.945;744.826;719.880;822.817;390.665;375.853;276.790;321.431;465.088;143.699;278.313;583.093;456.972;186.956;434.833;166.766;239.382;101.153;567.809;582.818;276.706;316.866;796.302;301.531;685.228;421.521;467.473;407.261;366.992}</t>
  </si>
  <si>
    <t>{105.915;207.926;302.682;383.705;478.472;582.093;766.273}</t>
  </si>
  <si>
    <t>{17/12/2020 08:54:54;30/12/2020 16:25:35;12/01/2021 16:40:54;22/01/2021 13:42:17;04/02/2021 13:58:21;18/02/2021 12:35:36;15/03/2021 18:16:24}</t>
  </si>
  <si>
    <t>{2.749;13.735;7.428;77.494;9.918;5.711;60.435;77.494;3.680;8.966;2.308;7.199;5.969;56.523;2.562;35.170;7.199;95.918;13.735;9.585;23.600;20.467;33.761;9.776;9.013;1.904;9.013;2.143;2.308;8.942;0.415;23.600;10.729;7.111;51.708;1.904;8.323;4.272;7.447;7.111;2.055;60.435;2.352;4.272;56.523;9.585;9.776;9.585;5.711;9.776}</t>
  </si>
  <si>
    <t>{0.000;0.000;0.000;47.883;0.000;0.000;30.824;47.883;0.000;0.000;0.000;0.000;0.000;26.912;0.000;5.559;0.000;66.307;0.000;0.000;0.000;0.000;4.150;0.000;0.000;0.000;0.000;0.000;0.000;0.000;0.000;0.000;0.000;0.000;22.097;0.000;0.000;0.000;0.000;0.000;0.000;30.824;0.000;0.000;26.912;0.000;0.000;0.000;0.000;0.000}</t>
  </si>
  <si>
    <t>{122.317;186.613;632.548;130.675;478.606;564.272;285.455;91.336;333.394;518.620;314.176;493.355;297.531;369.649;869.247;147.358;581.982;288.944;118.962;689.112;570.566;579.945;748.975;719.880;822.817;390.665;375.853;276.790;321.431;465.088;143.699;278.313;583.093;456.972;209.053;434.833;166.766;239.382;101.153;567.809;582.818;307.530;316.866;796.302;328.443;685.228;421.521;467.473;407.261;366.992}</t>
  </si>
  <si>
    <t>{121.597;236.148;314.721;383.705;478.472;582.093;769.282}</t>
  </si>
  <si>
    <t>{18/12/2020 14:05:51;04/01/2021 13:08:53;13/01/2021 18:13:14;22/01/2021 13:42:17;04/02/2021 13:58:21;18/02/2021 12:35:36;16/03/2021 10:46:54}</t>
  </si>
  <si>
    <t>{49.248;321.934;46.803;25.376;14.556;1.413;80.419;28.362;69.745;46.803;0.221;30.554;192.607;205.939;264.069;9.369;42.175;28.362;9.369;36.558;176.201;8.729;28.362;321.934;119.846;36.558;30.470;6.488;12.538;6.488;8.729;1.413;9.369;25.312;28.362;28.362;33.795;42.175;69.745;119.846;7.003;24.231;20.340;20.340;326.849;28.362;19.460;7.304;25.376;31.219}</t>
  </si>
  <si>
    <t>{29.714;302.399;27.269;5.842;0.000;0.000;60.885;8.828;50.211;27.269;0.000;11.019;173.073;186.404;244.535;0.000;22.641;8.828;0.000;17.024;156.666;0.000;8.828;302.399;100.312;17.024;10.936;0.000;0.000;0.000;0.000;0.000;0.000;5.778;8.828;8.828;14.261;22.641;50.211;100.312;0.000;4.697;0.806;0.806;307.315;8.828;0.000;0.000;5.842;11.685}</t>
  </si>
  <si>
    <t>{152.031;489.012;659.817;136.516;478.606;564.272;346.340;100.163;383.605;545.889;314.176;504.374;470.604;556.053;1113.782;147.358;604.623;297.772;118.962;706.136;727.232;579.945;757.803;1022.279;923.128;407.690;386.789;276.790;321.431;465.088;143.699;278.313;583.093;462.749;217.881;443.661;181.027;262.022;151.364;668.121;582.818;312.227;317.672;797.108;635.758;694.056;421.521;467.473;413.102;378.677}</t>
  </si>
  <si>
    <t>{138.955;268.539;349.135;449.018;526.338;638.994;859.030}</t>
  </si>
  <si>
    <t>{22/12/2020 10:27:20;07/01/2021 14:02:19;19/01/2021 10:38:05;01/02/2021 16:01:03;11/02/2021 09:20:16;25/02/2021 16:59:40;26/03/2021 16:31:49}</t>
  </si>
  <si>
    <t>{0.121;16.745;178.197;18.425;13.835;178.197;15.463;16.745;26.850;3.982;4.287;11.090;11.090;3.537;17.807;18.163;16.612;62.721;22.994;19.932;3.982;13.211;105.009;16.612;18.425;112.277;13.374;62.721;4.287;112.277;62.721;13.211;11.090;178.197;5.108;13.835;13.211;18.163;13.374;178.197;43.844;19.932;3.537;16.745;65.340;3.818;11.090;26.850;4.287;4.287}</t>
  </si>
  <si>
    <t>{0.000;0.000;150.086;0.000;0.000;150.086;0.000;0.000;0.000;0.000;0.000;0.000;0.000;0.000;0.000;0.000;0.000;34.610;0.000;0.000;0.000;0.000;76.898;0.000;0.000;84.166;0.000;34.610;0.000;84.166;34.610;0.000;0.000;150.086;0.000;0.000;0.000;0.000;0.000;150.086;15.733;0.000;0.000;0.000;37.229;0.000;0.000;0.000;0.000;0.000}</t>
  </si>
  <si>
    <t>{152.031;489.012;809.904;136.516;478.606;714.358;346.340;100.163;383.605;545.889;314.176;504.374;470.604;556.053;1113.782;147.358;604.623;332.382;118.962;706.136;727.232;579.945;834.701;1022.279;923.128;491.856;386.789;311.400;321.431;549.255;178.309;278.313;583.093;612.836;217.881;443.661;181.027;262.022;151.364;818.207;598.551;312.227;317.672;797.108;672.987;694.056;421.521;467.473;413.102;378.677}</t>
  </si>
  <si>
    <t>{139.857;281.773;349.135;470.256;562.298;696.086;886.285}</t>
  </si>
  <si>
    <t>{22/12/2020 11:21:25;08/01/2021 16:46:24;19/01/2021 10:38:05;03/02/2021 16:15:22;16/02/2021 13:47:53;05/03/2021 11:05:11;31/03/2021 12:17:07}</t>
  </si>
  <si>
    <t>{6.379;29.518;27.268;6.117;26.687;7.624;10.951;10.951;36.837;6.379;285.481;10.951;7.624;22.108;1.234;22.164;21.426;6.117;281.188;24.772;22.108;26.614;26.827;26.687;26.687;40.879;40.879;8.183;1.234;104.678;281.188;29.098;5.667;17.766;29.518;43.015;29.518;285.481;6.117;5.667;26.614;31.931;8.183;6.999;31.931;100.482;12.714;21.426;16.997;100.482}</t>
  </si>
  <si>
    <t>{0.000;0.000;0.000;0.000;0.000;0.000;0.000;0.000;5.139;0.000;253.784;0.000;0.000;0.000;0.000;0.000;0.000;0.000;249.490;0.000;0.000;0.000;0.000;0.000;0.000;9.182;9.182;0.000;0.000;72.980;249.490;0.000;0.000;0.000;0.000;11.318;0.000;253.784;0.000;0.000;0.000;0.234;0.000;0.000;0.234;68.785;0.000;0.000;0.000;68.785}</t>
  </si>
  <si>
    <t>{152.031;489.012;809.904;136.516;478.606;714.358;346.340;100.163;388.744;545.889;567.960;504.374;470.604;556.053;1113.782;147.358;604.623;332.382;368.453;706.136;727.232;579.945;834.701;1022.279;923.128;501.038;395.971;311.400;321.431;622.235;427.799;278.313;583.093;612.836;217.881;454.978;181.027;515.806;151.364;818.207;598.551;312.461;317.672;797.108;673.221;762.841;421.521;467.473;413.102;447.462}</t>
  </si>
  <si>
    <t>{148.409;316.049;414.205;484.214;574.391;708.246;886.285}</t>
  </si>
  <si>
    <t>{23/12/2020 09:24:33;14/01/2021 09:02:56;27/01/2021 12:42:17;05/02/2021 09:12:52;17/02/2021 15:23:29;08/03/2021 12:44:44;31/03/2021 12:17:07}</t>
  </si>
  <si>
    <t>{11.893;15.225;2.111;2.278;8.255;10.156;9.992;0.460;2.278;9.939;85.904;66.994;2.840;2.840;3.048;66.994;6.331;62.657;6.331;6.617;2.111;2.376;104.728;3.048;10.625;2.558;6.617;104.728;4.079;37.425;7.883;2.111;10.837;8.255;104.728;37.425;10.156;66.994;10.625;13.720;8.234;66.994;4.079;9.226;9.992;106.327;2.840;10.994;13.720;10.837}</t>
  </si>
  <si>
    <t>{1.828;5.160;0.000;0.000;0.000;0.091;0.000;0.000;0.000;0.000;75.839;56.929;0.000;0.000;0.000;56.929;0.000;52.592;0.000;0.000;0.000;0.000;94.663;0.000;0.560;0.000;0.000;94.663;0.000;27.360;0.000;0.000;0.772;0.000;94.663;27.360;0.091;56.929;0.560;3.655;0.000;56.929;0.000;0.000;0.000;96.262;0.000;0.929;3.655;0.772}</t>
  </si>
  <si>
    <t>{153.859;494.173;809.904;136.516;478.606;714.449;346.340;100.163;388.744;545.889;643.799;561.303;470.604;556.053;1113.782;204.286;604.623;384.974;368.453;706.136;727.232;579.945;929.364;1022.279;923.688;501.038;395.971;406.063;321.431;649.594;427.799;278.313;583.865;612.836;312.544;482.338;181.118;572.735;151.924;821.862;598.551;369.390;317.672;797.108;673.221;859.103;421.521;468.401;416.757;448.234}</t>
  </si>
  <si>
    <t>{158.492;340.240;417.585;487.013;587.852;708.246;950.801}</t>
  </si>
  <si>
    <t>{24/12/2020 08:59:32;18/01/2021 12:14:23;27/01/2021 16:05:07;05/02/2021 12:00:47;18/02/2021 18:21:09;08/03/2021 12:44:44;08/04/2021 13:48:03}</t>
  </si>
  <si>
    <t>{22.580;14.712;50.444;127.440;5.065;6.776;22.580;5.687;6.776;232.844;17.525;83.207;190.992;4.693;232.844;18.353;26.442;5.796;17.743;23.622;22.580;14.075;5.796;148.949;5.687;33.851;139.306;236.399;5.282;24.443;10.528;24.095;10.528;22.215;26.442;50.444;18.307;139.306;22.098;5.065;6.313;24.095;1.022;22.038;9.069;5.065;35.620;190.992;127.440;22.038}</t>
  </si>
  <si>
    <t>{4.123;0.000;31.987;108.983;0.000;0.000;4.123;0.000;0.000;214.387;0.000;64.750;172.535;0.000;214.387;0.000;7.984;0.000;0.000;5.165;4.123;0.000;0.000;130.491;0.000;15.394;120.849;217.942;0.000;5.986;0.000;5.638;0.000;3.757;7.984;31.987;0.000;120.849;3.641;0.000;0.000;5.638;0.000;3.581;0.000;0.000;17.163;172.535;108.983;3.581}</t>
  </si>
  <si>
    <t>{157.981;494.173;841.890;245.499;478.606;714.449;350.462;100.163;388.744;760.276;643.799;626.052;643.139;556.053;1328.169;204.286;612.607;384.974;368.453;711.301;731.355;579.945;929.364;1152.771;923.688;516.432;516.820;624.005;321.431;655.580;427.799;283.951;583.865;616.593;320.529;514.325;181.118;693.584;155.565;821.862;598.551;375.027;317.672;800.689;673.221;859.103;438.683;640.937;525.740;451.815}</t>
  </si>
  <si>
    <t>{168.400;340.240;454.992;563.006;633.314;719.032;986.686}</t>
  </si>
  <si>
    <t>{25/12/2020 08:24:00;18/01/2021 12:14:23;02/02/2021 11:29:31;16/02/2021 14:30:23;25/02/2021 11:18:51;09/03/2021 13:01:55;13/04/2021 18:11:09}</t>
  </si>
  <si>
    <t>{41.073;16.964;6.091;99.951;21.163;160.634;171.752;27.239;146.951;67.069;21.110;30.490;16.964;6.558;99.951;146.951;39.034;35.174;20.459;95.946;6.091;21.163;41.073;6.558;21.163;12.140;28.185;20.208;6.558;171.752;10.457;26.037;7.814;25.616;160.634;25.616;20.208;27.784;21.163;25.482;6.558;5.411;25.412;41.073;99.951;5.840;272.591;58.167;220.233;220.233}</t>
  </si>
  <si>
    <t>{26.842;2.732;0.000;85.720;6.932;146.402;157.521;13.008;132.720;52.838;6.879;16.258;2.732;0.000;85.720;132.720;24.802;20.942;6.228;81.714;0.000;6.932;26.842;0.000;6.932;0.000;13.954;5.977;0.000;157.521;0.000;11.805;0.000;11.384;146.402;11.384;5.977;13.552;6.932;11.250;0.000;0.000;11.181;26.842;85.720;0.000;258.360;43.936;206.001;206.001}</t>
  </si>
  <si>
    <t>{184.823;496.905;841.890;331.219;485.538;860.852;507.983;113.171;521.464;813.114;650.678;642.311;645.872;556.053;1413.889;337.006;637.409;405.916;374.680;793.015;731.355;586.877;956.206;1152.771;930.620;516.432;530.774;629.982;321.431;813.101;427.799;295.757;583.865;627.977;466.931;525.709;187.095;707.136;162.497;833.112;598.551;375.027;328.853;827.531;758.940;859.103;697.043;684.872;731.742;657.817}</t>
  </si>
  <si>
    <t>{209.783;387.175;517.127;606.409;674.488;814.544;991.712}</t>
  </si>
  <si>
    <t>{30/12/2020 18:17:00;22/01/2021 17:10:29;10/02/2021 10:37:39;22/02/2021 15:54:31;03/03/2021 10:29:16;22/03/2021 14:02:38;14/04/2021 12:42:42}</t>
  </si>
  <si>
    <t>{2.768;9.956;1.209;3.037;2.038;2.713;0.539;14.638;5.794;2.768;2.538;6.681;0.018;14.638;0.582;9.557;3.888;4.091;4.091;3.888;16.001;0.653;2.594;1.617;2.594;0.653;9.557;2.808;9.557;1.209;2.768;27.153;0.018;2.038;3.888;27.153;1.617;2.808;26.745;5.794;0.582;2.538;2.808;0.539;1.690;5.794;3.504;2.531;21.937;0.607}</t>
  </si>
  <si>
    <t>{7.751;0.214;23.435;27.431;186.282;316.116;7.064;32.685;14.078;24.481;29.550;29.706;6.773;12.127;40.790;186.282;29.550;6.773;8.442;24.481;1.367;23.435;23.726;24.481;47.631;23.726;170.415;29.470;31.588;32.685;32.685;45.266;45.266;8.442;1.367;30.194;47.631;32.220;311.362;115.911;32.685;47.631;32.685;29.550;24.481;311.362;29.470;32.220;9.061;7.751}</t>
  </si>
  <si>
    <t>{0.000;0.000;6.136;10.132;168.984;298.818;0.000;15.387;0.000;7.182;12.252;12.407;0.000;0.000;23.491;168.984;12.252;0.000;0.000;7.182;0.000;6.136;6.427;7.182;30.333;6.427;153.116;12.171;14.290;15.387;15.387;27.967;27.967;0.000;0.000;12.896;30.333;14.921;294.064;98.612;15.387;30.333;15.387;12.252;7.182;294.064;12.171;14.921;0.000;0.000}</t>
  </si>
  <si>
    <t>{184.823;496.905;848.027;341.351;654.522;1159.669;507.983;128.558;521.464;820.296;662.929;654.718;645.872;556.053;1437.380;505.990;649.661;405.916;374.680;800.197;731.355;593.013;962.633;1159.953;960.953;522.859;683.890;642.153;335.721;828.488;443.186;323.724;611.833;627.977;466.931;538.605;217.427;722.058;456.560;931.724;613.938;405.360;344.240;839.783;766.122;1153.167;709.214;699.794;731.742;657.817}</t>
  </si>
  <si>
    <t>{244.043;426.174;525.348;644.030;694.653;822.245;1155.033}</t>
  </si>
  <si>
    <t>{05/01/2021 10:32:36;28/01/2021 14:10:26;11/02/2021 08:20:54;26/02/2021 11:31:49;05/03/2021 09:39:10;23/03/2021 11:14:41;06/05/2021 08:01:59}</t>
  </si>
  <si>
    <t>{32.341;5.164;16.664;9.559;9.559;20.010;5.164;135.239;8.234;0.928;22.193;20.170;126.484;16.110;15.912;21.877;16.664;20.064;4.796;4.796;115.710;20.064;78.702;45.801;20.502;6.152;173.413;52.811;4.599;115.710;126.484;173.413;6.152;4.599;15.912;27.696;18.625;8.234;4.261;22.193;4.599;27.696;5.732;20.064;214.641;9.559;0.928;20.064;15.912;13.357}</t>
  </si>
  <si>
    <t>{19.437;0.000;3.759;0.000;0.000;7.105;0.000;122.334;0.000;0.000;9.288;7.265;113.580;3.205;3.008;8.972;3.759;7.160;0.000;0.000;102.806;7.160;65.798;32.896;7.597;0.000;160.508;39.906;0.000;102.806;113.580;160.508;0.000;0.000;3.008;14.791;5.721;0.000;0.000;9.288;0.000;14.791;0.000;7.160;201.736;0.000;0.000;7.160;3.008;0.453}</t>
  </si>
  <si>
    <t>{204.260;496.905;851.786;341.351;654.522;1166.774;507.983;250.892;521.464;820.296;672.218;661.983;759.451;559.258;1440.387;514.962;653.420;413.076;374.680;800.197;834.160;600.173;1028.431;1192.849;968.550;522.859;844.398;682.060;335.721;931.293;556.766;484.232;611.833;627.977;469.939;553.396;223.148;722.058;456.560;941.013;613.938;420.151;344.240;846.942;967.858;1153.167;709.214;706.953;734.749;658.269}</t>
  </si>
  <si>
    <t>{271.246;467.629;553.836;654.633;720.067;855.377;1164.080}</t>
  </si>
  <si>
    <t>{07/01/2021 16:44:44;03/02/2021 13:37:45;15/02/2021 15:50:09;01/03/2021 11:37:57;09/03/2021 14:04:00;26/03/2021 12:52:39;06/05/2021 17:04:47}</t>
  </si>
  <si>
    <t>{6.481;6.995;7.854;7.295;30.518;8.004;49.191;6.481;19.438;1.412;205.700;12.524;49.191;31.183;6.995;46.749;30.518;28.329;30.679;14.539;46.749;192.384;30.435;28.329;33.275;7.295;9.358;20.317;33.756;7.295;31.183;30.679;114.910;114.910;8.004;36.516;9.358;30.435;9.358;25.282;42.126;19.438;25.346;8.004;80.326;205.700;25.282;30.435;33.756;31.183}</t>
  </si>
  <si>
    <t>{0.000;0.000;0.000;0.000;8.845;0.000;27.519;0.000;0.000;0.000;184.027;0.000;27.519;9.510;0.000;25.076;8.845;6.656;9.006;0.000;25.076;170.711;8.762;6.656;11.603;0.000;0.000;0.000;12.083;0.000;9.510;9.006;93.237;93.237;0.000;14.843;0.000;8.762;0.000;3.610;20.453;0.000;3.674;0.000;58.653;184.027;3.610;8.762;12.083;9.510}</t>
  </si>
  <si>
    <t>{204.260;496.905;851.786;341.351;663.367;1166.774;535.502;250.892;521.464;820.296;856.245;661.983;786.970;568.769;1440.387;540.038;662.266;419.733;383.686;800.197;859.236;770.884;1037.193;1199.506;980.152;522.859;844.398;682.060;347.804;931.293;566.276;493.238;705.069;721.214;469.939;568.239;223.148;730.820;456.560;944.622;634.391;420.151;347.914;846.942;1026.511;1337.194;712.824;715.716;746.832;667.780}</t>
  </si>
  <si>
    <t>{272.698;471.232;566.463;677.102;763.891;863.750;1213.640}</t>
  </si>
  <si>
    <t>{07/01/2021 18:11:51;03/02/2021 17:13:54;16/02/2021 17:57:47;03/03/2021 13:06:08;15/03/2021 15:53:27;29/03/2021 10:44:59;13/05/2021 14:08:23}</t>
  </si>
  <si>
    <t>{12.954;19.420;12.643;12.954;109.571;11.768;20.435;8.440;3.031;8.440;10.529;79.919;13.552;12.744;73.112;33.369;10.503;15.169;8.440;3.263;8.440;73.112;19.420;17.500;10.179;47.735;3.031;10.529;20.435;3.263;10.529;12.954;12.678;10.054;3.263;13.552;5.203;12.954;3.887;12.744;79.919;12.744;10.054;15.169;85.451;12.678;3.263;3.263;12.643;20.435}</t>
  </si>
  <si>
    <t>{0.000;0.000;0.000;0.000;88.807;0.000;0.000;0.000;0.000;0.000;0.000;59.155;0.000;0.000;52.348;12.604;0.000;0.000;0.000;0.000;0.000;52.348;0.000;0.000;0.000;26.971;0.000;0.000;0.000;0.000;0.000;0.000;0.000;0.000;0.000;0.000;0.000;0.000;0.000;0.000;59.155;0.000;0.000;0.000;64.687;0.000;0.000;0.000;0.000;0.000}</t>
  </si>
  <si>
    <t>{204.260;496.905;851.786;341.351;752.175;1166.774;535.502;250.892;521.464;820.296;856.245;721.138;786.970;568.769;1492.735;552.643;662.266;419.733;383.686;800.197;859.236;823.232;1037.193;1199.506;980.152;549.830;844.398;682.060;347.804;931.293;566.276;493.238;705.069;721.214;469.939;568.239;223.148;730.820;456.560;944.622;693.546;420.151;347.914;846.942;1091.198;1337.194;712.824;715.716;746.832;667.780}</t>
  </si>
  <si>
    <t>{272.698;471.232;566.463;707.731;772.584;863.750;1213.640}</t>
  </si>
  <si>
    <t>{07/01/2021 18:11:51;03/02/2021 17:13:54;16/02/2021 17:57:47;08/03/2021 12:13:51;16/03/2021 14:05:03;29/03/2021 10:44:59;13/05/2021 14:08:23}</t>
  </si>
  <si>
    <t>{177.533;34.051;7.923;47.157;30.785;30.785;8.795;207.495;24.414;49.621;14.666;28.576;177.533;36.835;324.367;9.440;120.752;324.367;8.795;36.835;115.913;7.923;24.414;194.063;194.063;1.424;33.566;25.503;25.568;266.065;207.495;7.056;6.537;120.752;6.537;25.568;8.795;0.223;30.946;47.157;1.424;20.494;47.157;120.752;7.359;49.621;81.027;120.752;31.455;177.533}</t>
  </si>
  <si>
    <t>{146.870;3.388;0.000;16.494;0.122;0.122;0.000;176.833;0.000;18.958;0.000;0.000;146.870;6.172;293.705;0.000;90.089;293.705;0.000;6.172;85.250;0.000;0.000;163.401;163.401;0.000;2.903;0.000;0.000;235.403;176.833;0.000;0.000;90.089;0.000;0.000;0.000;0.000;0.284;16.494;0.000;0.000;16.494;90.089;0.000;18.958;50.365;90.089;0.793;146.870}</t>
  </si>
  <si>
    <t>{351.130;500.293;851.786;357.845;752.297;1166.896;535.502;427.725;521.464;839.254;856.245;721.138;933.840;574.941;1786.440;552.643;752.355;713.437;383.686;806.370;944.487;823.232;1037.193;1362.906;1143.553;549.830;847.301;682.060;347.804;1166.696;743.109;493.238;705.069;811.304;469.939;568.239;223.148;730.820;456.844;961.117;693.546;420.151;364.408;937.032;1091.198;1356.152;763.189;805.805;747.625;814.650}</t>
  </si>
  <si>
    <t>{354.118;482.081;583.836;745.406;816.373;939.440;1220.799}</t>
  </si>
  <si>
    <t>{19/01/2021 15:37:03;04/02/2021 17:34:50;18/02/2021 14:20:11;11/03/2021 18:24:21;22/03/2021 15:52:23;07/04/2021 12:56:25;14/05/2021 10:47:56}</t>
  </si>
  <si>
    <t>{4.220;13.164;0.119;10.916;4.684;13.618;141.711;103.361;7.811;17.527;26.429;5.028;172.763;16.483;15.220;4.220;4.684;0.119;16.352;22.633;13.003;26.429;4.684;16.352;17.878;4.220;25.116;7.811;110.515;16.352;37.428;110.515;3.482;0.758;10.916;16.483;16.483;13.164;13.164;17.878;25.116;16.396;37.428;3.919;43.156;16.396;16.483;37.428;16.483;5.028}</t>
  </si>
  <si>
    <t>{0.000;0.000;0.000;0.000;0.000;0.000;114.380;76.031;0.000;0.000;0.000;0.000;145.433;0.000;0.000;0.000;0.000;0.000;0.000;0.000;0.000;0.000;0.000;0.000;0.000;0.000;0.000;0.000;83.185;0.000;10.097;83.185;0.000;0.000;0.000;0.000;0.000;0.000;0.000;0.000;0.000;0.000;10.097;0.000;15.826;0.000;0.000;10.097;0.000;0.000}</t>
  </si>
  <si>
    <t>{351.130;500.293;851.786;357.845;752.297;1166.896;649.882;503.756;521.464;839.254;856.245;721.138;1079.273;574.941;1786.440;552.643;752.355;713.437;383.686;806.370;944.487;823.232;1037.193;1362.906;1143.553;549.830;847.301;682.060;430.989;1166.696;753.206;576.423;705.069;811.304;469.939;568.239;223.148;730.820;456.844;961.117;693.546;420.151;374.505;937.032;1107.024;1356.152;763.189;815.903;747.625;814.650}</t>
  </si>
  <si>
    <t>{363.659;508.762;653.157;748.808;818.297;953.757;1220.799}</t>
  </si>
  <si>
    <t>{20/01/2021 14:39:34;09/02/2021 12:45:42;01/03/2021 10:09:25;12/03/2021 11:18:28;22/03/2021 17:47:50;08/04/2021 16:45:26;14/05/2021 10:47:56}</t>
  </si>
  <si>
    <t>{238.677;27.104;59.621;242.321;0.164;18.766;242.321;130.633;31.268;1.048;1.048;18.766;130.633;14.428;59.621;5.830;10.791;21.027;15.080;195.777;22.590;22.771;31.268;23.146;0.164;0.164;24.698;23.146;18.813;6.946;17.964;22.652;85.291;36.512;51.708;24.698;15.080;85.291;22.652;51.708;22.590;5.192;34.699;59.621;5.415;10.791;51.708;5.192;25.055;23.146}</t>
  </si>
  <si>
    <t>{228.582;17.009;49.526;232.226;0.000;8.670;232.226;120.537;21.173;0.000;0.000;8.670;120.537;4.332;49.526;0.000;0.696;10.932;4.985;185.681;12.495;12.676;21.173;13.050;0.000;0.000;14.603;13.050;8.718;0.000;7.869;12.557;75.196;26.417;41.612;14.603;4.985;75.196;12.557;41.612;12.495;0.000;24.604;49.526;0.000;0.696;41.612;0.000;14.960;13.050}</t>
  </si>
  <si>
    <t>{579.712;517.302;901.313;590.071;752.297;1175.567;882.108;624.293;542.636;839.254;856.245;729.809;1199.810;579.273;1835.966;552.643;753.051;724.369;388.671;992.051;956.982;835.907;1058.366;1375.957;1143.553;549.830;861.905;695.110;439.707;1166.696;761.076;588.980;780.265;837.720;511.551;582.843;228.133;806.016;469.401;1002.729;706.041;420.151;399.109;986.558;1107.024;1356.849;804.801;815.903;762.585;827.700}</t>
  </si>
  <si>
    <t>{408.243;561.607;697.304;773.139;845.593;998.683;1248.250}</t>
  </si>
  <si>
    <t>{26/01/2021 17:14:37;16/02/2021 13:06:26;05/03/2021 12:18:16;16/03/2021 14:38:21;25/03/2021 13:35:36;15/04/2021 09:10:57;18/05/2021 17:15:02}</t>
  </si>
  <si>
    <t>{28.115;16.752;6.028;28.115;227.314;24.414;7.514;165.799;8.065;29.091;16.752;31.470;28.115;26.439;5.585;60.037;6.898;165.799;28.115;10.793;165.799;21.789;16.752;26.229;20.858;6.028;21.789;24.414;42.394;26.229;26.874;29.091;177.275;40.289;36.305;29.091;10.793;20.858;28.677;28.677;31.470;103.165;177.275;42.394;177.275;281.356;277.125;5.585;99.030;31.470}</t>
  </si>
  <si>
    <t>{20.941;9.578;0.000;20.941;220.140;17.241;0.340;158.625;0.891;21.918;9.578;24.296;20.941;19.266;0.000;52.864;0.000;158.625;20.941;3.619;158.625;14.615;9.578;19.056;13.685;0.000;14.615;17.241;35.220;19.056;19.700;21.918;170.101;33.115;29.131;21.918;3.619;13.685;21.503;21.503;24.296;95.991;170.101;35.220;170.101;274.182;269.951;0.000;91.857;24.296}</t>
  </si>
  <si>
    <t>{600.653;526.880;901.313;611.012;972.437;1192.807;882.448;782.918;543.528;861.172;865.823;754.105;1220.751;598.539;1835.966;605.506;753.051;882.994;409.612;995.671;1115.606;850.522;1067.944;1395.012;1157.237;549.830;876.520;712.351;474.927;1185.752;780.776;610.898;950.366;870.835;540.682;604.760;231.752;819.700;490.904;1024.232;730.337;516.143;569.210;1021.778;1277.125;1631.031;1074.752;815.903;854.442;851.997}</t>
  </si>
  <si>
    <t>{484.201;581.787;732.120;851.502;890.466;1072.710;1374.449}</t>
  </si>
  <si>
    <t>{05/02/2021 09:12:02;18/02/2021 12:17:13;10/03/2021 15:37:12;26/03/2021 09:00:09;31/03/2021 16:27:56;26/04/2021 09:42:36;03/06/2021 17:26:57}</t>
  </si>
  <si>
    <t>{185.571;290.095;107.993;27.532;6.310;72.466;5.847;290.095;0.199;7.086;8.442;72.466;13.116;27.457;22.866;27.457;158.774;22.866;6.310;11.298;29.431;27.532;27.677;22.105;27.457;0.199;27.457;29.431;44.378;30.019;72.466;294.524;22.866;22.808;28.132;0.199;22.808;5.847;7.221;158.774;18.329;6.310;7.866;5.847;42.174;237.953;21.834;11.298;6.581;22.105}</t>
  </si>
  <si>
    <t>{156.764;261.287;79.185;0.000;0.000;43.658;0.000;261.287;0.000;0.000;0.000;43.658;0.000;0.000;0.000;0.000;129.967;0.000;0.000;0.000;0.623;0.000;0.000;0.000;0.000;0.000;0.000;0.623;15.570;1.211;43.658;265.716;0.000;0.000;0.000;0.000;0.000;0.000;0.000;129.967;0.000;0.000;0.000;0.000;13.366;209.145;0.000;0.000;0.000;0.000}</t>
  </si>
  <si>
    <t>{757.416;788.167;980.498;611.012;972.437;1236.465;882.448;1044.205;543.528;861.172;865.823;797.763;1220.751;598.539;1835.966;605.506;883.018;882.994;409.612;995.671;1116.229;850.522;1067.944;1395.012;1157.237;549.830;876.520;712.974;490.497;1186.963;824.434;876.613;950.366;870.835;540.682;604.760;231.752;819.700;490.904;1154.199;730.337;516.143;569.210;1021.778;1290.491;1840.175;1074.752;815.903;854.442;851.997}</t>
  </si>
  <si>
    <t>{496.267;601.326;799.408;863.588;921.021;1082.697;1440.497}</t>
  </si>
  <si>
    <t>{08/02/2021 10:46:02;22/02/2021 10:49:33;19/03/2021 09:24:29;29/03/2021 10:35:16;05/04/2021 15:31:16;27/04/2021 09:11:48;14/06/2021 09:59:49}</t>
  </si>
  <si>
    <t>{4.918;165.149;204.412;204.412;120.457;17.738;5.012;20.835;29.271;19.209;22.864;43.619;110.196;120.457;19.108;4.380;19.209;20.835;5.012;4.918;7.841;15.830;30.800;7.841;110.196;4.918;12.171;29.271;21.136;71.948;71.948;17.738;4.058;0.884;19.108;20.426;204.412;15.154;29.271;5.859;165.149;19.108;15.830;201.338;4.568;20.426;21.136;201.338;20.426;5.859}</t>
  </si>
  <si>
    <t>{0.000;147.306;186.568;186.568;102.613;0.000;0.000;2.991;11.427;1.365;5.020;25.775;92.352;102.613;1.264;0.000;1.365;2.991;0.000;0.000;0.000;0.000;12.956;0.000;92.352;0.000;0.000;11.427;3.292;54.104;54.104;0.000;0.000;0.000;1.264;2.582;186.568;0.000;11.427;0.000;147.306;1.264;0.000;183.494;0.000;2.582;3.292;183.494;2.582;0.000}</t>
  </si>
  <si>
    <t>{757.416;935.472;1167.066;797.580;1075.050;1236.465;882.448;1047.196;554.954;862.537;870.843;823.538;1313.104;701.152;1837.231;605.506;884.383;885.985;409.612;995.671;1116.229;850.522;1080.900;1395.012;1249.590;549.830;876.520;724.400;493.789;1241.067;878.538;876.613;950.366;870.835;541.947;607.343;418.320;819.700;502.331;1154.199;877.643;517.407;569.210;1205.272;1290.491;1842.758;1078.044;999.397;857.024;851.997}</t>
  </si>
  <si>
    <t>{499.103;643.764;851.010;877.095;971.204;1159.306;1457.239}</t>
  </si>
  <si>
    <t>{08/02/2021 13:36:10;26/02/2021 11:15:52;26/03/2021 08:30:36;30/03/2021 13:35:41;12/04/2021 13:12:15;06/05/2021 12:18:23;15/06/2021 16:14:20}</t>
  </si>
  <si>
    <t>{28.849;166.790;278.782;28.283;21.974;31.658;29.265;6.325;99.623;69.640;26.386;8.113;17.614;10.858;28.849;5.619;36.522;36.522;16.852;5.619;6.325;24.560;6.809;6.939;29.265;26.458;7.559;16.852;6.809;26.458;6.939;24.560;0.192;31.658;42.647;29.265;20.983;278.782;24.560;26.597;69.640;5.619;6.809;166.790;166.790;1.224;0.192;21.919;21.974;228.673}</t>
  </si>
  <si>
    <t>{8.512;146.453;258.445;7.947;1.638;11.322;8.929;0.000;79.286;49.303;6.050;0.000;0.000;0.000;8.512;0.000;16.185;16.185;0.000;0.000;0.000;4.224;0.000;0.000;8.929;6.122;0.000;0.000;0.000;6.122;0.000;4.224;0.000;11.322;22.311;8.929;0.646;258.445;4.224;6.261;49.303;0.000;0.000;146.453;146.453;0.000;0.000;1.583;1.638;208.337}</t>
  </si>
  <si>
    <t>{765.928;1081.926;1425.511;805.527;1076.688;1247.787;891.377;1047.196;634.241;911.840;876.893;823.538;1313.104;701.152;1845.743;605.506;900.568;902.170;409.612;995.671;1116.229;854.746;1080.900;1395.012;1258.519;555.952;876.520;724.400;493.789;1247.189;878.538;880.837;950.366;882.157;564.257;616.271;418.967;1078.145;506.555;1160.460;926.946;517.407;569.210;1351.726;1436.945;1842.758;1078.044;1000.979;858.662;1060.333}</t>
  </si>
  <si>
    <t>{499.103;650.224;860.029;903.386;1059.730;1169.193;1540.254}</t>
  </si>
  <si>
    <t>{08/02/2021 13:36:10;26/02/2021 17:43:25;26/03/2021 17:31:46;02/04/2021 08:23:10;22/04/2021 17:43:47;07/05/2021 11:41:34;25/06/2021 15:15:15}</t>
  </si>
  <si>
    <t>{1.308;6.758;8.669;106.448;8.669;297.882;18.007;1.308;23.480;6.480;74.411;13.468;6.480;43.306;28.271;28.420;30.221;43.306;244.340;302.430;22.420;26.243;30.825;6.758;64.534;18.821;26.243;6.004;28.271;30.825;106.448;106.448;7.415;33.827;8.077;28.194;8.077;163.036;23.480;39.024;22.420;106.448;64.534;190.553;23.421;22.420;31.270;28.887;0.205;23.480}</t>
  </si>
  <si>
    <t>{0.000;0.000;0.000;95.860;0.000;287.294;7.419;0.000;12.892;0.000;63.823;2.881;0.000;32.718;17.683;17.832;19.633;32.718;233.752;291.842;11.833;15.655;20.237;0.000;53.946;8.233;15.655;0.000;17.683;20.237;95.860;95.860;0.000;23.239;0.000;17.606;0.000;152.449;12.892;28.436;11.833;95.860;53.946;179.965;12.833;11.833;20.682;18.299;0.000;12.892}</t>
  </si>
  <si>
    <t>{765.928;1081.926;1425.511;901.387;1076.688;1535.081;898.796;1047.196;647.133;911.840;940.716;826.418;1313.104;733.870;1863.426;623.338;920.201;934.889;643.364;1287.512;1128.062;870.402;1101.137;1395.012;1312.465;564.184;892.175;724.400;511.472;1267.426;974.398;976.698;950.366;905.396;564.257;633.877;418.967;1230.594;519.447;1188.896;938.779;613.267;623.156;1531.691;1449.778;1854.590;1098.726;1019.279;858.662;1073.225}</t>
  </si>
  <si>
    <t>{529.530;675.779;892.866;941.676;1076.923;1271.930;1620.488}</t>
  </si>
  <si>
    <t>{11/02/2021 12:31:46;03/03/2021 11:46:43;01/04/2021 08:21:57;07/04/2021 15:10:32;26/04/2021 13:55:23;21/05/2021 09:25:49;07/07/2021 11:29:17}</t>
  </si>
  <si>
    <t>{16.326;207.129;18.248;5.616;74.018;5.059;5.059;4.699;13.087;5.059;21.434;4.506;27.135;30.113;12.521;4.506;4.699;16.326;5.059;27.135;21.743;132.499;5.616;9.365;5.059;0.142;30.113;77.108;4.699;210.291;31.686;13.087;77.108;16.285;15.783;210.291;51.741;4.506;4.175;23.521;123.921;4.506;0.142;31.686;16.326;15.590;16.326;5.156;4.175;15.783}</t>
  </si>
  <si>
    <t>{8.994;199.797;10.916;0.000;66.685;0.000;0.000;0.000;5.755;0.000;14.102;0.000;19.803;22.780;5.188;0.000;0.000;8.994;0.000;19.803;14.411;125.167;0.000;2.033;0.000;0.000;22.780;69.775;0.000;202.959;24.354;5.755;69.775;8.953;8.451;202.959;44.409;0.000;0.000;16.189;116.589;0.000;0.000;24.354;8.994;8.258;8.994;0.000;0.000;8.451}</t>
  </si>
  <si>
    <t>{774.923;1281.723;1436.427;901.387;1143.373;1535.081;898.796;1047.196;652.887;911.840;954.817;826.418;1332.907;756.651;1868.614;623.338;920.201;943.883;643.364;1307.315;1142.473;995.568;1101.137;1397.045;1312.465;564.184;914.955;794.176;511.472;1470.386;998.752;982.452;1020.142;914.349;572.708;836.837;463.376;1230.594;519.447;1205.085;1055.368;613.267;623.156;1556.045;1458.772;1862.848;1107.720;1019.279;858.662;1081.676}</t>
  </si>
  <si>
    <t>{531.431;701.701;902.359;986.527;1092.745;1309.874;1625.217}</t>
  </si>
  <si>
    <t>{11/02/2021 14:25:51;05/03/2021 16:42:05;01/04/2021 17:51:33;13/04/2021 18:01:38;28/04/2021 08:44:42;26/05/2021 15:52:27;07/07/2021 16:13:00}</t>
  </si>
  <si>
    <t>{19.223;4.571;19.071;19.071;0.884;50.332;22.881;15.165;110.280;4.061;17.751;9.110;15.882;15.165;4.383;128.892;5.016;9.110;120.548;20.442;20.850;20.442;12.180;20.850;17.751;21.152;43.652;4.061;50.332;5.864;20.442;4.383;20.442;43.652;0.884;7.847;9.110;4.921;20.850;15.354;4.571;4.383;15.354;15.882;75.009;12.180;15.842;17.751;72.003;15.882}</t>
  </si>
  <si>
    <t>{18.959;4.307;18.807;18.807;0.620;50.068;22.617;14.901;110.016;3.797;17.487;8.846;15.618;14.901;4.119;128.628;4.751;8.846;120.284;20.177;20.586;20.177;11.916;20.586;17.487;20.887;43.388;3.797;50.068;5.600;20.177;4.119;20.177;43.388;0.620;7.583;8.846;4.657;20.586;15.089;4.307;4.119;15.089;15.618;74.745;11.916;15.578;17.487;71.739;15.618}</t>
  </si>
  <si>
    <t>{793.882;1286.030;1455.234;920.194;1143.993;1585.149;921.413;1062.097;762.903;915.637;972.304;835.264;1348.524;771.552;1872.733;751.966;924.952;952.729;763.648;1327.492;1163.059;1015.746;1113.053;1417.631;1329.952;585.072;958.343;797.973;561.540;1475.985;1018.929;986.571;1040.319;957.737;573.329;844.420;472.222;1235.251;540.033;1220.175;1059.675;617.386;638.245;1571.662;1533.517;1874.764;1123.298;1036.766;930.401;1097.294}</t>
  </si>
  <si>
    <t>{566.835;775.742;922.087;994.661;1108.346;1329.596;1654.457}</t>
  </si>
  <si>
    <t>{16/02/2021 18:20:05;16/03/2021 17:14:30;05/04/2021 16:35:13;14/04/2021 15:39:38;29/04/2021 13:50:45;28/05/2021 14:35:45;12/07/2021 13:57:25}</t>
  </si>
  <si>
    <t>{15.556;13.455;17.123;10.673;3.559;17.913;16.712;25.670;4.006;105.638;4.006;16.758;0.775;20.051;17.123;4.788;38.253;44.107;3.841;4.006;179.266;6.877;4.788;20.051;13.290;23.131;144.833;3.841;176.570;25.670;13.883;23.131;13.455;7.983;16.758;4.395;4.395;16.758;4.313;13.918;105.638;16.846;105.638;13.918;7.983;176.570;7.983;179.266;3.841;3.559}</t>
  </si>
  <si>
    <t>{8.554;6.453;10.121;3.671;0.000;10.911;9.710;18.668;0.000;98.637;0.000;9.756;0.000;13.049;10.121;0.000;31.251;37.105;0.000;0.000;172.264;0.000;0.000;13.049;6.288;16.130;137.831;0.000;169.568;18.668;6.881;16.130;6.453;0.981;9.756;0.000;0.000;9.756;0.000;6.916;98.637;9.844;98.637;6.916;0.981;169.568;0.981;172.264;0.000;0.000}</t>
  </si>
  <si>
    <t>{802.436;1292.482;1465.354;923.865;1143.993;1596.060;931.123;1080.765;762.903;1014.273;972.304;845.020;1348.524;784.601;1882.854;751.966;956.203;989.834;763.648;1327.492;1335.323;1015.746;1113.053;1430.681;1336.240;601.201;1096.174;797.973;731.108;1494.653;1025.810;1002.701;1046.772;958.718;583.084;844.420;472.222;1245.007;540.033;1227.090;1158.312;627.230;736.882;1578.578;1534.498;2044.332;1124.280;1209.029;930.401;1097.294}</t>
  </si>
  <si>
    <t>{593.017;777.378;933.192;1023.502;1138.743;1336.643;1662.254}</t>
  </si>
  <si>
    <t>{19/02/2021 13:01:01;17/03/2021 08:22:41;06/04/2021 17:11:33;19/04/2021 13:00:08;04/05/2021 12:44:36;31/05/2021 11:08:36;13/07/2021 11:15:14}</t>
  </si>
  <si>
    <t>{0.365;45.523;18.019;12.092;45.523;3.239;7.328;8.438;5.255;68.224;3.239;7.894;0.365;8.438;1.887;84.444;9.445;8.066;6.338;83.174;7.328;0.057;18.019;18.019;20.777;0.057;7.935;0.365;8.607;1.887;6.260;6.260;3.761;20.777;9.445;6.260;1.887;2.070;6.338;8.731;30.963;0.365;1.809;5.255;2.070;12.092;49.761;8.607;8.607;53.206}</t>
  </si>
  <si>
    <t>{0.000;31.312;3.808;0.000;31.312;0.000;0.000;0.000;0.000;54.013;0.000;0.000;0.000;0.000;0.000;70.233;0.000;0.000;0.000;68.963;0.000;0.000;3.808;3.808;6.566;0.000;0.000;0.000;0.000;0.000;0.000;0.000;0.000;6.566;0.000;0.000;0.000;0.000;0.000;0.000;16.752;0.000;0.000;0.000;0.000;0.000;35.551;0.000;0.000;38.995}</t>
  </si>
  <si>
    <t>{802.436;1323.794;1469.163;923.865;1175.305;1596.060;931.123;1080.765;762.903;1068.287;972.304;845.020;1348.524;784.601;1882.854;822.199;956.203;989.834;763.648;1396.456;1335.323;1015.746;1116.861;1434.489;1342.806;601.201;1096.174;797.973;731.108;1494.653;1025.810;1002.701;1046.772;965.284;583.084;844.420;472.222;1245.007;540.033;1227.090;1175.064;627.230;736.882;1578.578;1534.498;2044.332;1159.830;1209.029;930.401;1136.289}</t>
  </si>
  <si>
    <t>{593.017;791.735;933.685;1036.429;1166.407;1348.171;1662.254}</t>
  </si>
  <si>
    <t>{19/02/2021 13:01:01;18/03/2021 12:14:06;06/04/2021 17:41:06;20/04/2021 15:25:45;07/05/2021 08:54:26;01/06/2021 12:10:15;13/07/2021 11:15:14}</t>
  </si>
  <si>
    <t>{5.954;28.647;161.680;38.699;18.664;26.025;0.203;17.857;1.297;109.969;1.297;23.284;8.010;0.203;33.546;31.010;28.647;6.702;31.010;176.734;7.215;105.562;73.792;176.734;299.913;27.959;30.569;295.403;11.505;17.857;13.356;6.426;295.403;188.967;7.215;242.307;109.969;28.647;18.664;42.946;7.353;29.969;7.353;22.510;33.546;8.010;30.569;109.969;13.356;33.546}</t>
  </si>
  <si>
    <t>{0.000;16.510;149.544;26.563;6.528;13.888;0.000;5.720;0.000;97.833;0.000;11.148;0.000;0.000;21.409;18.874;16.510;0.000;18.874;164.598;0.000;93.426;61.655;164.598;287.777;15.823;18.432;283.267;0.000;5.720;1.220;0.000;283.267;176.831;0.000;230.171;97.833;16.510;6.528;30.809;0.000;17.833;0.000;10.373;21.409;0.000;18.432;97.833;1.220;21.409}</t>
  </si>
  <si>
    <t>{802.436;1340.304;1618.706;950.428;1181.833;1609.949;931.123;1086.485;762.903;1166.120;972.304;856.168;1348.524;784.601;1904.263;841.073;972.713;989.834;782.522;1561.053;1335.323;1109.172;1178.516;1599.087;1630.583;617.024;1114.606;1081.239;731.108;1500.373;1027.030;1002.701;1330.038;1142.115;583.084;1074.590;570.055;1261.517;546.561;1257.900;1175.064;645.063;736.882;1588.951;1555.907;2044.332;1178.262;1306.862;931.621;1157.698}</t>
  </si>
  <si>
    <t>{597.029;807.190;974.962;1117.408;1212.254;1369.263;1697.234}</t>
  </si>
  <si>
    <t>{19/02/2021 17:01:46;19/03/2021 17:11:23;12/04/2021 16:57:44;30/04/2021 12:24:27;13/05/2021 12:45:16;03/06/2021 12:15:46;16/07/2021 14:44:04}</t>
  </si>
  <si>
    <t>{4.599;33.174;23.150;20.103;231.671;10.317;21.597;136.520;33.174;20.103;34.907;5.177;124.891;14.417;17.986;5.177;23.150;25.913;17.941;81.543;4.964;49.435;14.417;21.597;5.177;17.941;33.174;13.794;20.103;5.680;5.177;145.970;5.680;17.986;0.157;22.128;21.656;17.986;17.175;23.613;187.172;84.947;6.641;49.435;5.177;6.187;84.947;25.913;145.970;231.671}</t>
  </si>
  <si>
    <t>{0.000;11.315;1.291;0.000;209.812;0.000;0.000;114.661;11.315;0.000;13.048;0.000;103.032;0.000;0.000;0.000;1.291;4.054;0.000;59.683;0.000;27.576;0.000;0.000;0.000;0.000;11.315;0.000;0.000;0.000;0.000;124.110;0.000;0.000;0.000;0.269;0.000;0.000;0.000;1.754;165.313;63.088;0.000;27.576;0.000;0.000;63.088;4.054;124.110;209.812}</t>
  </si>
  <si>
    <t>{802.436;1351.619;1619.997;950.428;1391.645;1609.949;931.123;1201.146;774.218;1166.120;985.353;856.168;1451.557;784.601;1904.263;841.073;974.004;993.888;782.522;1620.737;1335.323;1136.748;1178.516;1599.087;1630.583;617.024;1125.921;1081.239;731.108;1500.373;1027.030;1126.811;1330.038;1142.115;583.084;1074.860;570.055;1261.517;546.561;1259.654;1340.377;708.150;736.882;1616.527;1555.907;2044.332;1241.350;1310.916;1055.731;1367.510}</t>
  </si>
  <si>
    <t>{611.224;807.190;998.526;1144.091;1290.639;1461.992;1698.707}</t>
  </si>
  <si>
    <t>{23/02/2021 10:13:27;19/03/2021 17:11:23;15/04/2021 09:01:33;04/05/2021 18:05:27;24/05/2021 17:38:19;16/06/2021 10:29:30;16/07/2021 16:12:24}</t>
  </si>
  <si>
    <t>{11.143;65.656;0.121;7.974;0.774;16.826;0.774;15.538;5.133;5.133;20.028;11.143;17.103;38.209;18.514;16.826;4.308;13.867;44.057;38.209;179.060;63.025;18.251;13.867;13.439;4.390;7.974;4.390;176.368;7.974;4.308;16.693;65.656;16.826;11.143;13.902;4.390;179.060;4.390;65.656;20.028;105.517;13.867;4.782;7.974;3.555;15.538;179.060;3.555;44.057}</t>
  </si>
  <si>
    <t>{0.000;36.212;0.000;0.000;0.000;0.000;0.000;0.000;0.000;0.000;0.000;0.000;0.000;8.765;0.000;0.000;0.000;0.000;14.612;8.765;149.616;33.581;0.000;0.000;0.000;0.000;0.000;0.000;146.923;0.000;0.000;0.000;36.212;0.000;0.000;0.000;0.000;149.616;0.000;36.212;0.000;76.073;0.000;0.000;0.000;0.000;0.000;149.616;0.000;14.612}</t>
  </si>
  <si>
    <t>{802.436;1387.831;1619.997;950.428;1391.645;1609.949;931.123;1201.146;774.218;1166.120;985.353;856.168;1451.557;793.366;1904.263;841.073;974.004;993.888;797.134;1629.501;1484.939;1170.329;1178.516;1599.087;1630.583;617.024;1125.921;1081.239;878.031;1500.373;1027.030;1126.811;1366.250;1142.115;583.084;1074.860;570.055;1411.133;546.561;1295.866;1340.377;784.224;736.882;1616.527;1555.907;2044.332;1241.350;1460.532;1055.731;1382.122}</t>
  </si>
  <si>
    <t>{617.689;823.928;998.526;1149.169;1358.119;1492.036;1705.061}</t>
  </si>
  <si>
    <t>{23/02/2021 16:41:20;23/03/2021 12:55:42;15/04/2021 09:01:33;05/05/2021 12:40:07;02/06/2021 11:37:08;21/06/2021 09:02:10;19/07/2021 12:03:39}</t>
  </si>
  <si>
    <t>{0.665;4.679;3.211;0.616;1.933;6.626;4.007;0.747;25.089;0.747;0.890;2.302;30.586;0.665;3.211;3.211;2.903;1.849;7.641;1.933;1.191;19.566;0.021;0.021;18.299;2.903;2.331;16.741;19.566;1.933;7.641;30.586;2.405;0.694;2.918;2.405;18.299;30.586;2.895;1.191;2.331;6.626;3.473;1.849;4.679;10.930;2.695;2.302;3.211;0.761}</t>
  </si>
  <si>
    <t>{0.000;0.000;0.000;0.000;0.000;0.000;0.000;0.000;0.000;0.000;0.000;0.000;3.986;0.000;0.000;0.000;0.000;0.000;0.000;0.000;0.000;0.000;0.000;0.000;0.000;0.000;0.000;0.000;0.000;0.000;0.000;3.986;0.000;0.000;0.000;0.000;0.000;3.986;0.000;0.000;0.000;0.000;0.000;0.000;0.000;0.000;0.000;0.000;0.000;0.000}</t>
  </si>
  <si>
    <t>{802.436;1387.831;1619.997;950.428;1391.645;1609.949;931.123;1201.146;774.218;1166.120;985.353;856.168;1455.542;793.366;1904.263;841.073;974.004;993.888;797.134;1629.501;1484.939;1170.329;1178.516;1599.087;1630.583;617.024;1125.921;1081.239;878.031;1500.373;1027.030;1130.797;1366.250;1142.115;583.084;1074.860;570.055;1415.119;546.561;1295.866;1340.377;784.224;736.882;1616.527;1555.907;2044.332;1241.350;1460.532;1055.731;1382.122}</t>
  </si>
  <si>
    <t>{17.548;139.486;1.023;14.730;58.239;127.604;26.476;24.474;86.792;127.604;24.474;139.486;5.695;5.803;191.238;5.289;139.486;30.543;26.476;5.803;20.540;14.093;22.609;5.072;4.699;23.653;5.695;33.895;86.792;86.792;14.730;33.895;1.023;26.476;10.541;20.540;50.509;50.509;18.331;14.730;22.609;50.509;20.540;24.126;4.699;22.067;9.080;26.476;236.703;191.238}</t>
  </si>
  <si>
    <t>{0.000;116.280;0.000;0.000;35.034;104.399;3.270;1.269;63.587;104.399;1.269;116.280;0.000;0.000;168.033;0.000;116.280;7.338;3.270;0.000;0.000;0.000;0.000;0.000;0.000;0.448;0.000;10.689;63.587;63.587;0.000;10.689;0.000;3.270;0.000;0.000;27.304;27.304;0.000;0.000;0.000;27.304;0.000;0.921;0.000;0.000;0.000;3.270;213.498;168.033}</t>
  </si>
  <si>
    <t>{802.436;1504.111;1619.997;950.428;1426.679;1714.348;934.393;1202.415;837.805;1270.518;986.622;972.448;1455.542;793.366;2072.296;841.073;1090.284;1001.225;800.405;1629.501;1484.939;1170.329;1178.516;1599.087;1630.583;617.472;1125.921;1091.929;941.618;1563.960;1027.030;1141.486;1366.250;1145.386;583.084;1074.860;597.358;1442.423;546.561;1295.866;1340.377;811.527;736.882;1617.448;1555.907;2044.332;1241.350;1463.802;1269.229;1550.155}</t>
  </si>
  <si>
    <t>{628.751;876.440;1031.774;1178.350;1377.055;1551.536;1744.364}</t>
  </si>
  <si>
    <t>{24/02/2021 17:15:04;30/03/2021 12:56:24;20/04/2021 10:46:27;10/05/2021 10:21:01;04/06/2021 09:33:19;28/06/2021 16:02:08;23/07/2021 09:21:49}</t>
  </si>
  <si>
    <t>{7.190;9.572;23.570;94.354;1.902;95.795;95.795;2.349;5.961;51.642;7.102;3.675;7.437;7.418;94.354;0.414;94.354;2.305;8.312;7.437;9.572;77.395;2.349;35.125;77.395;9.150;56.450;2.746;2.558;9.150;4.266;2.141;60.358;8.955;20.441;7.418;33.717;9.764;8.955;8.930;56.450;20.441;0.414;2.349;7.102;23.570;14.434;12.361;14.434;2.052}</t>
  </si>
  <si>
    <t>{0.000;0.000;10.921;81.705;0.000;83.146;83.146;0.000;0.000;38.993;0.000;0.000;0.000;0.000;81.705;0.000;81.705;0.000;0.000;0.000;0.000;64.746;0.000;22.476;64.746;0.000;43.802;0.000;0.000;0.000;0.000;0.000;47.709;0.000;7.793;0.000;21.069;0.000;0.000;0.000;43.802;7.793;0.000;0.000;0.000;10.921;1.785;0.000;1.785;0.000}</t>
  </si>
  <si>
    <t>{802.436;1504.111;1630.918;1032.133;1426.679;1797.494;1017.539;1202.415;837.805;1309.512;986.622;972.448;1455.542;793.366;2154.001;841.073;1171.990;1001.225;800.405;1629.501;1484.939;1235.075;1178.516;1621.563;1695.329;617.472;1169.722;1091.929;941.618;1563.960;1027.030;1141.486;1413.959;1145.386;590.877;1074.860;618.427;1442.423;546.561;1295.866;1384.179;819.320;736.882;1617.448;1555.907;2055.253;1243.136;1463.802;1271.014;1550.155}</t>
  </si>
  <si>
    <t>{644.339;879.330;1036.618;1192.656;1402.241;1551.536;1794.308}</t>
  </si>
  <si>
    <t>{26/02/2021 11:50:21;30/03/2021 15:49:48;20/04/2021 15:37:05;11/05/2021 14:09:22;08/06/2021 13:44:28;28/06/2021 16:02:08;29/07/2021 17:18:28}</t>
  </si>
  <si>
    <t>{1.515;1.905;0.088;7.192;2.286;1.586;11.016;0.088;1.773;0.910;1.272;1.515;0.438;0.014;0.088;0.910;12.042;2.083;2.286;2.042;1.217;2.083;1.773;0.586;4.360;0.406;5.028;3.079;2.042;0.438;2.083;4.360;0.088;16.510;0.910;0.492;2.083;1.534;0.492;1.217;1.920;1.586;7.493;1.217;2.637;0.546;0.501;12.875;20.435;3.079}</t>
  </si>
  <si>
    <t>{0.000;0.000;0.000;0.000;0.000;0.000;0.000;0.000;0.000;0.000;0.000;0.000;0.000;0.000;0.000;0.000;0.000;0.000;0.000;0.000;0.000;0.000;0.000;0.000;0.000;0.000;0.000;0.000;0.000;0.000;0.000;0.000;0.000;3.458;0.000;0.000;0.000;0.000;0.000;0.000;0.000;0.000;0.000;0.000;0.000;0.000;0.000;0.000;7.384;0.000}</t>
  </si>
  <si>
    <t>{802.436;1504.111;1630.918;1032.133;1426.679;1797.494;1017.539;1202.415;837.805;1309.512;986.622;972.448;1455.542;793.366;2154.001;841.073;1171.990;1001.225;800.405;1629.501;1484.939;1235.075;1178.516;1621.563;1695.329;617.472;1169.722;1091.929;941.618;1563.960;1027.030;1141.486;1413.959;1148.844;590.877;1074.860;618.427;1442.423;546.561;1295.866;1384.179;819.320;736.882;1617.448;1555.907;2055.253;1243.136;1463.802;1278.398;1550.155}</t>
  </si>
  <si>
    <t>{26.631;11.869;15.868;24.913;215.318;20.691;29.809;29.809;56.869;0.180;26.631;262.500;26.631;157.049;5.291;6.412;6.534;56.869;27.164;1.152;157.049;262.500;15.868;215.318;19.757;6.534;20.639;19.757;93.804;38.162;266.508;167.919;0.180;167.919;34.389;16.585;20.002;23.126;27.164;40.157;29.809;7.118;167.919;143.672;167.919;27.164;6.534;5.710;215.318;262.500}</t>
  </si>
  <si>
    <t>{3.372;0.000;0.000;1.654;192.059;0.000;6.550;6.550;33.610;0.000;3.372;239.241;3.372;133.790;0.000;0.000;0.000;33.610;3.905;0.000;133.790;239.241;0.000;192.059;0.000;0.000;0.000;0.000;70.546;14.904;243.249;144.661;0.000;144.661;11.130;0.000;0.000;0.000;3.905;16.898;6.550;0.000;144.661;120.413;144.661;3.905;0.000;0.000;192.059;239.241}</t>
  </si>
  <si>
    <t>{805.808;1504.111;1630.918;1033.787;1618.738;1797.494;1024.089;1208.965;871.415;1309.512;989.994;1211.689;1458.914;927.156;2154.001;841.073;1171.990;1034.835;804.309;1629.501;1618.729;1474.316;1178.516;1813.622;1695.329;617.472;1169.722;1091.929;1012.164;1578.864;1270.279;1286.146;1413.959;1293.505;602.007;1074.860;618.427;1442.423;550.466;1312.763;1390.729;819.320;881.543;1737.861;1700.568;2059.157;1243.136;1463.802;1470.457;1789.396}</t>
  </si>
  <si>
    <t>{659.510;924.923;1097.933;1276.086;1451.509;1619.956;1869.451}</t>
  </si>
  <si>
    <t>{01/03/2021 16:30:37;06/04/2021 08:55:23;28/04/2021 13:56:00;21/05/2021 13:35:08;15/06/2021 10:30:32;07/07/2021 10:57:21;10/08/2021 08:27:04}</t>
  </si>
  <si>
    <t>{2.353;2.347;2.895;0.021;2.347;0.602;0.743;16.340;1.886;0.649;0.809;0.602;4.340;24.488;2.247;1.163;0.677;2.275;2.347;0.743;0.021;1.886;0.021;2.895;0.729;0.809;2.247;3.134;0.869;4.567;6.468;0.021;11.114;7.458;3.134;0.809;2.826;0.649;10.668;6.468;17.861;0.743;3.390;0.649;24.488;0.131;2.895;0.602;0.602;2.895}</t>
  </si>
  <si>
    <t>{0.000;0.000;0.000;0.000;0.000;0.000;0.000;0.724;0.000;0.000;0.000;0.000;0.000;8.872;0.000;0.000;0.000;0.000;0.000;0.000;0.000;0.000;0.000;0.000;0.000;0.000;0.000;0.000;0.000;0.000;0.000;0.000;0.000;0.000;0.000;0.000;0.000;0.000;0.000;0.000;2.245;0.000;0.000;0.000;8.872;0.000;0.000;0.000;0.000;0.000}</t>
  </si>
  <si>
    <t>{805.808;1504.111;1630.918;1033.787;1618.738;1797.494;1024.089;1209.689;871.415;1309.512;989.994;1211.689;1458.914;936.028;2154.001;841.073;1171.990;1034.835;804.309;1629.501;1618.729;1474.316;1178.516;1813.622;1695.329;617.472;1169.722;1091.929;1012.164;1578.864;1270.279;1286.146;1413.959;1293.505;602.007;1074.860;618.427;1442.423;550.466;1312.763;1392.974;819.320;881.543;1737.861;1709.440;2059.157;1243.136;1463.802;1470.457;1789.396}</t>
  </si>
  <si>
    <t>{13.451;10.416;56.195;2.988;8.073;9.796;38.222;2.508;38.222;56.195;84.218;9.718;3.999;15.707;61.427;9.718;15.707;2.508;8.093;4.642;10.778;2.508;2.069;65.679;2.233;4.642;2.784;9.796;104.240;7.824;0.451;10.625;8.093;10.778;2.329;2.329;56.195;9.744;9.957;2.233;104.240;2.784;3.999;84.218;6.206;2.329;104.240;84.218;2.988;2.233}</t>
  </si>
  <si>
    <t>{13.281;10.247;56.025;2.819;7.903;9.626;38.052;2.338;38.052;56.025;84.049;9.548;3.829;15.537;61.258;9.548;15.537;2.338;7.923;4.473;10.609;2.338;1.900;65.509;2.064;4.473;2.614;9.626;104.071;7.654;0.281;10.455;7.923;10.609;2.160;2.160;56.025;9.575;9.787;2.064;104.071;2.614;3.829;84.049;6.037;2.160;104.071;84.049;2.819;2.064}</t>
  </si>
  <si>
    <t>{819.089;1514.358;1686.943;1036.606;1626.641;1807.120;1062.142;1212.028;909.467;1365.537;1074.043;1221.238;1462.744;951.565;2215.259;850.621;1187.527;1037.174;812.233;1633.974;1629.338;1476.654;1180.416;1879.132;1697.393;621.945;1172.337;1101.555;1116.234;1586.518;1270.560;1296.602;1421.883;1304.113;604.167;1077.019;674.452;1451.997;560.253;1314.827;1497.045;821.934;885.372;1821.909;1715.477;2061.317;1347.206;1547.851;1473.276;1791.460}</t>
  </si>
  <si>
    <t>{664.760;960.323;1121.048;1301.158;1468.656;1635.099;1887.746}</t>
  </si>
  <si>
    <t>{02/03/2021 11:15:34;09/04/2021 12:49:21;30/04/2021 16:02:53;25/05/2021 17:39:29;16/06/2021 17:09:21;08/07/2021 15:35:55;11/08/2021 16:14:47}</t>
  </si>
  <si>
    <t>{1.473;5.653;1.449;1.989;5.426;1.449;1.437;1.197;1.571;0.442;0.442;1.594;1.594;3.290;1.473;15.417;5.426;1.194;0.378;9.085;0.442;5.426;0.412;2.323;1.989;0.378;1.143;1.194;3.793;0.687;1.194;12.455;1.594;1.449;1.541;2.208;12.455;15.417;1.143;1.157;0.010;9.085;3.290;5.653;1.338;0.306;1.594;1.571;3.793;3.793}</t>
  </si>
  <si>
    <t>{192.380;128.366;24.270;1.030;24.270;5.729;22.744;17.653;10.604;192.380;18.440;87.311;5.729;10.604;22.376;24.621;140.319;22.744;30.725;5.321;10.604;24.621;234.536;128.366;18.440;0.161;150.031;128.366;22.376;50.811;5.102;5.838;9.134;58.587;0.161;30.725;128.366;5.102;10.604;17.872;24.621;1.030;128.366;23.794;1.030;150.031;24.270;87.311;238.117;150.031}</t>
  </si>
  <si>
    <t>{169.372;105.358;1.262;0.000;1.262;0.000;0.000;0.000;0.000;169.372;0.000;64.303;0.000;0.000;0.000;1.613;117.311;0.000;7.717;0.000;0.000;1.613;211.528;105.358;0.000;0.000;127.023;105.358;0.000;27.803;0.000;0.000;0.000;35.579;0.000;7.717;105.358;0.000;0.000;0.000;1.613;0.000;105.358;0.786;0.000;127.023;1.262;64.303;215.109;127.023}</t>
  </si>
  <si>
    <t>{988.461;1619.716;1688.205;1036.606;1627.903;1807.120;1062.142;1212.028;909.467;1534.909;1074.043;1285.540;1462.744;951.565;2215.259;852.233;1304.838;1037.174;819.950;1633.974;1629.338;1478.267;1391.945;1984.490;1697.393;621.945;1299.360;1206.913;1116.234;1614.321;1270.560;1296.602;1421.883;1339.692;604.167;1084.737;779.811;1451.997;560.253;1314.827;1498.657;821.934;990.730;1822.695;1715.477;2188.340;1348.468;1612.153;1688.385;1918.483}</t>
  </si>
  <si>
    <t>{666.496;1007.719;1211.687;1323.237;1502.340;1639.415;1992.694}</t>
  </si>
  <si>
    <t>{02/03/2021 12:59:45;15/04/2021 18:13:09;13/05/2021 12:11:12;28/05/2021 08:14:15;22/06/2021 08:50:23;09/07/2021 09:24:55;25/08/2021 16:11:39}</t>
  </si>
  <si>
    <t>{28.832;7.420;194.337;8.841;6.608;28.754;108.562;166.274;46.474;28.754;181.757;65.816;13.736;13.736;29.461;249.193;108.562;194.337;108.562;18.364;30.821;28.984;0.209;29.461;44.166;31.437;18.364;194.337;46.474;181.757;34.499;0.209;31.891;34.499;19.194;6.892;39.799;75.889;249.193;75.889;8.841;11.832;303.798;6.123;44.166;23.946;13.736;1.334;75.889;26.764}</t>
  </si>
  <si>
    <t>{15.129;0.000;180.634;0.000;0.000;15.050;94.859;152.571;32.771;15.050;168.053;52.112;0.032;0.032;15.757;235.489;94.859;180.634;94.859;4.661;17.118;15.281;0.000;15.757;30.463;17.734;4.661;180.634;32.771;168.053;20.796;0.000;18.188;20.796;5.491;0.000;26.096;62.185;235.489;62.185;0.000;0.000;290.094;0.000;30.463;10.243;0.032;0.000;62.185;13.061}</t>
  </si>
  <si>
    <t>{1003.590;1619.716;1868.839;1036.606;1627.903;1822.170;1157.001;1364.599;942.238;1549.960;1242.096;1337.653;1462.776;951.598;2231.016;1087.723;1399.696;1217.808;914.809;1638.635;1646.456;1493.547;1391.945;2000.247;1727.856;639.679;1304.021;1387.547;1149.005;1782.374;1291.356;1296.602;1440.071;1360.488;609.658;1084.737;805.906;1514.183;795.743;1377.013;1498.657;821.934;1280.825;1822.695;1745.940;2198.583;1348.501;1612.153;1750.570;1931.544}</t>
  </si>
  <si>
    <t>{801.636;1057.053;1292.306;1380.746;1520.461;1730.127;2004.980}</t>
  </si>
  <si>
    <t>{19/03/2021 11:38:08;22/04/2021 15:03:09;25/05/2021 08:48:21;04/06/2021 13:14:44;23/06/2021 16:27:39;21/07/2021 16:07:38;26/08/2021 17:58:48}</t>
  </si>
  <si>
    <t>{142.112;15.696;24.643;26.342;7.556;25.180;24.575;26.869;1.140;166.097;26.869;155.345;259.651;0.179;20.466;29.486;22.875;155.345;92.786;64.861;6.342;56.252;16.405;10.113;26.869;259.651;20.466;20.466;166.097;1.140;5.891;22.875;6.342;37.748;27.257;24.643;7.040;166.097;19.543;7.556;37.748;22.875;5.891;26.869;39.721;7.040;96.660;39.721;24.772;29.486}</t>
  </si>
  <si>
    <t>{126.233;0.000;8.763;10.463;0.000;9.300;8.696;10.990;0.000;150.218;10.990;139.465;243.772;0.000;4.587;13.607;6.996;139.465;76.907;48.982;0.000;40.373;0.526;0.000;10.990;243.772;4.587;4.587;150.218;0.000;0.000;6.996;0.000;21.869;11.378;8.763;0.000;150.218;3.664;0.000;21.869;6.996;0.000;10.990;23.842;0.000;80.781;23.842;8.893;13.607}</t>
  </si>
  <si>
    <t>{1129.823;1619.716;1877.602;1047.069;1627.903;1831.470;1165.697;1375.588;942.238;1700.178;1253.086;1477.118;1706.548;951.598;2235.604;1101.329;1406.692;1357.273;991.716;1687.617;1646.456;1533.920;1392.471;2000.247;1738.845;883.451;1308.608;1392.134;1299.223;1782.374;1291.356;1303.597;1440.071;1382.357;621.036;1093.500;805.906;1664.401;799.406;1377.013;1520.526;828.930;1280.825;1833.685;1769.781;2198.583;1429.282;1635.995;1759.463;1945.151}</t>
  </si>
  <si>
    <t>{823.354;1108.029;1307.623;1401.673;1626.635;1741.939;2014.845}</t>
  </si>
  <si>
    <t>{23/03/2021 12:21:14;29/04/2021 13:31:46;26/05/2021 13:37:23;08/06/2021 13:10:24;07/07/2021 17:38:05;22/07/2021 17:26:20;27/08/2021 17:20:41}</t>
  </si>
  <si>
    <t>{7.336;25.677;41.387;12.232;12.232;41.387;20.363;17.094;5.453;30.723;6.608;0.186;25.677;6.734;25.677;5.453;16.354;1.188;35.443;58.612;41.387;1.188;58.612;6.734;26.236;23.835;25.812;6.734;96.680;100.716;25.607;23.835;27.996;0.186;7.873;173.066;39.332;6.138;26.236;25.812;270.546;41.387;5.453;7.336;28.401;25.607;7.873;27.996;35.443;16.354}</t>
  </si>
  <si>
    <t>{0.000;3.813;19.524;0.000;0.000;19.524;0.000;0.000;0.000;8.859;0.000;0.000;3.813;0.000;3.813;0.000;0.000;0.000;13.579;36.748;19.524;0.000;36.748;0.000;4.372;1.971;3.948;0.000;74.816;78.852;3.743;1.971;6.133;0.000;0.000;151.203;17.468;0.000;4.372;3.948;248.682;19.524;0.000;0.000;6.537;3.743;0.000;6.133;13.579;0.000}</t>
  </si>
  <si>
    <t>{1129.823;1623.529;1897.126;1047.069;1627.903;1850.994;1165.697;1375.588;942.238;1709.037;1253.086;1477.118;1710.361;951.598;2239.416;1101.329;1406.692;1357.273;1005.295;1724.365;1665.979;1533.920;1429.219;2000.247;1743.218;885.422;1312.556;1392.134;1374.039;1861.226;1295.099;1305.569;1446.203;1382.357;621.036;1244.703;823.375;1664.401;803.779;1380.961;1769.209;848.454;1280.825;1833.685;1776.318;2202.326;1429.282;1642.128;1773.042;1945.151}</t>
  </si>
  <si>
    <t>{837.335;1127.076;1317.167;1412.340;1643.414;1769.920;2015.874}</t>
  </si>
  <si>
    <t>{24/03/2021 15:50:07;03/05/2021 11:34:35;27/05/2021 12:40:01;09/06/2021 13:20:22;09/07/2021 13:24:52;27/07/2021 13:55:11;27/08/2021 18:22:27}</t>
  </si>
  <si>
    <t>{89.900;21.845;5.852;0.103;19.685;55.939;4.373;150.264;82.243;9.494;11.450;11.814;55.939;152.558;3.670;3.269;5.852;17.064;17.064;9.083;4.373;53.697;13.238;11.310;15.774;53.697;3.269;11.450;3.269;123.255;55.939;15.774;152.558;11.844;9.083;4.074;11.844;15.245;32.554;82.243;3.409;14.336;15.245;37.536;14.261;0.103;3.029;3.740;19.685;22.987}</t>
  </si>
  <si>
    <t>{58.153;0.000;0.000;0.000;0.000;24.191;0.000;118.517;50.495;0.000;0.000;0.000;24.191;120.811;0.000;0.000;0.000;0.000;0.000;0.000;0.000;21.949;0.000;0.000;0.000;21.949;0.000;0.000;0.000;91.508;24.191;0.000;120.811;0.000;0.000;0.000;0.000;0.000;0.806;50.495;0.000;0.000;0.000;5.788;0.000;0.000;0.000;0.000;0.000;0.000}</t>
  </si>
  <si>
    <t>{1187.976;1623.529;1897.126;1047.069;1627.903;1875.185;1165.697;1494.105;992.733;1709.037;1253.086;1477.118;1734.552;1072.409;2239.416;1101.329;1406.692;1357.273;1005.295;1724.365;1665.979;1555.869;1429.219;2000.247;1743.218;907.371;1312.556;1392.134;1374.039;1952.734;1319.290;1305.569;1567.014;1382.357;621.036;1244.703;823.375;1664.401;804.585;1431.456;1769.209;848.454;1280.825;1839.474;1776.318;2202.326;1429.282;1642.128;1773.042;1945.151}</t>
  </si>
  <si>
    <t>{842.274;1135.988;1323.396;1441.241;1643.414;1769.920;2021.372}</t>
  </si>
  <si>
    <t>{25/03/2021 10:16:26;04/05/2021 09:59:17;28/05/2021 08:23:47;14/06/2021 10:44:26;09/07/2021 13:24:52;27/07/2021 13:55:11;30/08/2021 13:22:18}</t>
  </si>
  <si>
    <t>{0.021;24.777;3.430;0.609;1.826;1.826;2.302;0.738;16.532;1.366;16.532;0.752;2.867;2.929;3.171;1.826;2.859;30.667;0.133;3.171;3.126;0.819;30.206;2.867;2.381;0.609;2.661;0.819;10.794;0.738;0.738;0.685;1.908;0.738;3.126;0.657;3.957;4.391;1.826;0.657;0.685;2.381;0.738;3.957;3.171;3.064;0.819;1.366;0.738;0.021}</t>
  </si>
  <si>
    <t>{0.000;23.076;1.730;0.000;0.125;0.125;0.601;0.000;14.832;0.000;14.832;0.000;1.166;1.229;1.470;0.125;1.158;28.967;0.000;1.470;1.425;0.000;28.505;1.166;0.680;0.000;0.961;0.000;9.094;0.000;0.000;0.000;0.208;0.000;1.425;0.000;2.257;2.691;0.125;0.000;0.000;0.680;0.000;2.257;1.470;1.364;0.000;0.000;0.000;0.000}</t>
  </si>
  <si>
    <t>{1187.976;1646.605;1898.856;1047.069;1628.028;1875.311;1166.298;1494.105;1007.565;1709.037;1267.917;1477.118;1735.719;1073.637;2240.887;1101.455;1407.851;1386.239;1005.295;1725.835;1667.405;1555.869;1457.724;2001.413;1743.898;907.371;1313.516;1392.134;1383.132;1952.734;1319.290;1305.569;1567.222;1382.357;622.461;1244.703;825.631;1667.091;804.710;1431.456;1769.209;849.134;1280.825;1841.730;1777.789;2203.690;1429.282;1642.128;1773.042;1945.151}</t>
  </si>
  <si>
    <t>{844.023;1136.063;1324.078;1442.871;1652.737;1770.067;2021.747}</t>
  </si>
  <si>
    <t>{25/03/2021 12:01:22;04/05/2021 10:03:48;28/05/2021 09:04:42;14/06/2021 12:22:16;12/07/2021 12:14:14;27/07/2021 14:04:00;30/08/2021 13:44:49}</t>
  </si>
  <si>
    <t>{3.502;4.362;45.958;1.337;9.956;46.660;4.824;0.926;29.399;1.337;1.000;4.350;16.423;25.154;1.337;4.350;27.496;9.956;2.078;2.078;4.457;1.790;11.480;29.399;11.480;2.778;4.663;4.663;2.904;4.457;37.697;4.756;2.778;29.399;7.031;27.496;5.219;0.032;4.049;5.219;2.904;27.496;4.350;11.480;37.697;9.956;1.246;1.790;7.031;45.958}</t>
  </si>
  <si>
    <t>{0.000;0.000;28.228;0.000;0.000;28.929;0.000;0.000;11.669;0.000;0.000;0.000;0.000;7.423;0.000;0.000;9.766;0.000;0.000;0.000;0.000;0.000;0.000;11.669;0.000;0.000;0.000;0.000;0.000;0.000;19.967;0.000;0.000;11.669;0.000;9.766;0.000;0.000;0.000;0.000;0.000;9.766;0.000;0.000;19.967;0.000;0.000;0.000;0.000;28.228}</t>
  </si>
  <si>
    <t>{1187.976;1646.605;1927.083;1047.069;1628.028;1904.240;1166.298;1494.105;1019.233;1709.037;1267.917;1477.118;1735.719;1081.061;2240.887;1101.455;1417.616;1386.239;1005.295;1725.835;1667.405;1555.869;1457.724;2013.082;1743.898;907.371;1313.516;1392.134;1383.132;1952.734;1339.257;1305.569;1567.222;1394.026;622.461;1254.468;825.631;1667.091;804.710;1431.456;1769.209;858.900;1280.825;1841.730;1797.756;2203.690;1429.282;1642.128;1773.042;1973.379}</t>
  </si>
  <si>
    <t>{844.023;1136.063;1342.781;1442.871;1652.737;1772.063;2036.714}</t>
  </si>
  <si>
    <t>{25/03/2021 12:01:22;04/05/2021 10:03:48;31/05/2021 17:16:52;14/06/2021 12:22:16;12/07/2021 12:14:14;27/07/2021 16:03:48;31/08/2021 18:12:51}</t>
  </si>
  <si>
    <t>{35.205;2.840;35.205;21.560;13.446;3.066;13.446;30.532;10.608;115.602;6.372;3.442;16.004;10.739;3.197;3.066;12.416;90.154;8.904;10.739;3.066;14.795;3.508;90.154;84.318;13.375;14.584;13.375;8.519;21.560;12.416;8.904;3.066;3.066;5.489;3.197;14.298;3.508;0.097;2.840;0.619;0.619;20.489;5.489;11.081;13.667;2.840;3.508;14.298;12.416}</t>
  </si>
  <si>
    <t>{30.565;0.000;30.565;16.919;8.805;0.000;8.805;25.892;5.967;110.961;1.732;0.000;11.364;6.098;0.000;0.000;7.776;85.514;4.264;6.098;0.000;10.154;0.000;85.514;79.677;8.735;9.943;8.735;3.879;16.919;7.776;4.264;0.000;0.000;0.848;0.000;9.657;0.000;0.000;0.000;0.000;0.000;15.848;0.848;6.440;9.026;0.000;0.000;9.657;7.776}</t>
  </si>
  <si>
    <t>{1218.541;1646.605;1957.648;1063.988;1636.834;1904.240;1175.103;1519.997;1025.200;1819.998;1269.649;1477.118;1747.082;1087.159;2240.887;1101.455;1425.392;1471.753;1009.559;1731.934;1667.405;1566.023;1457.724;2098.596;1823.576;916.106;1323.460;1400.869;1387.011;1969.653;1347.033;1309.832;1567.222;1394.026;623.309;1254.468;835.289;1667.091;804.710;1431.456;1769.209;858.900;1296.673;1842.578;1804.196;2212.716;1429.282;1642.128;1782.700;1981.154}</t>
  </si>
  <si>
    <t>{853.473;1148.289;1350.557;1462.573;1652.737;1806.134;2044.834}</t>
  </si>
  <si>
    <t>{26/03/2021 10:58:22;05/05/2021 11:47:21;01/06/2021 14:33:26;16/06/2021 11:04:22;12/07/2021 12:14:14;02/08/2021 08:08:02;01/09/2021 15:50:02}</t>
  </si>
  <si>
    <t>{0.286;0.160;1.122;6.018;4.016;0.694;0.444;1.067;0.770;2.622;2.622;0.770;0.148;0.552;7.449;0.744;4.390;0.578;1.067;1.122;1.067;7.449;0.577;7.337;4.016;0.700;0.770;7.337;0.700;1.122;0.183;0.286;0.444;1.122;0.214;0.032;0.166;0.286;4.693;0.578;0.646;0.694;1.833;2.731;0.183;0.444;0.696;0.770;7.449;0.559}</t>
  </si>
  <si>
    <t>{3.398;13.196;3.659;53.526;15.724;14.216;4.061;19.623;3.659;15.724;3.729;13.196;0.103;15.500;22.914;15.724;11.274;22.914;11.414;14.290;37.416;3.019;3.019;89.614;89.614;3.729;0.103;11.777;11.274;122.863;11.807;11.777;3.019;11.274;3.019;14.177;13.196;11.807;14.290;21.776;0.658;9.464;122.863;14.525;89.614;22.914;4.359;55.761;14.525;81.981}</t>
  </si>
  <si>
    <t>{0.000;0.000;0.000;29.564;0.000;0.000;0.000;0.000;0.000;0.000;0.000;0.000;0.000;0.000;0.000;0.000;0.000;0.000;0.000;0.000;13.455;0.000;0.000;65.652;65.652;0.000;0.000;0.000;0.000;98.901;0.000;0.000;0.000;0.000;0.000;0.000;0.000;0.000;0.000;0.000;0.000;0.000;98.901;0.000;65.652;0.000;0.000;31.799;0.000;58.019}</t>
  </si>
  <si>
    <t>{1218.541;1646.605;1957.648;1093.552;1636.834;1904.240;1175.103;1519.997;1025.200;1819.998;1269.649;1477.118;1747.082;1087.159;2240.887;1101.455;1425.392;1471.753;1009.559;1731.934;1680.859;1566.023;1457.724;2164.248;1889.228;916.106;1323.460;1400.869;1387.011;2068.554;1347.033;1309.832;1567.222;1394.026;623.309;1254.468;835.289;1667.091;804.710;1431.456;1769.209;858.900;1395.574;1842.578;1869.848;2212.716;1429.282;1673.926;1782.700;2039.173}</t>
  </si>
  <si>
    <t>{853.473;1148.289;1387.653;1462.573;1658.217;1824.983;2108.199}</t>
  </si>
  <si>
    <t>{26/03/2021 10:58:22;05/05/2021 11:47:21;07/06/2021 09:39:12;16/06/2021 11:04:22;12/07/2021 17:43:00;03/08/2021 16:28:59;09/09/2021 16:11:55}</t>
  </si>
  <si>
    <t>{0.821;11.305;11.816;111.887;21.237;18.136;14.250;187.013;19.632;0.129;46.716;40.515;66.829;19.352;17.842;3.769;17.842;4.243;14.076;17.700;0.821;46.716;21.237;14.076;102.356;0.821;16.476;8.456;11.816;0.821;4.068;11.816;4.655;8.456;111.887;19.352;19.352;18.973;11.305;19.352;16.476;5.071;40.515;3.769;46.716;5.442;18.973;4.068;19.352;21.237}</t>
  </si>
  <si>
    <t>{0.000;6.678;7.189;107.260;16.610;13.509;9.624;182.387;15.005;0.000;42.089;35.889;62.203;14.726;13.215;0.000;13.215;0.000;9.449;13.074;0.000;42.089;16.610;9.449;97.729;0.000;11.849;3.829;7.189;0.000;0.000;7.189;0.029;3.829;107.260;14.726;14.726;14.346;6.678;14.726;11.849;0.444;35.889;0.000;42.089;0.816;14.346;0.000;14.726;16.610}</t>
  </si>
  <si>
    <t>{1218.541;1653.283;1964.837;1200.812;1653.444;1917.749;1184.727;1702.384;1040.205;1819.998;1311.738;1513.007;1809.285;1101.885;2254.102;1101.455;1438.607;1471.753;1019.008;1745.008;1680.859;1608.113;1474.335;2173.697;1986.957;916.106;1335.309;1404.698;1394.200;2068.554;1347.033;1317.022;1567.251;1397.855;730.569;1269.194;850.014;1681.438;811.388;1446.181;1781.058;859.344;1431.463;1842.578;1911.937;2213.532;1443.628;1673.926;1797.425;2055.783}</t>
  </si>
  <si>
    <t>{864.885;1198.252;1394.988;1482.066;1677.119;1829.192;2108.423}</t>
  </si>
  <si>
    <t>{29/03/2021 11:53:06;12/05/2021 09:15:09;07/06/2021 16:59:15;18/06/2021 09:33:59;14/07/2021 15:37:07;04/08/2021 10:11:32;09/09/2021 16:25:23}</t>
  </si>
  <si>
    <t>{18.531;40.602;1.614;2.159;27.616;7.021;2.159;1.495;5.583;1.847;10.785;1.812;1.495;47.454;8.424;1.847;6.535;7.526;7.194;4.484;0.326;7.526;7.021;10.785;44.382;44.382;1.683;7.787;7.194;8.424;3.354;2.011;16.071;18.531;5.833;1.683;75.316;2.889;2.011;8.424;0.326;7.021;60.849;1.614;74.183;60.849;5.833;7.021;7.077;3.354}</t>
  </si>
  <si>
    <t>{0.603;22.674;0.000;0.000;9.688;0.000;0.000;0.000;0.000;0.000;0.000;0.000;0.000;29.526;0.000;0.000;0.000;0.000;0.000;0.000;0.000;0.000;0.000;0.000;26.454;26.454;0.000;0.000;0.000;0.000;0.000;0.000;0.000;0.603;0.000;0.000;57.388;0.000;0.000;0.000;0.000;0.000;42.921;0.000;56.255;42.921;0.000;0.000;0.000;0.000}</t>
  </si>
  <si>
    <t>{1219.144;1675.957;1964.837;1200.812;1663.132;1917.749;1184.727;1702.384;1040.205;1819.998;1311.738;1513.007;1809.285;1131.411;2254.102;1101.455;1438.607;1471.753;1019.008;1745.008;1680.859;1608.113;1474.335;2173.697;2013.411;942.560;1335.309;1404.698;1394.200;2068.554;1347.033;1317.022;1567.251;1398.458;730.569;1269.194;907.402;1681.438;811.388;1446.181;1781.058;859.344;1474.384;1842.578;1968.193;2256.454;1443.628;1673.926;1797.425;2055.783}</t>
  </si>
  <si>
    <t>{878.068;1198.494;1394.988;1484.003;1678.286;1829.773;2119.580}</t>
  </si>
  <si>
    <t>{30/03/2021 14:34:04;12/05/2021 09:29:37;07/06/2021 16:59:15;18/06/2021 11:30:10;14/07/2021 16:47:11;04/08/2021 10:46:24;10/09/2021 17:04:47}</t>
  </si>
  <si>
    <t>{38.047;65.375;7.616;214.669;261.709;5.275;11.833;167.413;25.379;19.698;65.375;27.473;65.375;11.833;0.180;265.705;5.937;26.551;214.669;40.036;15.820;27.473;40.036;29.719;20.577;7.616;23.056;261.709;16.535;56.698;24.770;6.392;214.669;6.392;7.096;1.149;40.036;5.693;27.473;23.056;24.838;15.820;56.698;97.426;10.193;20.629;16.535;0.180;156.576;27.473}</t>
  </si>
  <si>
    <t>{22.656;49.984;0.000;199.278;246.318;0.000;0.000;152.022;9.988;4.307;49.984;12.082;49.984;0.000;0.000;250.314;0.000;11.160;199.278;24.644;0.429;12.082;24.644;14.328;5.186;0.000;7.665;246.318;1.144;41.306;9.379;0.000;199.278;0.000;0.000;0.000;24.644;0.000;12.082;7.665;9.447;0.429;41.306;82.035;0.000;5.238;1.144;0.000;141.185;12.082}</t>
  </si>
  <si>
    <t>{1241.800;1725.941;1964.837;1400.090;1909.450;1917.749;1184.727;1854.406;1050.193;1824.305;1361.722;1525.088;1859.269;1131.411;2254.102;1351.768;1438.607;1482.913;1218.287;1769.652;1681.288;1620.195;1498.979;2188.025;2018.597;942.560;1342.974;1651.016;1395.344;2109.861;1356.412;1317.022;1766.529;1398.458;730.569;1269.194;932.047;1681.438;823.470;1453.846;1790.504;859.773;1515.690;1924.614;1968.193;2261.691;1444.772;1673.926;1938.610;2067.865}</t>
  </si>
  <si>
    <t>{878.400;1271.889;1401.469;1541.816;1744.518;1919.835;2149.527}</t>
  </si>
  <si>
    <t>{30/03/2021 14:54:00;21/05/2021 09:23:19;08/06/2021 12:58:07;25/06/2021 16:48:59;23/07/2021 09:31:06;16/08/2021 16:50:06;15/09/2021 15:31:37}</t>
  </si>
  <si>
    <t>{4.165;15.963;137.244;10.114;100.103;0.115;4.537;15.963;7.565;4.869;107.032;0.115;36.248;25.596;59.791;15.880;15.880;59.791;62.287;3.796;0.734;3.640;12.593;91.577;25.596;7.565;25.596;0.734;16.975;16.226;107.032;6.516;59.791;16.226;6.516;7.565;169.873;4.537;19.000;7.565;24.325;100.103;13.188;4.537;13.155;91.577;41.796;0.115;17.564;4.087}</t>
  </si>
  <si>
    <t>{0.000;11.001;132.282;5.152;95.141;0.000;0.000;11.001;2.603;0.000;102.070;0.000;31.286;20.634;54.829;10.918;10.918;54.829;57.325;0.000;0.000;0.000;7.631;86.615;20.634;2.603;20.634;0.000;12.013;11.264;102.070;1.555;54.829;11.264;1.555;2.603;164.911;0.000;14.039;2.603;19.363;95.141;8.227;0.000;8.193;86.615;36.834;0.000;12.602;0.000}</t>
  </si>
  <si>
    <t>{1241.800;1736.942;2097.119;1405.242;2004.592;1917.749;1184.727;1865.407;1052.797;1824.305;1463.792;1525.088;1890.555;1152.045;2308.931;1362.686;1449.525;1537.742;1275.612;1769.652;1681.288;1620.195;1506.611;2274.640;2039.231;945.164;1363.608;1651.016;1407.357;2121.124;1458.482;1318.576;1821.358;1409.721;732.124;1271.797;1096.957;1681.438;837.509;1456.449;1809.867;954.914;1523.917;1924.614;1976.386;2348.306;1481.606;1673.926;1951.212;2067.865}</t>
  </si>
  <si>
    <t>{969.381;1290.509;1450.196;1548.865;1767.935;1929.791;2172.771}</t>
  </si>
  <si>
    <t>{12/04/2021 11:22:52;24/05/2021 17:30:31;15/06/2021 09:11:47;28/06/2021 13:21:54;27/07/2021 11:56:07;17/08/2021 16:17:27;17/09/2021 17:46:16}</t>
  </si>
  <si>
    <t>{16.184;24.858;10.803;10.803;0.118;7.731;0.751;19.417;16.582;15.064;37.044;42.713;3.719;10.803;16.582;42.713;17.950;19.417;4.176;22.400;140.255;37.044;173.600;24.858;19.417;13.444;13.029;7.731;16.582;4.256;4.256;16.228;4.176;13.478;102.300;16.313;3.879;13.478;7.731;173.600;7.731;63.654;19.417;3.879;13.444;4.636;16.228;3.446;4.636;26.157}</t>
  </si>
  <si>
    <t>{0.000;4.115;0.000;0.000;0.000;0.000;0.000;0.000;0.000;0.000;16.300;21.970;0.000;0.000;0.000;21.970;0.000;0.000;0.000;1.657;119.512;16.300;152.856;4.115;0.000;0.000;0.000;0.000;0.000;0.000;0.000;0.000;0.000;0.000;81.556;0.000;0.000;0.000;0.000;152.856;0.000;42.911;0.000;0.000;0.000;0.000;0.000;0.000;0.000;5.414}</t>
  </si>
  <si>
    <t>{1241.800;1741.057;2097.119;1405.242;2004.592;1917.749;1184.727;1865.407;1052.797;1824.305;1480.093;1547.058;1890.555;1152.045;2308.931;1384.656;1449.525;1537.742;1275.612;1771.309;1800.800;1636.495;1659.467;2278.755;2039.231;945.164;1363.608;1651.016;1407.357;2121.124;1458.482;1318.576;1821.358;1409.721;813.680;1271.797;1096.957;1681.438;837.509;1609.306;1809.867;997.825;1523.917;1924.614;1976.386;2348.306;1481.606;1673.926;1951.212;2073.279}</t>
  </si>
  <si>
    <t>{969.381;1290.509;1451.817;1619.733;1787.696;1929.791;2172.771}</t>
  </si>
  <si>
    <t>{12/04/2021 11:22:52;24/05/2021 17:30:31;15/06/2021 10:49:02;07/07/2021 10:44:00;29/07/2021 10:41:47;17/08/2021 16:17:27;17/09/2021 17:46:16}</t>
  </si>
  <si>
    <t>{183.571;4.903;17.250;8.175;26.286;108.176;14.252;18.981;18.710;98.961;45.167;0.124;18.981;4.416;183.571;20.533;4.501;64.613;0.794;39.171;5.262;17.113;5.262;14.216;115.663;10.930;14.252;4.501;45.167;115.663;3.933;14.252;17.160;67.310;18.710;115.663;148.312;18.710;13.609;67.310;98.961;39.171;39.171;4.903;15.929;39.171;17.160;180.811;64.613;17.113}</t>
  </si>
  <si>
    <t>{158.107;0.000;0.000;0.000;0.822;82.712;0.000;0.000;0.000;73.497;19.702;0.000;0.000;0.000;158.107;0.000;0.000;39.149;0.000;13.707;0.000;0.000;0.000;0.000;90.199;0.000;0.000;0.000;19.702;90.199;0.000;0.000;0.000;41.846;0.000;90.199;122.848;0.000;0.000;41.846;73.497;13.707;13.707;0.000;0.000;13.707;0.000;155.347;39.149;0.000}</t>
  </si>
  <si>
    <t>{1399.907;1741.057;2097.119;1405.242;2005.414;2000.461;1184.727;1865.407;1052.797;1897.802;1499.795;1547.058;1890.555;1152.045;2467.039;1384.656;1449.525;1576.891;1275.612;1785.017;1800.800;1636.495;1659.467;2278.755;2129.430;945.164;1363.608;1651.016;1427.060;2211.323;1458.482;1318.576;1821.358;1451.567;813.680;1361.996;1219.805;1681.438;837.509;1651.152;1883.364;1011.532;1537.624;1924.614;1976.386;2362.013;1481.606;1829.273;1990.361;2073.279}</t>
  </si>
  <si>
    <t>{969.381;1336.589;1453.820;1640.159;1812.901;1978.793;2252.763}</t>
  </si>
  <si>
    <t>{12/04/2021 11:22:52;31/05/2021 11:05:20;15/06/2021 12:49:13;09/07/2021 10:09:33;02/08/2021 14:54:03;24/08/2021 12:47:36;29/09/2021 13:45:47}</t>
  </si>
  <si>
    <t>{3.227;3.875;40.938;3.970;1.019;3.081;3.906;15.240;4.236;3.607;1.019;24.492;3.119;3.885;40.938;1.191;8.869;41.563;3.885;1.000;26.188;1.191;0.891;3.875;14.629;22.406;6.263;3.875;24.492;8.869;1.851;1.851;3.970;33.580;14.629;26.188;14.629;2.475;4.153;3.906;0.028;3.970;5.952;4.236;2.475;26.188;6.263;24.492;4.649;0.028}</t>
  </si>
  <si>
    <t>{0.000;0.392;37.455;0.487;0.000;0.000;0.423;11.757;0.754;0.124;0.000;21.010;0.000;0.403;37.455;0.000;5.386;38.080;0.403;0.000;22.705;0.000;0.000;0.392;11.146;18.923;2.780;0.392;21.010;5.386;0.000;0.000;0.487;30.097;11.146;22.705;11.146;0.000;0.670;0.423;0.000;0.487;2.469;0.754;0.000;22.705;2.780;21.010;1.166;0.000}</t>
  </si>
  <si>
    <t>{1399.907;1741.449;2134.575;1405.729;2005.414;2000.461;1185.150;1877.164;1053.550;1897.926;1499.795;1568.068;1890.555;1152.448;2504.494;1384.656;1454.911;1614.971;1276.014;1785.017;1823.505;1636.495;1659.467;2279.147;2140.577;964.087;1366.388;1651.408;1448.069;2216.710;1458.482;1318.576;1821.845;1481.664;824.826;1384.701;1230.951;1681.438;838.179;1651.575;1883.364;1012.019;1540.093;1925.367;1976.386;2384.718;1484.386;1850.283;1991.527;2073.279}</t>
  </si>
  <si>
    <t>{984.216;1345.008;1460.425;1640.265;1833.931;1978.793;2262.912}</t>
  </si>
  <si>
    <t>{13/04/2021 15:42:58;01/06/2021 09:00:29;16/06/2021 08:55:30;09/07/2021 10:15:54;04/08/2021 14:55:52;24/08/2021 12:47:36;30/09/2021 13:24:43}</t>
  </si>
  <si>
    <t>{9.623;8.801;14.225;33.230;9.018;12.182;59.484;12.182;7.311;59.484;3.622;76.275;8.872;94.409;2.521;8.192;12.182;9.623;12.182;8.872;92.989;10.560;33.230;55.634;59.484;2.023;34.617;9.623;2.023;2.271;0.408;7.311;0.064;3.622;2.706;2.271;4.204;13.519;7.330;76.275;50.895;8.192;2.023;0.408;0.064;0.064;9.623;34.617;8.801;2.706}</t>
  </si>
  <si>
    <t>{0.000;0.000;4.346;23.351;0.000;2.303;49.605;2.303;0.000;49.605;0.000;66.396;0.000;84.530;0.000;0.000;2.303;0.000;2.303;0.000;83.110;0.681;23.351;45.755;49.605;0.000;24.738;0.000;0.000;0.000;0.000;0.000;0.000;0.000;0.000;0.000;0.000;3.640;0.000;66.396;41.016;0.000;0.000;0.000;0.000;0.000;0.000;24.738;0.000;0.000}</t>
  </si>
  <si>
    <t>{1399.907;1741.449;2138.921;1429.080;2005.414;2002.764;1234.755;1879.467;1053.550;1947.531;1499.795;1634.464;1890.555;1236.977;2504.494;1384.656;1457.214;1614.971;1278.318;1785.017;1906.615;1637.176;1682.818;2324.901;2190.182;964.087;1391.126;1651.408;1448.069;2216.710;1458.482;1318.576;1821.845;1481.664;824.826;1384.701;1230.951;1685.077;838.179;1717.971;1924.380;1012.019;1540.093;1925.367;1976.386;2384.718;1484.386;1875.021;1991.527;2073.279}</t>
  </si>
  <si>
    <t>{984.216;1345.026;1460.425;1648.586;1846.335;1979.024;2262.912}</t>
  </si>
  <si>
    <t>{13/04/2021 15:42:58;01/06/2021 09:01:34;16/06/2021 08:55:30;12/07/2021 08:05:10;05/08/2021 16:50:05;24/08/2021 13:01:25;30/09/2021 13:24:43}</t>
  </si>
  <si>
    <t>{6.878;40.937;29.560;26.724;7.635;180.129;21.194;8.195;40.937;24.807;154.118;31.977;43.076;7.635;104.826;281.586;26.865;31.977;70.340;5.675;1.236;168.468;168.468;1.236;0.194;22.139;22.195;230.974;22.195;22.139;5.675;104.826;5.675;21.194;7.635;17.791;26.865;40.937;1.236;17.791;230.974;27.307;6.388;43.076;70.340;104.826;27.307;154.118;28.567;43.076}</t>
  </si>
  <si>
    <t>{0.000;10.456;0.000;0.000;0.000;149.648;0.000;0.000;10.456;0.000;123.637;1.496;12.595;0.000;74.345;251.105;0.000;1.496;39.859;0.000;0.000;137.987;137.987;0.000;0.000;0.000;0.000;200.493;0.000;0.000;0.000;74.345;0.000;0.000;0.000;0.000;0.000;10.456;0.000;0.000;200.493;0.000;0.000;12.595;39.859;74.345;0.000;123.637;0.000;12.595}</t>
  </si>
  <si>
    <t>{1399.907;1751.905;2138.921;1429.080;2005.414;2152.411;1234.755;1879.467;1064.006;1947.531;1623.432;1635.960;1903.150;1236.977;2578.839;1635.761;1457.214;1616.466;1318.177;1785.017;1906.615;1775.163;1820.805;2324.901;2190.182;964.087;1391.126;1851.901;1448.069;2216.710;1458.482;1392.921;1821.845;1481.664;824.826;1384.701;1230.951;1695.534;838.179;1717.971;2124.873;1012.019;1540.093;1937.962;2016.245;2459.063;1484.386;1998.657;1991.527;2085.875}</t>
  </si>
  <si>
    <t>{986.569;1387.989;1486.046;1709.626;1873.682;2013.460;2283.357}</t>
  </si>
  <si>
    <t>{13/04/2021 18:04:08;07/06/2021 09:59:21;18/06/2021 13:32:47;19/07/2021 16:37:35;10/08/2021 12:40:54;27/08/2021 15:57:35;04/10/2021 12:51:24}</t>
  </si>
  <si>
    <t>{0.090;48.471;3.530;9.800;106.801;132.192;18.929;13.209;3.789;3.789;19.918;13.209;11.471;2.624;12.422;0.090;12.324;12.324;0.572;19.918;3.530;12.324;0.090;2.624;106.801;5.887;10.263;3.180;28.208;83.291;2.624;3.241;8.227;13.209;12.422;7.871;7.871;13.474;106.801;13.668;28.208;77.899;32.525;12.357;13.209;14.786;13.209;3.530;3.180;32.525}</t>
  </si>
  <si>
    <t>{0.000;33.567;0.000;0.000;91.897;117.288;4.025;0.000;0.000;0.000;5.014;0.000;0.000;0.000;0.000;0.000;0.000;0.000;0.000;5.014;0.000;0.000;0.000;0.000;91.897;0.000;0.000;0.000;13.303;68.386;0.000;0.000;0.000;0.000;0.000;0.000;0.000;0.000;91.897;0.000;13.303;62.994;17.621;0.000;0.000;0.000;0.000;0.000;0.000;17.621}</t>
  </si>
  <si>
    <t>{1399.907;1785.472;2138.921;1429.080;2097.310;2269.699;1238.780;1879.467;1064.006;1947.531;1628.446;1635.960;1903.150;1236.977;2578.839;1635.761;1457.214;1616.466;1318.177;1790.030;1906.615;1775.163;1820.805;2324.901;2282.079;964.087;1391.126;1851.901;1461.373;2285.096;1458.482;1392.921;1821.845;1481.664;824.826;1384.701;1230.951;1695.534;930.076;1717.971;2138.176;1075.014;1557.714;1937.962;2016.245;2459.063;1484.386;1998.657;1991.527;2103.495}</t>
  </si>
  <si>
    <t>{989.046;1387.989;1487.368;1715.441;1873.682;2024.970;2332.937}</t>
  </si>
  <si>
    <t>{14/04/2021 10:02:44;07/06/2021 09:59:21;18/06/2021 14:52:05;20/07/2021 11:56:27;10/08/2021 12:40:54;30/08/2021 16:58:12;11/10/2021 09:56:12}</t>
  </si>
  <si>
    <t>{9.427;38.315;2.384;2.967;38.315;20.655;4.944;0.166;0.166;20.655;0.856;2.281;9.427;0.922;1.706;3.325;2.384;30.955;0.922;3.600;4.944;1.706;0.026;0.026;3.905;3.660;2.840;1.098;2.840;3.962;9.427;5.773;8.176;0.026;14.049;13.486;3.582;8.176;3.572;0.821;5.486;9.427;22.578;1.706;8.176;0.821;3.325;3.660;14.049;0.166}</t>
  </si>
  <si>
    <t>{0.000;15.779;0.000;0.000;15.779;0.000;0.000;0.000;0.000;0.000;0.000;0.000;0.000;0.000;0.000;0.000;0.000;8.420;0.000;0.000;0.000;0.000;0.000;0.000;0.000;0.000;0.000;0.000;0.000;0.000;0.000;0.000;0.000;0.000;0.000;0.000;0.000;0.000;0.000;0.000;0.000;0.000;0.042;0.000;0.000;0.000;0.000;0.000;0.000;0.000}</t>
  </si>
  <si>
    <t>{1399.907;1801.251;2138.921;1429.080;2113.089;2269.699;1238.780;1879.467;1064.006;1947.531;1628.446;1635.960;1903.150;1236.977;2578.839;1635.761;1457.214;1624.886;1318.177;1790.030;1906.615;1775.163;1820.805;2324.901;2282.079;964.087;1391.126;1851.901;1461.373;2285.096;1458.482;1392.921;1821.845;1481.664;824.826;1384.701;1230.951;1695.534;930.076;1717.971;2138.176;1075.014;1557.756;1937.962;2016.245;2459.063;1484.386;1998.657;1991.527;2103.495}</t>
  </si>
  <si>
    <t>{989.046;1387.989;1487.371;1715.441;1873.682;2025.929;2332.937}</t>
  </si>
  <si>
    <t>{14/04/2021 10:02:44;07/06/2021 09:59:21;18/06/2021 14:52:16;20/07/2021 11:56:27;10/08/2021 12:40:54;30/08/2021 17:55:46;11/10/2021 09:56:12}</t>
  </si>
  <si>
    <t>{68.881;0.505;63.014;15.083;9.075;10.143;73.649;15.083;2.320;42.860;0.505;9.075;3.122;0.079;13.074;12.086;0.505;2.612;10.143;116.890;2.812;17.613;28.760;68.881;116.890;10.897;11.680;17.613;4.484;6.960;2.866;9.052;115.132;15.083;2.612;28.760;42.860;11.165;42.860;16.738;2.866;11.680;2.866;8.773;10.984;3.122;11.914;42.860;5.206;13.074}</t>
  </si>
  <si>
    <t>{65.180;0.000;59.313;11.382;5.374;6.442;69.948;11.382;0.000;39.159;0.000;5.374;0.000;0.000;9.373;8.385;0.000;0.000;6.442;113.189;0.000;13.911;25.059;65.180;113.189;7.196;7.979;13.911;0.783;3.258;0.000;5.351;111.431;11.382;0.000;25.059;39.159;7.464;39.159;13.037;0.000;7.979;0.000;5.072;7.283;0.000;8.213;39.159;1.504;9.373}</t>
  </si>
  <si>
    <t>{1465.087;1801.251;2198.234;1440.462;2118.463;2276.141;1308.728;1890.849;1064.006;1986.690;1628.446;1641.333;1903.150;1236.977;2588.212;1644.146;1457.214;1624.886;1324.619;1903.219;1906.615;1789.074;1845.864;2390.082;2395.267;971.283;1399.105;1865.812;1462.156;2288.354;1458.482;1398.272;1933.276;1493.046;824.826;1409.760;1270.110;1702.997;969.235;1731.008;2138.176;1082.993;1557.756;1943.034;2023.528;2459.063;1492.599;2037.816;1993.031;2112.868}</t>
  </si>
  <si>
    <t>{996.418;1402.867;1497.485;1724.516;1904.623;2045.881;2409.051}</t>
  </si>
  <si>
    <t>{14/04/2021 17:25:03;08/06/2021 14:22:02;21/06/2021 14:29:08;21/07/2021 10:30:59;13/08/2021 12:07:22;01/09/2021 16:52:51;20/10/2021 12:33:05}</t>
  </si>
  <si>
    <t>{9.027;5.423;13.619;3.490;71.753;121.762;76.719;2.721;12.590;3.490;2.985;9.429;11.351;65.641;0.082;11.351;13.619;25.982;7.250;5.423;9.139;4.671;65.641;76.719;65.641;7.250;11.382;11.442;3.490;11.630;11.351;12.411;0.526;76.719;12.411;71.753;119.931;0.082;9.453;13.619;10.566;71.753;42.857;29.959;2.929;25.982;7.577;4.671;12.411;119.931}</t>
  </si>
  <si>
    <t>{3.102;0.000;7.694;0.000;65.827;115.837;70.794;0.000;6.665;0.000;0.000;3.504;5.426;59.715;0.000;5.426;7.694;20.057;1.324;0.000;3.213;0.000;59.715;70.794;59.715;1.324;5.457;5.517;0.000;5.705;5.426;6.485;0.000;70.794;6.485;65.827;114.006;0.000;3.528;7.694;4.641;65.827;36.932;24.034;0.000;20.057;1.652;0.000;6.485;114.006}</t>
  </si>
  <si>
    <t>{1468.189;1801.251;2205.928;1440.462;2184.291;2391.978;1379.522;1890.849;1070.671;1986.690;1628.446;1644.838;1908.576;1296.693;2588.212;1649.572;1464.908;1644.943;1325.943;1903.219;1909.828;1789.074;1905.579;2460.875;2454.983;972.607;1404.562;1871.329;1462.156;2294.059;1463.908;1404.757;1933.276;1563.840;831.312;1475.587;1384.116;1702.997;972.763;1738.702;2142.817;1148.820;1594.688;1967.068;2023.528;2479.120;1494.251;2037.816;1999.517;2226.874}</t>
  </si>
  <si>
    <t>{1012.376;1418.922;1501.784;1724.516;1907.385;2052.464;2461.620}</t>
  </si>
  <si>
    <t>{16/04/2021 12:22:33;10/06/2021 09:25:18;22/06/2021 08:17:01;21/07/2021 10:30:59;13/08/2021 14:53:06;02/09/2021 12:57:49;27/10/2021 12:37:13}</t>
  </si>
  <si>
    <t>{9.476;9.476;0.103;6.781;3.663;4.067;11.289;15.745;4.365;22.944;32.493;0.103;55.834;37.466;15.745;4.067;3.663;11.792;53.597;32.493;89.732;53.597;17.032;11.792;123.025;0.658;14.545;3.023;3.023;6.781;82.089;14.196;55.834;13.213;9.476;19.649;0.658;152.273;0.658;55.834;32.493;3.403;17.032;13.213;14.545;3.403;13.213;152.273;3.023;53.597}</t>
  </si>
  <si>
    <t>{0.000;0.000;0.000;0.000;0.000;0.000;0.000;0.000;0.000;6.126;15.675;0.000;39.016;20.648;0.000;0.000;0.000;0.000;36.779;15.675;72.914;36.779;0.214;0.000;106.207;0.000;0.000;0.000;0.000;0.000;65.271;0.000;39.016;0.000;0.000;2.830;0.000;135.455;0.000;39.016;15.675;0.000;0.214;0.000;0.000;0.000;0.000;135.455;0.000;36.779}</t>
  </si>
  <si>
    <t>{1468.189;1801.251;2205.928;1440.462;2184.291;2391.978;1379.522;1890.849;1070.671;1992.816;1644.120;1644.838;1947.592;1317.341;2588.212;1649.572;1464.908;1644.943;1362.722;1918.894;1982.743;1825.853;1905.793;2460.875;2561.190;972.607;1404.562;1871.329;1462.156;2294.059;1529.179;1404.757;1972.292;1563.840;831.312;1478.418;1384.116;1838.453;972.763;1777.718;2158.492;1148.820;1594.902;1967.068;2023.528;2479.120;1494.251;2173.272;1999.517;2263.653}</t>
  </si>
  <si>
    <t>{1012.376;1418.922;1534.108;1789.752;1939.368;2161.072;2488.462}</t>
  </si>
  <si>
    <t>{16/04/2021 12:22:33;10/06/2021 09:25:18;25/06/2021 09:06:30;29/07/2021 12:45:06;18/08/2021 15:22:04;16/09/2021 16:34:18;29/10/2021 18:27:43}</t>
  </si>
  <si>
    <t>{5.547;27.921;176.055;59.624;28.891;6.244;6.851;98.349;26.049;8.009;0.189;225.750;31.254;5.547;16.637;36.055;16.637;6.722;150.633;28.891;6.722;6.851;26.120;279.421;7.462;16.637;26.049;26.120;6.851;28.891;28.480;31.254;275.219;28.891;21.693;275.219;24.246;7.462;98.349;6.722;6.722;6.244;6.244;1.208;28.480;21.639;21.693;40.011;176.055;5.987}</t>
  </si>
  <si>
    <t>{4.869;27.244;175.378;58.947;28.213;5.566;6.173;97.672;25.371;7.332;0.000;225.073;30.576;4.869;15.959;35.377;15.959;6.045;149.955;28.213;6.045;6.173;25.442;278.743;6.785;15.959;25.371;25.442;6.173;28.213;27.802;30.576;274.541;28.213;21.016;274.541;23.569;6.785;97.672;6.045;6.045;5.566;5.566;0.530;27.802;20.961;21.016;39.334;175.378;5.309}</t>
  </si>
  <si>
    <t>{1473.058;1828.495;2381.305;1499.408;2212.504;2397.544;1385.695;1988.521;1096.042;2000.148;1644.120;1869.910;1978.168;1322.210;2604.171;1684.949;1480.867;1650.987;1512.676;1947.107;1988.787;1832.026;1931.235;2739.618;2567.974;988.566;1429.933;1896.771;1468.329;2322.273;1556.981;1435.333;2246.833;1592.053;852.327;1752.959;1407.685;1845.237;1070.435;1783.762;2164.536;1154.386;1600.468;1967.598;2051.330;2500.081;1515.267;2212.605;2174.894;2268.962}</t>
  </si>
  <si>
    <t>{1089.324;1450.423;1595.958;1832.680;1976.490;2215.937;2528.706}</t>
  </si>
  <si>
    <t>{27/04/2021 15:49:25;15/06/2021 09:25:23;02/07/2021 18:27:30;04/08/2021 13:40:49;24/08/2021 10:29:24;24/09/2021 08:26:13;04/11/2021 16:42:20}</t>
  </si>
  <si>
    <t>{8.277;185.865;8.277;68.151;39.661;4.153;14.394;4.964;17.375;3.690;4.964;183.070;0.804;150.165;150.165;183.070;28.006;13.779;100.198;65.420;13.950;117.109;19.218;23.983;65.420;11.567;0.804;13.950;185.865;185.865;109.528;16.128;26.615;18.944;26.615;18.573;14.394;20.789;100.198;185.865;19.218;3.982;17.466;100.198;4.557;4.472;11.066;14.394;5.328;13.950}</t>
  </si>
  <si>
    <t>{0.000;167.267;0.000;49.553;21.062;0.000;0.000;0.000;0.000;0.000;0.000;164.472;0.000;131.566;131.566;164.472;9.407;0.000;81.599;46.822;0.000;98.510;0.619;5.384;46.822;0.000;0.000;0.000;167.267;167.267;90.929;0.000;8.016;0.346;8.016;0.000;0.000;2.191;81.599;167.267;0.619;0.000;0.000;81.599;0.000;0.000;0.000;0.000;0.000;0.000}</t>
  </si>
  <si>
    <t>{1473.058;1995.761;2381.305;1548.961;2233.566;2397.544;1385.695;1988.521;1096.042;2000.148;1644.120;2034.382;1978.168;1453.776;2735.737;1849.421;1490.274;1650.987;1594.276;1993.929;1988.787;1930.536;1931.854;2745.003;2614.796;988.566;1429.933;1896.771;1635.596;2489.539;1647.910;1435.333;2254.849;1592.399;860.344;1752.959;1407.685;1847.428;1152.034;1951.029;2165.155;1154.386;1600.468;2049.197;2051.330;2500.081;1515.267;2212.605;2174.894;2268.962}</t>
  </si>
  <si>
    <t>{1109.169;1468.375;1636.519;1905.542;1996.572;2216.830;2564.886}</t>
  </si>
  <si>
    <t>{29/04/2021 14:40:09;16/06/2021 16:52:30;08/07/2021 17:01:09;13/08/2021 13:02:31;26/08/2021 09:34:19;24/09/2021 09:19:47;10/11/2021 10:53:11}</t>
  </si>
  <si>
    <t>{35.919;25.936;247.068;135.225;135.225;0.170;158.048;135.225;23.572;28.057;5.374;6.150;5.374;53.526;0.170;32.367;5.605;19.426;11.171;14.935;21.766;6.150;135.225;25.066;6.150;19.475;0.170;91.976;250.841;158.048;19.475;28.057;202.660;91.976;37.796;53.526;5.605;6.699;15.610;53.526;25.066;250.841;23.385;23.385;32.367;247.068;5.605;202.660;147.816;88.290}</t>
  </si>
  <si>
    <t>{4.645;0.000;215.794;103.951;103.951;0.000;126.774;103.951;0.000;0.000;0.000;0.000;0.000;22.252;0.000;1.093;0.000;0.000;0.000;0.000;0.000;0.000;103.951;0.000;0.000;0.000;0.000;60.702;219.566;126.774;0.000;0.000;171.386;60.702;6.522;22.252;0.000;0.000;0.000;22.252;0.000;219.566;0.000;0.000;1.093;215.794;0.000;171.386;116.542;57.016}</t>
  </si>
  <si>
    <t>{1477.703;1995.761;2597.100;1652.912;2337.518;2397.544;1512.468;2092.472;1096.042;2000.148;1644.120;2034.382;1978.168;1476.028;2735.737;1850.514;1490.274;1650.987;1594.276;1993.929;1988.787;1930.536;2035.806;2745.003;2614.796;988.566;1429.933;1957.473;1855.162;2616.313;1647.910;1435.333;2426.235;1653.101;866.865;1775.210;1407.685;1847.428;1152.034;1973.281;2165.155;1373.953;1600.468;2049.197;2052.423;2715.875;1515.267;2383.991;2291.437;2325.977}</t>
  </si>
  <si>
    <t>{1158.572;1491.609;1651.146;1941.222;2015.302;2331.779;2649.155}</t>
  </si>
  <si>
    <t>{06/05/2021 11:34:18;21/06/2021 08:36:32;12/07/2021 10:38:45;18/08/2021 17:13:19;27/08/2021 17:48:09;11/10/2021 08:46:44;22/11/2021 11:09:17}</t>
  </si>
  <si>
    <t>{2.318;2.318;8.848;31.829;3.866;18.523;7.532;8.674;1.723;46.796;21.358;9.709;8.114;21.358;8.848;46.796;5.168;2.128;3.866;30.553;13.080;12.430;1.723;2.088;8.291;8.674;31.829;6.435;30.553;8.114;30.553;8.291;8.848;51.153;46.796;8.157;12.430;85.500;6.515;8.114;85.500;18.523;1.860;13.080;8.975;1.723;0.059;18.523;11.201;8.092}</t>
  </si>
  <si>
    <t>{0.000;0.000;0.000;3.638;0.000;0.000;0.000;0.000;0.000;18.605;0.000;0.000;0.000;0.000;0.000;18.605;0.000;0.000;0.000;2.362;0.000;0.000;0.000;0.000;0.000;0.000;3.638;0.000;2.362;0.000;2.362;0.000;0.000;22.962;18.605;0.000;0.000;57.309;0.000;0.000;57.309;0.000;0.000;0.000;0.000;0.000;0.000;0.000;0.000;0.000}</t>
  </si>
  <si>
    <t>{1477.703;1995.761;2597.100;1656.550;2337.518;2397.544;1512.468;2092.472;1096.042;2018.752;1644.120;2034.382;1978.168;1476.028;2735.737;1869.118;1490.274;1650.987;1594.276;1996.291;1988.787;1930.536;2035.806;2745.003;2614.796;988.566;1433.571;1957.473;1857.524;2616.313;1650.272;1435.333;2426.235;1676.062;885.470;1775.210;1407.685;1904.736;1152.034;1973.281;2222.464;1373.953;1600.468;2049.197;2052.423;2715.875;1515.267;2383.991;2291.437;2325.977}</t>
  </si>
  <si>
    <t>{1158.572;1491.609;1652.868;1941.222;2026.000;2331.779;2649.155}</t>
  </si>
  <si>
    <t>{06/05/2021 11:34:18;21/06/2021 08:36:32;12/07/2021 12:22:05;18/08/2021 17:13:19;30/08/2021 18:00:00;11/10/2021 08:46:44;22/11/2021 11:09:17}</t>
  </si>
  <si>
    <t>{12.072;12.271;4.928;128.469;103.793;80.945;27.413;27.413;31.609;0.087;9.642;2.550;12.837;75.705;3.091;3.091;3.150;27.413;13.094;9.524;2.871;126.537;9.642;18.396;9.524;0.555;9.949;9.974;45.218;18.396;47.106;12.837;0.087;16.577;16.577;0.087;4.928;11.148;14.369;128.469;27.413;13.283;80.945;9.949;80.945;14.369;3.150;4.928;45.218;75.705}</t>
  </si>
  <si>
    <t>{7.739;7.938;0.595;124.136;99.460;76.611;23.080;23.080;27.276;0.000;5.309;0.000;8.504;71.371;0.000;0.000;0.000;23.080;8.761;5.191;0.000;122.204;5.309;14.063;5.191;0.000;5.616;5.641;40.885;14.063;42.773;8.504;0.000;12.244;12.244;0.000;0.595;6.815;10.036;124.136;23.080;8.950;76.611;5.616;76.611;10.036;0.000;0.595;40.885;71.371}</t>
  </si>
  <si>
    <t>{1485.442;2003.699;2597.695;1780.686;2436.977;2474.155;1535.549;2115.552;1123.318;2018.752;1649.429;2034.382;1986.673;1547.399;2735.737;1869.118;1490.274;1674.068;1603.037;2001.482;1988.787;2052.739;2041.115;2759.066;2619.987;988.566;1439.186;1963.114;1898.409;2630.376;1693.045;1443.837;2426.235;1688.306;897.714;1775.210;1408.280;1911.551;1162.070;2097.416;2245.544;1382.903;1677.080;2054.813;2129.035;2725.911;1515.267;2384.586;2332.321;2397.349}</t>
  </si>
  <si>
    <t>{1181.724;1508.384;1694.824;1969.532;2046.936;2388.751;2659.350}</t>
  </si>
  <si>
    <t>{10/05/2021 13:43:27;22/06/2021 14:53:01;16/07/2021 12:19:27;23/08/2021 14:01:55;01/09/2021 17:56:11;18/10/2021 13:15:04;23/11/2021 10:51:01}</t>
  </si>
  <si>
    <t>{31.993;23.299;1.072;156.222;27.733;5.540;4.922;24.776;156.222;52.908;25.637;5.540;6.079;61.005;23.114;7.107;0.168;200.319;27.733;4.922;14.762;31.993;14.762;5.965;133.664;25.637;5.965;6.079;23.178;23.178;6.622;14.762;23.114;23.178;6.079;25.637;25.272;27.733;244.215;25.637;19.250;244.215;21.515;6.622;87.270;5.965;5.965;5.540;5.540;1.072}</t>
  </si>
  <si>
    <t>{21.724;13.031;0.000;145.953;17.464;0.000;0.000;14.507;145.953;42.639;15.368;0.000;0.000;50.736;12.846;0.000;0.000;190.050;17.464;0.000;4.494;21.724;4.494;0.000;123.395;15.368;0.000;0.000;12.909;12.909;0.000;4.494;12.846;12.909;0.000;15.368;15.003;17.464;233.946;15.368;8.981;233.946;11.246;0.000;77.001;0.000;0.000;0.000;0.000;0.000}</t>
  </si>
  <si>
    <t>{1507.166;2016.730;2597.695;1926.639;2454.441;2474.155;1535.549;2130.059;1269.271;2061.391;1664.797;2034.382;1986.673;1598.135;2748.583;1869.118;1490.274;1864.118;1620.501;2001.482;1993.281;2074.464;2045.608;2759.066;2743.382;1003.934;1439.186;1963.114;1911.318;2643.285;1693.045;1448.331;2439.081;1701.215;897.714;1790.578;1423.283;1929.015;1396.016;2112.784;2254.525;1616.849;1688.326;2054.813;2206.036;2725.911;1515.267;2384.586;2332.321;2397.349}</t>
  </si>
  <si>
    <t>{1303.924;1548.414;1713.433;1970.655;2063.165;2390.036;2732.146}</t>
  </si>
  <si>
    <t>{26/05/2021 09:55:25;28/06/2021 12:54:50;20/07/2021 09:55:58;23/08/2021 15:09:19;03/09/2021 13:09:53;18/10/2021 14:32:08;02/12/2021 10:08:46}</t>
  </si>
  <si>
    <t>{21.511;2.722;1.752;3.803;9.208;2.722;4.587;1.632;4.587;6.319;1.366;9.208;1.213;0.041;5.743;15.037;0.041;6.836;49.375;7.886;5.697;13.041;6.836;8.751;60.195;4.733;4.531;5.837;6.107;1.498;1.309;5.713;49.375;4.745;1.632;5.743;1.752;38.506;3.639;61.114;3.639;22.409;1.213;1.366;60.195;1.632;6.107;1.213;3.803;60.195}</t>
  </si>
  <si>
    <t>{18.401;0.000;0.000;0.693;6.098;0.000;1.477;0.000;1.477;3.209;0.000;6.098;0.000;0.000;2.633;11.927;0.000;3.726;46.265;4.776;2.587;9.931;3.726;5.641;57.085;1.623;1.421;2.727;2.997;0.000;0.000;2.603;46.265;1.635;0.000;2.633;0.000;35.396;0.529;58.004;0.529;19.299;0.000;0.000;57.085;0.000;2.997;0.000;0.693;57.085}</t>
  </si>
  <si>
    <t>{1525.567;2016.730;2597.695;1927.332;2460.540;2474.155;1537.025;2130.059;1270.748;2064.600;1664.797;2040.480;1986.673;1598.135;2751.215;1881.045;1490.274;1867.844;1666.766;2006.258;1995.868;2084.395;2049.334;2764.707;2800.466;1005.557;1440.607;1965.841;1914.315;2643.285;1693.045;1450.934;2485.346;1702.850;897.714;1793.211;1423.283;1964.411;1396.545;2170.788;2255.054;1636.147;1688.326;2054.813;2263.121;2725.911;1518.263;2384.586;2333.015;2454.434}</t>
  </si>
  <si>
    <t>{1305.068;1554.594;1715.224;1973.348;2067.385;2392.182;2736.580}</t>
  </si>
  <si>
    <t>{26/05/2021 11:04:05;29/06/2021 08:35:39;20/07/2021 11:43:27;23/08/2021 17:50:52;03/09/2021 17:23:07;18/10/2021 16:40:54;02/12/2021 14:34:49}</t>
  </si>
  <si>
    <t>{23.039;63.483;7.294;44.827;0.201;1.286;8.528;63.483;13.249;22.055;23.097;7.157;160.380;22.055;23.039;17.713;187.448;30.761;29.728;22.329;27.734;18.514;22.055;187.448;44.827;30.323;63.483;27.810;23.097;160.380;27.810;6.648;27.734;293.028;104.713;6.648;175.313;38.388;7.945;5.906;42.601;22.329;22.055;11.412;5.906;17.713;160.380;7.294;18.514;109.085}</t>
  </si>
  <si>
    <t>{20.362;60.806;4.617;42.150;0.000;0.000;5.851;60.806;10.572;19.378;20.421;4.481;157.703;19.378;20.362;15.036;184.771;28.084;27.052;19.652;25.058;15.837;19.378;184.771;42.150;27.646;60.806;25.134;20.421;157.703;25.134;3.971;25.058;290.351;102.037;3.971;172.636;35.711;5.269;3.229;39.924;19.652;19.378;8.736;3.229;15.036;157.703;4.617;15.837;106.408}</t>
  </si>
  <si>
    <t>{1545.929;2077.535;2602.312;1969.482;2460.540;2474.155;1542.876;2190.865;1281.320;2083.978;1685.218;2044.961;2144.376;1617.514;2771.578;1896.082;1675.045;1895.928;1693.817;2025.910;2020.926;2100.232;2068.712;2949.478;2842.616;1033.203;1501.413;1990.974;1934.735;2800.988;1718.178;1454.905;2510.404;1993.201;999.750;1797.182;1595.919;2000.123;1401.813;2174.017;2294.978;1655.799;1707.704;2063.549;2266.350;2740.948;1675.967;2389.204;2348.852;2560.842}</t>
  </si>
  <si>
    <t>{1320.377;1640.526;1804.599;2006.569;2109.647;2397.699;2791.113}</t>
  </si>
  <si>
    <t>{27/05/2021 15:52:36;09/07/2021 10:31:34;30/07/2021 17:05:58;27/08/2021 09:04:09;09/09/2021 17:38:50;19/10/2021 11:41:56;09/12/2021 16:36:48}</t>
  </si>
  <si>
    <t>{49.628;15.771;3.766;3.392;3.766;76.010;13.144;18.193;10.453;49.628;30.087;10.947;76.010;3.392;14.579;13.467;88.838;10.453;5.409;14.089;0.610;13.467;3.151;13.250;15.771;13.250;10.582;15.771;14.579;13.180;34.691;2.799;34.691;21.245;13.250;5.409;13.250;30.087;10.453;113.915;6.279;3.392;15.771;10.582;3.151;3.021;12.235;88.838;8.774;10.582}</t>
  </si>
  <si>
    <t>{33.349;0.000;0.000;0.000;0.000;59.731;0.000;1.915;0.000;33.349;13.808;0.000;59.731;0.000;0.000;0.000;72.560;0.000;0.000;0.000;0.000;0.000;0.000;0.000;0.000;0.000;0.000;0.000;0.000;0.000;18.413;0.000;18.413;4.966;0.000;0.000;0.000;13.808;0.000;97.636;0.000;0.000;0.000;0.000;0.000;0.000;0.000;72.560;0.000;0.000}</t>
  </si>
  <si>
    <t>{1579.278;2077.535;2602.312;1969.482;2460.540;2533.887;1542.876;2192.780;1281.320;2117.327;1699.026;2044.961;2204.107;1617.514;2771.578;1896.082;1747.604;1895.928;1693.817;2025.910;2020.926;2100.232;2068.712;2949.478;2842.616;1033.203;1501.413;1990.974;1934.735;2800.988;1736.591;1454.905;2528.816;1998.167;999.750;1797.182;1595.919;2013.931;1401.813;2271.653;2294.978;1655.799;1707.704;2063.549;2266.350;2740.948;1675.967;2461.763;2348.852;2560.842}</t>
  </si>
  <si>
    <t>{1320.377;1640.895;1804.599;2016.925;2139.565;2467.367;2791.113}</t>
  </si>
  <si>
    <t>{27/05/2021 15:52:36;09/07/2021 10:53:41;30/07/2021 17:05:58;30/08/2021 08:55:31;14/09/2021 16:03:53;27/10/2021 18:22:03;09/12/2021 16:36:48}</t>
  </si>
  <si>
    <t>{5.251;137.519;8.373;20.847;6.256;20.510;128.616;20.510;16.180;22.246;16.945;20.403;5.251;4.333;20.347;32.886;80.029;4.676;218.258;46.573;176.336;176.336;12.995;5.251;214.976;16.381;53.701;4.676;80.029;137.519;18.939;16.381;5.351;22.567;28.163;137.519;5.829;20.403;32.886;9.720;9.720;32.886;16.180;13.583;4.333;24.412;5.251;0.148;20.403;5.351}</t>
  </si>
  <si>
    <t>{0.000;113.158;0.000;0.000;0.000;0.000;104.256;0.000;0.000;0.000;0.000;0.000;0.000;0.000;0.000;8.526;55.669;0.000;193.898;22.213;151.976;151.976;0.000;0.000;190.616;0.000;29.341;0.000;55.669;113.158;0.000;0.000;0.000;0.000;3.803;113.158;0.000;0.000;8.526;0.000;0.000;8.526;0.000;0.000;0.000;0.052;0.000;0.000;0.000;0.000}</t>
  </si>
  <si>
    <t>{1579.278;2190.694;2602.312;1969.482;2460.540;2533.887;1647.132;2192.780;1281.320;2117.327;1699.026;2044.961;2204.107;1617.514;2771.578;1904.608;1803.273;1895.928;1887.716;2048.122;2172.902;2252.208;2068.712;2949.478;3033.232;1033.203;1530.754;1990.974;1990.404;2914.146;1736.591;1454.905;2528.816;1998.167;1003.553;1910.340;1595.919;2013.931;1410.340;2271.653;2294.978;1664.325;1707.704;2063.549;2266.350;2741.000;1675.967;2461.763;2348.852;2560.842}</t>
  </si>
  <si>
    <t>{1320.377;1658.666;1897.009;2022.479;2196.394;2467.367;2820.500}</t>
  </si>
  <si>
    <t>{27/05/2021 15:52:36;12/07/2021 18:09:58;12/08/2021 15:00:32;30/08/2021 14:28:43;22/09/2021 09:53:40;27/10/2021 18:22:03;14/12/2021 14:30:01}</t>
  </si>
  <si>
    <t>{14.598;5.575;18.132;68.458;3.861;0.132;5.194;47.854;0.132;41.502;157.137;25.097;15.100;47.854;41.502;27.851;3.861;11.580;12.104;18.577;18.277;0.841;7.461;18.181;157.137;122.546;5.194;5.194;5.575;122.546;14.598;191.570;19.435;12.104;4.679;4.679;4.769;5.575;18.277;4.679;12.104;191.570;7.461;27.851;14.419;3.861;21.755;15.100;191.570;68.458}</t>
  </si>
  <si>
    <t>{0.000;0.000;0.000;37.684;0.000;0.000;0.000;17.081;0.000;10.729;126.364;0.000;0.000;17.081;10.729;0.000;0.000;0.000;0.000;0.000;0.000;0.000;0.000;0.000;126.364;91.773;0.000;0.000;0.000;91.773;0.000;160.797;0.000;0.000;0.000;0.000;0.000;0.000;0.000;0.000;0.000;160.797;0.000;0.000;0.000;0.000;0.000;0.000;160.797;37.684}</t>
  </si>
  <si>
    <t>{1579.278;2190.694;2602.312;2007.166;2460.540;2533.887;1647.132;2209.861;1281.320;2128.057;1825.390;2044.961;2204.107;1634.594;2782.307;1904.608;1803.273;1895.928;1887.716;2048.122;2172.902;2252.208;2068.712;2949.478;3159.596;1124.975;1530.754;1990.974;1990.404;3005.919;1736.591;1615.702;2528.816;1998.167;1003.553;1910.340;1595.919;2013.931;1410.340;2271.653;2294.978;1825.122;1707.704;2063.549;2266.350;2741.000;1675.967;2461.763;2509.649;2598.526}</t>
  </si>
  <si>
    <t>{1337.443;1671.361;1897.009;2022.479;2198.840;2468.469;2843.800}</t>
  </si>
  <si>
    <t>{31/05/2021 11:56:34;14/07/2021 09:51:40;12/08/2021 15:00:32;30/08/2021 14:28:43;22/09/2021 12:20:23;28/10/2021 08:58:07;16/12/2021 16:48:01}</t>
  </si>
  <si>
    <t>{4.874;24.397;24.397;20.497;20.497;16.891;22.553;32.865;176.223;5.247;176.223;32.865;24.397;8.367;24.397;53.667;16.170;176.223;20.834;20.334;4.673;18.927;5.247;12.987;5.825;0.148;13.574;16.371;12.987;6.252;9.714;137.431;128.534;32.865;16.891;20.390;21.796;76.773;5.825;4.874;8.367;4.673;8.367;117.585;22.232;5.348;22.232;4.330;20.834;16.170}</t>
  </si>
  <si>
    <t>{1.438;20.961;20.961;17.061;17.061;13.456;19.117;29.430;172.787;1.812;172.787;29.430;20.961;4.931;20.961;50.231;12.734;172.787;17.398;16.898;1.238;15.491;1.812;9.551;2.389;0.000;10.138;12.935;9.551;2.816;6.278;133.995;125.098;29.430;13.456;16.954;18.360;73.337;2.389;1.438;4.931;1.238;4.931;114.149;18.796;1.912;18.796;0.894;17.398;12.734}</t>
  </si>
  <si>
    <t>{1580.716;2211.655;2623.273;2024.227;2477.601;2547.342;1666.249;2239.290;1454.107;2129.868;1998.177;2074.391;2225.068;1639.526;2803.268;1954.839;1816.007;2068.715;1905.114;2065.021;2174.139;2267.699;2070.524;2959.029;3161.985;1124.975;1540.892;2003.909;1999.955;3008.735;1742.869;1749.697;2653.914;2027.597;1017.009;1927.294;1614.279;2087.267;1412.729;2273.091;2299.909;1826.360;1712.636;2177.698;2285.146;2742.912;1694.762;2462.658;2527.047;2611.261}</t>
  </si>
  <si>
    <t>{1441.566;1714.005;1958.222;2070.134;2223.400;2484.575;2859.771}</t>
  </si>
  <si>
    <t>{14/06/2021 11:03:56;20/07/2021 10:30:18;20/08/2021 13:13:20;06/09/2021 09:38:02;24/09/2021 15:54:00;29/10/2021 14:34:29;20/12/2021 11:46:17}</t>
  </si>
  <si>
    <t>{2.530;12.010;7.281;2.649;18.395;2.530;2.961;1.520;0.023;2.530;1.309;0.023;0.148;3.259;0.762;3.817;3.817;3.207;2.561;3.478;3.528;0.978;7.281;0.677;8.396;5.141;3.207;0.731;3.478;7.281;2.530;27.568;1.520;0.821;3.817;2.561;0.821;2.032;3.207;21.500;2.123;2.561;4.403;0.911;0.837;21.500;20.108;5.141;3.478;3.190}</t>
  </si>
  <si>
    <t>{12.457;42.714;20.003;200.173;18.661;18.661;25.829;3.974;4.473;161.725;4.473;70.456;28.664;8.914;17.370;25.829;4.816;20.697;70.456;161.725;12.457;20.003;18.712;17.370;14.840;18.712;15.024;18.810;49.251;117.959;3.974;117.959;73.398;197.163;0.136;20.403;4.816;7.679;18.661;15.502;117.959;0.865;117.959;4.816;17.370;15.541;20.003;161.725;3.974;73.398}</t>
  </si>
  <si>
    <t>{0.000;11.890;0.000;169.350;0.000;0.000;0.000;0.000;0.000;130.901;0.000;39.633;0.000;0.000;0.000;0.000;0.000;0.000;39.633;130.901;0.000;0.000;0.000;0.000;0.000;0.000;0.000;0.000;18.428;87.135;0.000;87.135;42.574;166.339;0.000;0.000;0.000;0.000;0.000;0.000;87.135;0.000;87.135;0.000;0.000;0.000;0.000;130.901;0.000;42.574}</t>
  </si>
  <si>
    <t>{1580.716;2223.545;2623.273;2193.577;2477.601;2547.342;1666.249;2239.290;1454.107;2260.769;1998.177;2114.023;2225.068;1639.526;2803.268;1954.839;1816.007;2068.715;1944.746;2195.922;2174.139;2267.699;2070.524;2959.029;3161.985;1124.975;1540.892;2003.909;2018.382;3095.871;1742.869;1836.832;2696.489;2193.936;1017.009;1927.294;1614.279;2087.267;1412.729;2273.091;2387.045;1826.360;1799.771;2177.698;2285.146;2742.912;1694.762;2593.559;2527.047;2653.835}</t>
  </si>
  <si>
    <t>{1441.566;1736.766;1958.519;2129.942;2240.241;2533.698;2883.734}</t>
  </si>
  <si>
    <t>{14/06/2021 11:03:56;22/07/2021 12:15:57;20/08/2021 13:31:08;13/09/2021 16:56:31;28/09/2021 11:44:28;05/11/2021 11:11:53;22/12/2021 14:44:01}</t>
  </si>
  <si>
    <t>{155.693;18.407;4.306;29.037;47.414;113.560;18.407;103.887;19.257;29.037;7.392;14.924;4.725;14.924;192.708;24.866;4.306;47.414;18.407;18.407;70.660;155.693;189.810;19.257;67.828;14.463;18.109;18.109;0.131;70.660;27.595;21.555;14.463;19.257;189.810;4.306;41.121;19.642;19.925;41.121;0.131;4.306;4.129;67.828;27.595;29.037;5.524;155.693;113.560;3.826}</t>
  </si>
  <si>
    <t>{146.427;9.141;0.000;19.770;38.148;104.293;9.141;94.620;9.990;19.770;0.000;5.657;0.000;5.657;183.441;15.600;0.000;38.148;9.141;9.141;61.394;146.427;180.543;9.990;58.562;5.197;8.843;8.843;0.000;61.394;18.329;12.288;5.197;9.990;180.543;0.000;31.855;10.376;10.659;31.855;0.000;0.000;0.000;58.562;18.329;19.770;0.000;146.427;104.293;0.000}</t>
  </si>
  <si>
    <t>{1727.143;2232.686;2623.273;2213.347;2515.749;2651.636;1675.390;2333.911;1464.098;2280.540;1998.177;2119.681;2225.068;1645.183;2986.709;1970.438;1816.007;2106.863;1953.887;2205.062;2235.533;2414.126;2251.067;2969.019;3220.548;1130.173;1549.734;2012.752;2018.382;3157.265;1761.198;1849.120;2701.686;2203.926;1197.552;1927.294;1646.134;2097.643;1423.388;2304.946;2387.045;1826.360;1799.771;2236.261;2303.474;2762.682;1694.762;2739.985;2631.340;2653.835}</t>
  </si>
  <si>
    <t>{1451.816;1756.194;1973.612;2206.282;2273.340;2626.109;3020.787}</t>
  </si>
  <si>
    <t>{15/06/2021 10:48:58;26/07/2021 10:41:40;23/08/2021 18:06:43;23/09/2021 09:16:54;01/10/2021 13:20:25;18/11/2021 09:06:34;10/01/2022 15:17:12}</t>
  </si>
  <si>
    <t>{13.304;1.393;15.341;5.828;5.859;1.336;6.230;13.304;4.622;50.374;1.529;1.393;6.974;50.374;1.393;1.336;4.680;39.285;22.862;2.392;1.336;6.447;1.529;39.285;36.742;5.828;6.355;2.777;3.712;9.395;4.680;3.880;6.974;6.974;13.304;3.880;6.230;1.529;0.042;36.742;0.270;0.270;8.928;13.304;6.355;0.270;36.742;21.946;3.712;5.410}</t>
  </si>
  <si>
    <t>{13.054;1.143;15.091;5.578;5.609;1.086;5.980;13.054;4.372;50.124;1.279;1.143;6.724;50.124;1.143;1.086;4.430;39.035;22.612;2.142;1.086;6.197;1.279;39.035;36.492;5.578;6.105;2.527;3.462;9.145;4.430;3.630;6.724;6.724;13.054;3.630;5.980;1.279;0.000;36.492;0.020;0.020;8.678;13.054;6.105;0.020;36.492;21.696;3.462;5.160}</t>
  </si>
  <si>
    <t>{1740.198;2233.829;2638.364;2218.926;2521.358;2652.722;1681.370;2346.965;1468.470;2330.663;1999.456;2120.824;2231.792;1695.307;2987.853;1971.524;1820.437;2145.898;1976.498;2207.204;2236.619;2420.322;2252.346;3008.054;3257.039;1135.751;1555.839;2015.279;2021.845;3166.409;1765.627;1852.751;2708.410;2210.650;1210.607;1930.924;1652.114;2098.922;1423.388;2341.438;2387.064;1826.379;1808.449;2249.315;2309.579;2762.702;1731.254;2761.681;2634.803;2658.995}</t>
  </si>
  <si>
    <t>{1453.190;1767.498;1979.407;2210.134;2285.631;2636.595;3036.956}</t>
  </si>
  <si>
    <t>{15/06/2021 12:11:23;27/07/2021 11:29:54;24/08/2021 13:24:25;23/09/2021 13:08:04;04/10/2021 15:07:51;19/11/2021 09:05:40;12/01/2022 10:27:21}</t>
  </si>
  <si>
    <t>{3.875;0.929;3.906;3.875;41.566;40.941;3.081;2.475;2.475;0.891;0.891;26.190;10.227;5.952;1.110;15.241;1.110;5.952;2.475;3.906;2.475;3.607;24.494;1.110;40.941;2.587;4.154;8.870;15.241;4.237;1.595;3.875;1.000;4.649;4.237;33.582;6.263;22.408;0.180;5.952;26.190;14.630;3.219;4.298;1.595;3.081;3.906;4.154;3.906;3.227}</t>
  </si>
  <si>
    <t>{3.454;0.508;3.485;3.454;41.145;40.520;2.661;2.054;2.054;0.470;0.470;25.769;9.806;5.531;0.689;14.820;0.689;5.531;2.054;3.485;2.054;3.186;24.074;0.689;40.520;2.166;3.733;8.449;14.820;3.816;1.174;3.454;0.579;4.228;3.816;33.162;5.842;21.987;0.000;5.531;25.769;14.210;2.798;3.877;1.174;2.661;3.485;3.733;3.485;2.806}</t>
  </si>
  <si>
    <t>{1743.652;2234.337;2641.849;2222.380;2562.503;2693.242;1684.031;2349.019;1470.524;2331.133;1999.925;2146.593;2241.598;1700.838;2988.542;1986.345;1821.126;2151.429;1978.552;2210.689;2238.673;2423.508;2276.420;3008.743;3297.560;1137.917;1559.572;2023.727;2036.665;3170.225;1766.801;1856.205;2708.989;2214.879;1214.422;1964.086;1657.956;2120.909;1423.388;2346.969;2412.833;1840.589;1811.247;2253.192;2310.753;2765.363;1734.739;2765.414;2638.288;2661.801}</t>
  </si>
  <si>
    <t>{1454.030;1770.690;1989.148;2213.612;2299.673;2640.639;3038.505}</t>
  </si>
  <si>
    <t>{15/06/2021 13:01:46;27/07/2021 14:41:24;25/08/2021 12:38:54;23/09/2021 16:36:43;06/10/2021 08:10:22;19/11/2021 13:08:21;12/01/2022 12:00:17}</t>
  </si>
  <si>
    <t>{12.461;2.475;12.461;73.483;0.539;3.000;3.057;26.609;12.710;9.244;2.786;3.057;9.359;17.856;45.723;0.539;9.657;7.760;3.057;17.856;124.699;0.084;12.710;78.569;16.090;0.084;9.359;3.330;13.948;122.824;26.609;3.330;78.569;9.657;0.084;13.948;3.057;4.784;17.856;2.475;0.084;7.425;2.475;11.625;12.461;9.244;11.911;16.090;11.625;11.718}</t>
  </si>
  <si>
    <t>{1756.113;2236.813;2654.310;2295.863;2563.043;2696.242;1687.088;2375.628;1483.234;2340.377;2002.712;2149.650;2250.957;1718.694;3034.265;1986.884;1830.783;2159.190;1981.610;2228.545;2363.372;2423.593;2289.130;3087.312;3313.650;1138.001;1568.931;2027.058;2050.613;3293.049;1793.410;1859.535;2787.558;2224.536;1214.507;1978.034;1661.014;2125.692;1441.244;2349.444;2412.917;1848.013;1813.723;2264.817;2323.213;2774.607;1746.650;2781.504;2649.913;2673.519}</t>
  </si>
  <si>
    <t>{1469.974;1779.157;1989.897;2227.605;2334.362;2652.273;3105.431}</t>
  </si>
  <si>
    <t>{16/06/2021 18:28:26;28/07/2021 12:39:24;25/08/2021 13:23:49;27/09/2021 09:36:17;11/10/2021 11:21:42;22/11/2021 14:16:24;20/01/2022 15:55:51}</t>
  </si>
  <si>
    <t>{0.323;1.109;0.670;0.403;4.198;0.125;1.278;0.385;5.118;0.111;0.486;0.537;0.486;0.390;4.198;0.323;4.198;3.274;0.004;0.530;0.116;0.486;0.451;2.801;3.274;0.323;1.829;0.103;0.402;0.116;0.139;0.111;3.062;0.103;0.403;0.199;0.390;0.199;1.109;0.390;1.829;0.127;0.537;0.323;0.537;0.231;0.199;0.139;0.199;0.451}</t>
  </si>
  <si>
    <t>{1756.436;2237.921;2654.980;2296.267;2567.240;2696.367;1688.367;2376.013;1488.352;2340.489;2003.197;2150.187;2251.443;1719.084;3038.463;1987.207;1834.981;2162.463;1981.613;2229.075;2363.488;2424.079;2289.580;3090.113;3316.924;1138.325;1570.760;2027.161;2051.015;3293.165;1793.548;1859.646;2790.620;2224.639;1214.910;1978.233;1661.404;2125.892;1442.353;2349.834;2414.746;1848.141;1814.260;2265.141;2323.751;2774.839;1746.849;2781.643;2650.112;2673.970}</t>
  </si>
  <si>
    <t>{1471.245;1779.566;1990.204;2227.959;2334.836;2652.498;3108.506}</t>
  </si>
  <si>
    <t>{17/06/2021 09:14:40;28/07/2021 13:03:56;25/08/2021 13:42:13;27/09/2021 09:57:34;11/10/2021 11:50:10;22/11/2021 14:29:52;21/01/2022 08:30:22}</t>
  </si>
  <si>
    <t>eB5424071E168A2BC5</t>
  </si>
  <si>
    <t>{2.424;0.049;0.319;1.679;1.802;0.512;0.482;0.076;0.620;0.649;11.129;1.962;0.137;0.196;0.225;0.430;0.472;71.052;0.773;0.131;0.504;1.080;0.336;0.060;1.254;2.246;0.621;0.089;2.153;0.082;0.048;0.515;0.465;0.554;0.641;0.808;0.373;0.516;2.000}</t>
  </si>
  <si>
    <t>Important</t>
  </si>
  <si>
    <t>hi</t>
  </si>
  <si>
    <t>{hi}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</si>
</sst>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8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3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3" fillId="0" borderId="0" xfId="1" applyNumberFormat="1" applyFont="1" applyFill="1" applyAlignment="1">
      <alignment horizontal="left" vertical="center" indent="1"/>
    </xf>
    <xf numFmtId="0" fontId="7" fillId="10" borderId="0" xfId="2" applyFont="1" applyFill="1"/>
    <xf numFmtId="22" fontId="7" fillId="0" borderId="0" xfId="0" applyNumberFormat="1" applyFont="1" applyFill="1" applyAlignment="1">
      <alignment horizontal="left" vertical="center" inden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Bad" xfId="4" builtinId="27"/>
    <cellStyle name="ColLevel_1" xfId="1" builtinId="2" iLevel="0"/>
    <cellStyle name="Hyperlink" xfId="2" builtinId="8"/>
    <cellStyle name="Input" xfId="3" builtinId="20"/>
    <cellStyle name="Normal" xfId="0" builtinId="0"/>
  </cellStyles>
  <dxfs count="1716"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26/11/2020 23:11:50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</c:v>
              </c:pt>
              <c:pt idx="2">
                <c:v>0.9</c:v>
              </c:pt>
              <c:pt idx="3">
                <c:v>0.7</c:v>
              </c:pt>
              <c:pt idx="4">
                <c:v>0.1</c:v>
              </c:pt>
              <c:pt idx="5">
                <c:v>0.3</c:v>
              </c:pt>
              <c:pt idx="6">
                <c:v>0.4</c:v>
              </c:pt>
              <c:pt idx="7">
                <c:v>0</c:v>
              </c:pt>
              <c:pt idx="8">
                <c:v>0.2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317-41DD-A8FD-19E0F0DF6ABF}"/>
            </c:ext>
          </c:extLst>
        </c:ser>
        <c:ser>
          <c:idx val="1"/>
          <c:order val="1"/>
          <c:tx>
            <c:v>Velo pool on: 02/12/2020 21:46:05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</c:v>
              </c:pt>
              <c:pt idx="2">
                <c:v>0.9</c:v>
              </c:pt>
              <c:pt idx="3">
                <c:v>0.7</c:v>
              </c:pt>
              <c:pt idx="4">
                <c:v>0.1</c:v>
              </c:pt>
              <c:pt idx="5">
                <c:v>0.3</c:v>
              </c:pt>
              <c:pt idx="6">
                <c:v>0.5</c:v>
              </c:pt>
              <c:pt idx="7">
                <c:v>0</c:v>
              </c:pt>
              <c:pt idx="8">
                <c:v>0.2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317-41DD-A8FD-19E0F0DF6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44161.966550925928</c:v>
              </c:pt>
              <c:pt idx="1">
                <c:v>44167.907002314816</c:v>
              </c:pt>
            </c:numLit>
          </c:xVal>
          <c:yVal>
            <c:numLit>
              <c:formatCode>General</c:formatCode>
              <c:ptCount val="2"/>
              <c:pt idx="0">
                <c:v>1869.7630000000001</c:v>
              </c:pt>
              <c:pt idx="1">
                <c:v>1730.7245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148-47CD-9DC0-E61140590DA2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44161.966550925928</c:v>
              </c:pt>
              <c:pt idx="1">
                <c:v>44167.907002314816</c:v>
              </c:pt>
            </c:numLit>
          </c:xVal>
          <c:yVal>
            <c:numLit>
              <c:formatCode>General</c:formatCode>
              <c:ptCount val="2"/>
              <c:pt idx="0">
                <c:v>2414.2565</c:v>
              </c:pt>
              <c:pt idx="1">
                <c:v>2162.52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148-47CD-9DC0-E61140590DA2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44161.966550925928</c:v>
              </c:pt>
              <c:pt idx="1">
                <c:v>44167.907002314816</c:v>
              </c:pt>
            </c:numLit>
          </c:xVal>
          <c:yVal>
            <c:numLit>
              <c:formatCode>General</c:formatCode>
              <c:ptCount val="2"/>
              <c:pt idx="0">
                <c:v>2880.5230000000001</c:v>
              </c:pt>
              <c:pt idx="1">
                <c:v>2721.6709999999998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148-47CD-9DC0-E61140590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157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335280</xdr:colOff>
      <xdr:row>157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335280</xdr:colOff>
      <xdr:row>157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12</xdr:col>
      <xdr:colOff>0</xdr:colOff>
      <xdr:row>2</xdr:row>
      <xdr:rowOff>0</xdr:rowOff>
    </xdr:from>
    <xdr:to>
      <xdr:col>13</xdr:col>
      <xdr:colOff>533400</xdr:colOff>
      <xdr:row>157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20</xdr:col>
      <xdr:colOff>0</xdr:colOff>
      <xdr:row>2</xdr:row>
      <xdr:rowOff>0</xdr:rowOff>
    </xdr:from>
    <xdr:to>
      <xdr:col>21</xdr:col>
      <xdr:colOff>861060</xdr:colOff>
      <xdr:row>157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83820</xdr:rowOff>
        </xdr:from>
        <xdr:to>
          <xdr:col>2</xdr:col>
          <xdr:colOff>236220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1226820</xdr:colOff>
          <xdr:row>0</xdr:row>
          <xdr:rowOff>83820</xdr:rowOff>
        </xdr:from>
        <xdr:to>
          <xdr:col>6</xdr:col>
          <xdr:colOff>807720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2171700</xdr:colOff>
          <xdr:row>0</xdr:row>
          <xdr:rowOff>350520</xdr:rowOff>
        </xdr:from>
        <xdr:to>
          <xdr:col>4</xdr:col>
          <xdr:colOff>1181100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2171700</xdr:colOff>
          <xdr:row>0</xdr:row>
          <xdr:rowOff>83820</xdr:rowOff>
        </xdr:from>
        <xdr:to>
          <xdr:col>4</xdr:col>
          <xdr:colOff>1181100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320040</xdr:colOff>
          <xdr:row>0</xdr:row>
          <xdr:rowOff>563880</xdr:rowOff>
        </xdr:from>
        <xdr:to>
          <xdr:col>2</xdr:col>
          <xdr:colOff>1828800</xdr:colOff>
          <xdr:row>0</xdr:row>
          <xdr:rowOff>769620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</xdr:colOff>
          <xdr:row>0</xdr:row>
          <xdr:rowOff>83820</xdr:rowOff>
        </xdr:from>
        <xdr:to>
          <xdr:col>2</xdr:col>
          <xdr:colOff>1836420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76200</xdr:rowOff>
        </xdr:from>
        <xdr:to>
          <xdr:col>10</xdr:col>
          <xdr:colOff>0</xdr:colOff>
          <xdr:row>0</xdr:row>
          <xdr:rowOff>297180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335280</xdr:rowOff>
        </xdr:from>
        <xdr:to>
          <xdr:col>10</xdr:col>
          <xdr:colOff>0</xdr:colOff>
          <xdr:row>0</xdr:row>
          <xdr:rowOff>556260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0</xdr:row>
          <xdr:rowOff>68580</xdr:rowOff>
        </xdr:from>
        <xdr:to>
          <xdr:col>13</xdr:col>
          <xdr:colOff>30480</xdr:colOff>
          <xdr:row>0</xdr:row>
          <xdr:rowOff>289560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0</xdr:row>
          <xdr:rowOff>335280</xdr:rowOff>
        </xdr:from>
        <xdr:to>
          <xdr:col>13</xdr:col>
          <xdr:colOff>30480</xdr:colOff>
          <xdr:row>0</xdr:row>
          <xdr:rowOff>556260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212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1226820</xdr:colOff>
          <xdr:row>0</xdr:row>
          <xdr:rowOff>350520</xdr:rowOff>
        </xdr:from>
        <xdr:to>
          <xdr:col>6</xdr:col>
          <xdr:colOff>807720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594360</xdr:rowOff>
        </xdr:from>
        <xdr:to>
          <xdr:col>10</xdr:col>
          <xdr:colOff>0</xdr:colOff>
          <xdr:row>0</xdr:row>
          <xdr:rowOff>807720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</xdr:colOff>
          <xdr:row>0</xdr:row>
          <xdr:rowOff>594360</xdr:rowOff>
        </xdr:from>
        <xdr:to>
          <xdr:col>13</xdr:col>
          <xdr:colOff>38100</xdr:colOff>
          <xdr:row>0</xdr:row>
          <xdr:rowOff>807720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1219200</xdr:colOff>
          <xdr:row>0</xdr:row>
          <xdr:rowOff>609600</xdr:rowOff>
        </xdr:from>
        <xdr:to>
          <xdr:col>6</xdr:col>
          <xdr:colOff>800100</xdr:colOff>
          <xdr:row>1</xdr:row>
          <xdr:rowOff>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Share Meta task time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7818120" y="2743200"/>
          <a:ext cx="2844165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9357360" y="2743200"/>
          <a:ext cx="4370070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7818120" y="2743200"/>
          <a:ext cx="2844165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9357360" y="2743200"/>
          <a:ext cx="4370070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7818120" y="2743200"/>
          <a:ext cx="2844165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9357360" y="2743200"/>
          <a:ext cx="4370070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0" y="3108960"/>
          <a:ext cx="2242185" cy="36576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0" y="34747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 bwMode="auto">
        <a:xfrm>
          <a:off x="0" y="34747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 bwMode="auto">
        <a:xfrm>
          <a:off x="0" y="34747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 bwMode="auto">
        <a:xfrm>
          <a:off x="0" y="38404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 bwMode="auto">
        <a:xfrm>
          <a:off x="0" y="42062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 bwMode="auto">
        <a:xfrm>
          <a:off x="0" y="4572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 bwMode="auto">
        <a:xfrm>
          <a:off x="0" y="49377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 bwMode="auto">
        <a:xfrm>
          <a:off x="0" y="53035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 bwMode="auto">
        <a:xfrm>
          <a:off x="0" y="56692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 bwMode="auto">
        <a:xfrm>
          <a:off x="0" y="603504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 bwMode="auto">
        <a:xfrm>
          <a:off x="0" y="64008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 bwMode="auto">
        <a:xfrm>
          <a:off x="0" y="676656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 bwMode="auto">
        <a:xfrm>
          <a:off x="0" y="713232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 bwMode="auto">
        <a:xfrm>
          <a:off x="0" y="749808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103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182879</xdr:rowOff>
    </xdr:to>
    <xdr:graphicFrame macro="">
      <xdr:nvGraphicFramePr>
        <xdr:cNvPr id="100" name="Diagramm 105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</xdr:row>
          <xdr:rowOff>60960</xdr:rowOff>
        </xdr:from>
        <xdr:to>
          <xdr:col>1</xdr:col>
          <xdr:colOff>312420</xdr:colOff>
          <xdr:row>5</xdr:row>
          <xdr:rowOff>289560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6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15</xdr:row>
          <xdr:rowOff>175260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7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9</xdr:row>
          <xdr:rowOff>175260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7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20</xdr:row>
          <xdr:rowOff>0</xdr:rowOff>
        </xdr:from>
        <xdr:to>
          <xdr:col>0</xdr:col>
          <xdr:colOff>1638300</xdr:colOff>
          <xdr:row>21</xdr:row>
          <xdr:rowOff>22860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7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21</xdr:row>
          <xdr:rowOff>190500</xdr:rowOff>
        </xdr:from>
        <xdr:to>
          <xdr:col>0</xdr:col>
          <xdr:colOff>1638300</xdr:colOff>
          <xdr:row>23</xdr:row>
          <xdr:rowOff>22860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7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8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D5323EF-9894-43AD-894C-1270B7A7E2BB}" name="TimeEntries219" displayName="TimeEntries219" ref="A17:G18" totalsRowShown="0">
  <autoFilter ref="A17:G18" xr:uid="{C1B46F38-53CA-468C-880B-8AF50886C288}"/>
  <sortState xmlns:xlrd2="http://schemas.microsoft.com/office/spreadsheetml/2017/richdata2" ref="A18:E18">
    <sortCondition ref="A16:A17"/>
  </sortState>
  <tableColumns count="7">
    <tableColumn id="1" xr3:uid="{AEF33289-6A1B-4C2A-921F-11678DB18C23}" name="Time entry no."/>
    <tableColumn id="2" xr3:uid="{345F041B-6FB0-4A50-9DD6-06E33032476D}" name="Start time" dataDxfId="1715"/>
    <tableColumn id="3" xr3:uid="{0064C978-E7CD-401B-8217-0BCD34CF3CDE}" name="End time" dataDxfId="1714"/>
    <tableColumn id="4" xr3:uid="{91AEF141-E126-4FD3-9EA5-633D16B1512D}" name="Time delta in h" dataDxfId="1713">
      <calculatedColumnFormula>MAX((TimeEntries219[[#This Row],[End time]]-TimeEntries219[[#This Row],[Start time]])*24,0)</calculatedColumnFormula>
    </tableColumn>
    <tableColumn id="5" xr3:uid="{EB3A6B22-8261-4A6C-9A47-5D82C4DCA27B}" name="Now?"/>
    <tableColumn id="6" xr3:uid="{8BB4C211-F4FC-4C78-9F46-DCFDCED03893}" name="Action1"/>
    <tableColumn id="7" xr3:uid="{522C0BEB-2FFA-4F31-92E0-37EAF680252A}" name="Action2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E662D94-9495-43FA-B43A-03651A3B9D28}" name="Tabelle7367520" displayName="Tabelle7367520" ref="I17:M18" insertRow="1" totalsRowShown="0">
  <autoFilter ref="I17:M18" xr:uid="{99709765-D27E-4279-A948-4522FF7E2EAF}"/>
  <tableColumns count="5">
    <tableColumn id="1" xr3:uid="{320D0AE7-C69E-4B8B-9969-4D619DC36312}" name="Comparison entry no."/>
    <tableColumn id="2" xr3:uid="{DC4BBA7C-212D-4234-8DA1-0ED3249453CF}" name="Propability Support point" dataDxfId="1712"/>
    <tableColumn id="3" xr3:uid="{F2DE7DD9-CFAC-4C4F-8C17-0EE40D19CB31}" name="EBS self time" dataDxfId="1711"/>
    <tableColumn id="4" xr3:uid="{D2EF57B9-36E0-407E-AF5D-1229F2B0D532}" name="Total time">
      <calculatedColumnFormula>SUM(#REF!)</calculatedColumnFormula>
    </tableColumn>
    <tableColumn id="5" xr3:uid="{FBAF9902-4C74-4F8E-A1AE-D2DEF18ACA73}" name="Total time / Your estimate" dataDxfId="1710">
      <calculatedColumnFormula>Tabelle7367520[[#This Row],[EBS self time]]/Tabelle7367520[[#This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09864DA-1C66-4C3B-B8F9-0DCA10AA16D3}" name="TimeEntries621" displayName="TimeEntries621" ref="A37:G38" totalsRowShown="0">
  <autoFilter ref="A37:G38" xr:uid="{7843B51D-ECCC-4B9A-A0AA-7E4DFDC739DB}"/>
  <sortState xmlns:xlrd2="http://schemas.microsoft.com/office/spreadsheetml/2017/richdata2" ref="A38:E38">
    <sortCondition ref="A16:A17"/>
  </sortState>
  <tableColumns count="7">
    <tableColumn id="1" xr3:uid="{D25FD1FD-824C-4012-AB1E-FD0AA9A74B7D}" name="Time entry no."/>
    <tableColumn id="2" xr3:uid="{3AF1FFEB-F9CD-4D13-BDD3-CAB1F2D00506}" name="Start time" dataDxfId="1709"/>
    <tableColumn id="3" xr3:uid="{F9B0C56E-2A4E-442C-8E26-12F005547824}" name="End time" dataDxfId="1708"/>
    <tableColumn id="4" xr3:uid="{5FD01BC5-E314-4B41-BE60-F4B02F05B0E4}" name="Time delta in h" dataDxfId="1707">
      <calculatedColumnFormula>MAX((TimeEntries621[[#This Row],[End time]]-TimeEntries621[[#This Row],[Start time]])*24,0)</calculatedColumnFormula>
    </tableColumn>
    <tableColumn id="5" xr3:uid="{F362D1DC-9A52-4504-A4EA-5BD025005C9C}" name="Now?"/>
    <tableColumn id="6" xr3:uid="{5A21DA37-CA26-418B-8327-280E917685C8}" name="Action1" dataDxfId="1706"/>
    <tableColumn id="7" xr3:uid="{C12FB733-3C79-4BCD-A6E9-DDE7AAA64EED}" name="Action2" dataDxfId="1705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2061F0A-D0F6-4383-B68D-E5E089A31021}" name="Tabelle7367722" displayName="Tabelle7367722" ref="I37:M38" insertRow="1" totalsRowShown="0">
  <autoFilter ref="I37:M38" xr:uid="{B6243EAD-E42E-4563-B286-6C15E8E630FD}"/>
  <tableColumns count="5">
    <tableColumn id="1" xr3:uid="{57261BA0-8696-46CA-AA5B-C42A75B4FE7C}" name="Comparison entry no."/>
    <tableColumn id="2" xr3:uid="{FC34465C-94C0-4A79-9451-692564D5571A}" name="Propability Support point" dataDxfId="1704"/>
    <tableColumn id="3" xr3:uid="{E053167C-3DAD-47AB-86CF-CABAF89F601B}" name="EBS self time" dataDxfId="1703"/>
    <tableColumn id="4" xr3:uid="{482EDC5F-9F30-403B-88BE-0C5573B80C1D}" name="Total time">
      <calculatedColumnFormula>SUM(#REF!)</calculatedColumnFormula>
    </tableColumn>
    <tableColumn id="5" xr3:uid="{B94C23FA-DDF6-4F81-A2A7-2635F26A74A2}" name="Total time / Your estimate" dataDxfId="1702">
      <calculatedColumnFormula>Tabelle7367722[[#This Row],[EBS self time]]/Tabelle7367722[[#This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804856-CFE0-4C79-A46B-0D4B5E3CECEF}" name="TimeEntries823" displayName="TimeEntries823" ref="A57:G59" totalsRowShown="0">
  <autoFilter ref="A57:G59" xr:uid="{4CB58868-4A51-4112-AF6F-0658A8CA23D0}"/>
  <sortState xmlns:xlrd2="http://schemas.microsoft.com/office/spreadsheetml/2017/richdata2" ref="A58:E58">
    <sortCondition ref="A16:A17"/>
  </sortState>
  <tableColumns count="7">
    <tableColumn id="1" xr3:uid="{15B4E7E7-5CBB-45CD-A3D4-669FB1B5B980}" name="Time entry no."/>
    <tableColumn id="2" xr3:uid="{F243FAE5-5376-4E49-8D03-34A4E986D284}" name="Start time" dataDxfId="1701"/>
    <tableColumn id="3" xr3:uid="{5D7EAD93-8018-4774-9661-123B4072D0DF}" name="End time" dataDxfId="1700"/>
    <tableColumn id="4" xr3:uid="{3F713F3A-E2F6-40D0-9EEA-B5A722E317B9}" name="Time delta in h" dataDxfId="1699">
      <calculatedColumnFormula>MAX((TimeEntries823[[#This Row],[End time]]-TimeEntries823[[#This Row],[Start time]])*24,0)</calculatedColumnFormula>
    </tableColumn>
    <tableColumn id="5" xr3:uid="{04B416FC-EEF5-4529-8995-6187B0BEBF33}" name="Now?"/>
    <tableColumn id="6" xr3:uid="{8D22DDD3-BD5C-40F7-87B2-FC330D21CCE6}" name="Action1" dataDxfId="1698"/>
    <tableColumn id="7" xr3:uid="{9C608A80-F993-4EEA-AE53-3F59AFD495B2}" name="Action2" dataDxfId="1697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4858F36-80F4-446A-9960-77B4EA27133B}" name="Tabelle7367924" displayName="Tabelle7367924" ref="I57:M58" insertRow="1" totalsRowShown="0">
  <autoFilter ref="I57:M58" xr:uid="{F3BF7BE0-98F8-4FD4-B231-97D9B4FD0D42}"/>
  <tableColumns count="5">
    <tableColumn id="1" xr3:uid="{C1E6CB7C-6B0D-4D88-8C2F-F34DC7CB8AA7}" name="Comparison entry no."/>
    <tableColumn id="2" xr3:uid="{D987A190-4FAC-42D9-AF63-4E9039BA8FB4}" name="Propability Support point" dataDxfId="1696"/>
    <tableColumn id="3" xr3:uid="{FA47ED81-3B11-442D-B44E-3544B8461C15}" name="EBS self time" dataDxfId="1695"/>
    <tableColumn id="4" xr3:uid="{DACA3417-2FA7-4434-B78E-E03399C99E15}" name="Total time">
      <calculatedColumnFormula>SUM(#REF!)</calculatedColumnFormula>
    </tableColumn>
    <tableColumn id="5" xr3:uid="{DF601EBA-DD4B-4950-914A-B96D8A3448BA}" name="Total time / Your estimate" dataDxfId="1694">
      <calculatedColumnFormula>Tabelle7367924[[#This Row],[EBS self time]]/Tabelle7367924[[#This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2CAE315-CF84-4182-AAA4-8B78E15E2200}" name="TimeEntries1728328" displayName="TimeEntries1728328" ref="A78:G81" totalsRowShown="0">
  <autoFilter ref="A78:G81" xr:uid="{92509D54-B705-4B7A-A79B-E10409CBF4DB}"/>
  <sortState xmlns:xlrd2="http://schemas.microsoft.com/office/spreadsheetml/2017/richdata2" ref="A79:E79">
    <sortCondition ref="A16:A17"/>
  </sortState>
  <tableColumns count="7">
    <tableColumn id="1" xr3:uid="{D02B921A-C5B1-41EF-A22C-0B216672AA71}" name="Time entry no."/>
    <tableColumn id="2" xr3:uid="{13FADEFF-918F-4F44-A353-C4AD5B665B92}" name="Start time" dataDxfId="1693"/>
    <tableColumn id="3" xr3:uid="{50DF390D-ABE1-410C-AB65-5B454A98822A}" name="End time" dataDxfId="1692"/>
    <tableColumn id="4" xr3:uid="{BD4F0EFB-0F0E-42BF-BA49-701FE1421F1A}" name="Time delta in h" dataDxfId="1691">
      <calculatedColumnFormula>MAX((TimeEntries1728328[[#This Row],[End time]]-TimeEntries1728328[[#This Row],[Start time]])*24,0)</calculatedColumnFormula>
    </tableColumn>
    <tableColumn id="5" xr3:uid="{94C49975-972A-4F17-A363-29371263F2AE}" name="Now?"/>
    <tableColumn id="6" xr3:uid="{E4A4C979-68D5-49CA-9485-41ED70DA7321}" name="Action1" dataDxfId="1690"/>
    <tableColumn id="7" xr3:uid="{D072C345-B7FD-43C9-A769-57BA339B1EC6}" name="Action2" dataDxfId="1689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72E3A3B-DBE0-49D2-97EF-10E361660E3E}" name="Tabelle73671829339" displayName="Tabelle73671829339" ref="I78:M85" totalsRowShown="0">
  <autoFilter ref="I78:M85" xr:uid="{6FF2E8BA-1698-4BA3-B4AB-9AC7DD3F27BB}"/>
  <tableColumns count="5">
    <tableColumn id="1" xr3:uid="{83112C29-5709-4814-A87B-590809A2EF7B}" name="Comparison entry no."/>
    <tableColumn id="2" xr3:uid="{86CEA4E5-4968-41E0-9D59-0400FA91EF16}" name="Propability Support point" dataDxfId="1688"/>
    <tableColumn id="3" xr3:uid="{7AC5BAA2-40CD-4206-AB36-58408B056AEF}" name="EBS self time" dataDxfId="1687"/>
    <tableColumn id="4" xr3:uid="{BCBB61E5-50E6-47BB-A033-DECAA3F34EDA}" name="Total time">
      <calculatedColumnFormula>SUM(TimeEntries1728328[Time delta in h])</calculatedColumnFormula>
    </tableColumn>
    <tableColumn id="5" xr3:uid="{8E924B0E-B5EC-46F4-9F6C-F200DBCC0716}" name="Total time / Your estimate" dataDxfId="1686">
      <calculatedColumnFormula>Tabelle73671829339[[#This Row],[EBS self time]]/Tabelle73671829339[[#This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CDB066-763D-4BAD-86F8-E5404334BDAD}" name="TimeEntries3413" displayName="TimeEntries3413" ref="A103:G104" totalsRowShown="0">
  <autoFilter ref="A103:G104" xr:uid="{DB951DAB-C001-4D11-B517-A8D6D9965876}"/>
  <sortState xmlns:xlrd2="http://schemas.microsoft.com/office/spreadsheetml/2017/richdata2" ref="A104:E104">
    <sortCondition ref="A16:A17"/>
  </sortState>
  <tableColumns count="7">
    <tableColumn id="1" xr3:uid="{C73227E0-68C4-4986-8076-1B575970A242}" name="Time entry no."/>
    <tableColumn id="2" xr3:uid="{3F4A2FB7-F6B9-47B0-B4A3-83C5BEA709CA}" name="Start time" dataDxfId="1685"/>
    <tableColumn id="3" xr3:uid="{95940F6C-24A9-413C-BA73-5E6953EB759A}" name="End time" dataDxfId="1684"/>
    <tableColumn id="4" xr3:uid="{5E545F12-73A1-4F5D-8270-4673DC6E0E67}" name="Time delta in h" dataDxfId="1683">
      <calculatedColumnFormula>MAX((TimeEntries3413[[#This Row],[End time]]-TimeEntries3413[[#This Row],[Start time]])*24,0)</calculatedColumnFormula>
    </tableColumn>
    <tableColumn id="5" xr3:uid="{69CD33B8-7F94-4AF4-A9AC-2FEE99BBD6B1}" name="Now?"/>
    <tableColumn id="6" xr3:uid="{6115C2F6-4A10-42F1-A56D-6FD6BCA3E409}" name="Action1" dataDxfId="1682"/>
    <tableColumn id="7" xr3:uid="{476A7212-AF9A-46BF-9DAC-DED02617F588}" name="Action2" dataDxfId="1681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EF2CFB-56F3-4F62-B10B-9400DECD3AC1}" name="Tabelle73673514" displayName="Tabelle73673514" ref="I103:M110" totalsRowShown="0">
  <autoFilter ref="I103:M110" xr:uid="{E3F3048B-FFBA-46D8-90AE-254EF5224B28}"/>
  <tableColumns count="5">
    <tableColumn id="1" xr3:uid="{4F29627E-C235-486A-8BE8-4E1EC9FF07B7}" name="Comparison entry no."/>
    <tableColumn id="2" xr3:uid="{CC1FF995-0803-4807-978B-8C326A7A960D}" name="Propability Support point" dataDxfId="1680"/>
    <tableColumn id="3" xr3:uid="{1FCDA96E-388F-434E-9219-366C0E724309}" name="EBS self time" dataDxfId="1679"/>
    <tableColumn id="4" xr3:uid="{E4ED0557-D7D4-4F9A-ADCE-A703C71D2722}" name="Total time">
      <calculatedColumnFormula>SUM(TimeEntries3413[Time delta in h])</calculatedColumnFormula>
    </tableColumn>
    <tableColumn id="5" xr3:uid="{4925EB2D-C55E-4DE1-BB86-4F80706172C6}" name="Total time / Your estimate" dataDxfId="1678">
      <calculatedColumnFormula>Tabelle73673514[[#This Row],[EBS self time]]/Tabelle73673514[[#This Row],[Total time]]</calculatedColumnFormula>
    </tableColumn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317E8ED-880B-4D07-A719-A426DD50913D}" name="TimeEntries3617" displayName="TimeEntries3617" ref="A128:G129" totalsRowShown="0">
  <autoFilter ref="A128:G129" xr:uid="{D5D2D109-5146-4628-ABD7-B6F6F01100C8}"/>
  <sortState xmlns:xlrd2="http://schemas.microsoft.com/office/spreadsheetml/2017/richdata2" ref="A129:E129">
    <sortCondition ref="A16:A17"/>
  </sortState>
  <tableColumns count="7">
    <tableColumn id="1" xr3:uid="{EB203F42-0275-4822-B04F-C8847874C69F}" name="Time entry no."/>
    <tableColumn id="2" xr3:uid="{9EB86A47-349C-494F-8DB4-F7829923392F}" name="Start time" dataDxfId="1677"/>
    <tableColumn id="3" xr3:uid="{C0FC421F-2819-4B4A-B3BD-5A01F79B16C9}" name="End time" dataDxfId="1676"/>
    <tableColumn id="4" xr3:uid="{71A66E57-B404-4A96-B373-799334763B2D}" name="Time delta in h" dataDxfId="1675">
      <calculatedColumnFormula>MAX((TimeEntries3617[[#This Row],[End time]]-TimeEntries3617[[#This Row],[Start time]])*24,0)</calculatedColumnFormula>
    </tableColumn>
    <tableColumn id="5" xr3:uid="{633A0693-8274-456D-9B70-02DB1FCB9057}" name="Now?"/>
    <tableColumn id="6" xr3:uid="{053EF9C0-13C8-44DC-88E3-EDE410624A7A}" name="Action1"/>
    <tableColumn id="7" xr3:uid="{5B78268C-B4A3-4EA6-AFE5-E2D859AD984A}" name="Action2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314F07E-95F5-4ED2-ABD0-B237F279BCA6}" name="Tabelle73673718" displayName="Tabelle73673718" ref="I128:M135" totalsRowShown="0">
  <autoFilter ref="I128:M135" xr:uid="{EBA3DAB8-BD1C-4F2C-9212-C6A43342BF87}"/>
  <tableColumns count="5">
    <tableColumn id="1" xr3:uid="{E08F688B-FC13-45A1-9F06-8EAFE6820F0D}" name="Comparison entry no."/>
    <tableColumn id="2" xr3:uid="{66518A34-34E3-42C2-89E3-C4DE741C6063}" name="Propability Support point" dataDxfId="1674"/>
    <tableColumn id="3" xr3:uid="{EB678981-1665-405F-AE25-89AC8F2DD0AB}" name="EBS self time" dataDxfId="1673"/>
    <tableColumn id="4" xr3:uid="{1C6A20AD-42B6-4497-B4E1-8DA067472F56}" name="Total time">
      <calculatedColumnFormula>SUM(TimeEntries3617[Time delta in h])</calculatedColumnFormula>
    </tableColumn>
    <tableColumn id="5" xr3:uid="{7E659000-E10F-4F70-AE13-B747C1CEE62C}" name="Total time / Your estimate" dataDxfId="1672">
      <calculatedColumnFormula>Tabelle73673718[[#This Row],[EBS self time]]/Tabelle73673718[[#This Row],[Total time]]</calculatedColumnFormula>
    </tableColumn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3846241-30C2-4806-BDEF-67C85D60CD34}" name="TimeEntries1325644625" displayName="TimeEntries1325644625" ref="A153:G155" totalsRowShown="0">
  <autoFilter ref="A153:G155" xr:uid="{220BEF4D-F1AF-47F7-8973-0D219E34C4A9}"/>
  <sortState xmlns:xlrd2="http://schemas.microsoft.com/office/spreadsheetml/2017/richdata2" ref="A154:E154">
    <sortCondition ref="A16:A17"/>
  </sortState>
  <tableColumns count="7">
    <tableColumn id="1" xr3:uid="{0E1C2DA8-2F8D-4E08-BCA3-4A746678279F}" name="Time entry no."/>
    <tableColumn id="2" xr3:uid="{EC695E75-5BF9-4531-A89B-F421A5C66BFF}" name="Start time" dataDxfId="1671"/>
    <tableColumn id="3" xr3:uid="{ABC6B62E-CC8C-47C1-9719-B648C9DF366F}" name="End time" dataDxfId="1670"/>
    <tableColumn id="4" xr3:uid="{4B5818D7-D6A3-4E18-A19C-56F69E7B47E0}" name="Time delta in h" dataDxfId="1669">
      <calculatedColumnFormula>MAX((TimeEntries1325644625[[#This Row],[End time]]-TimeEntries1325644625[[#This Row],[Start time]])*24,0)</calculatedColumnFormula>
    </tableColumn>
    <tableColumn id="5" xr3:uid="{1D04BA9C-FC14-42BB-81CB-ADA60D51B749}" name="Now?"/>
    <tableColumn id="6" xr3:uid="{98E8ED36-8717-4FE9-9842-6828F405B707}" name="Action1" dataDxfId="1668"/>
    <tableColumn id="7" xr3:uid="{3E5CFBA7-44B2-4763-BD1C-74FBC59E3435}" name="Action2" dataDxfId="1667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8733DF1-B24B-4FBE-8910-2878BE9A425B}" name="Tabelle73671427745727" displayName="Tabelle73671427745727" ref="I153:M160" totalsRowShown="0">
  <autoFilter ref="I153:M160" xr:uid="{B1017B1E-2592-441F-8FFA-BF7E2C4FA17A}"/>
  <tableColumns count="5">
    <tableColumn id="1" xr3:uid="{5250669F-2E68-4F9D-A756-8C6CD85DEA1B}" name="Comparison entry no."/>
    <tableColumn id="2" xr3:uid="{FD8BA7D9-0649-4852-9529-245CFB67DB4C}" name="Propability Support point" dataDxfId="1666"/>
    <tableColumn id="3" xr3:uid="{8C78B6D0-2EBB-4324-81B4-B1A200A8FFED}" name="EBS self time" dataDxfId="1665"/>
    <tableColumn id="4" xr3:uid="{A46608DD-7EB0-48EE-AF51-8F3591A0477C}" name="Total time">
      <calculatedColumnFormula>SUM(#REF!)</calculatedColumnFormula>
    </tableColumn>
    <tableColumn id="5" xr3:uid="{51E49952-DB0C-4DF0-8942-8E7AD7041A9D}" name="Total time / Your estimate" dataDxfId="1664">
      <calculatedColumnFormula>Tabelle73671427745727[[#This Row],[EBS self time]]/Tabelle73671427745727[[#This Row],[Total time]]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3C09B156-A6A1-430B-A4D9-96724DF6B640}" name="TimeEntries636" displayName="TimeEntries636" ref="A178:G179" totalsRowShown="0">
  <autoFilter ref="A178:G179" xr:uid="{96127FE1-A313-4AF1-A38E-6D3B35F5AE7D}"/>
  <sortState xmlns:xlrd2="http://schemas.microsoft.com/office/spreadsheetml/2017/richdata2" ref="A179:E179">
    <sortCondition ref="A16:A17"/>
  </sortState>
  <tableColumns count="7">
    <tableColumn id="1" xr3:uid="{B9BE6B1B-B9C3-4514-93E6-0910BE86B4A5}" name="Time entry no."/>
    <tableColumn id="2" xr3:uid="{9A70E346-6588-439E-B670-5C783AE8F886}" name="Start time" dataDxfId="1663"/>
    <tableColumn id="3" xr3:uid="{6365D8C0-4ABB-4194-A322-78BCC26CADB5}" name="End time" dataDxfId="1662"/>
    <tableColumn id="4" xr3:uid="{CB744BF8-EE49-4BF8-888B-8B25312BC23B}" name="Time delta in h" dataDxfId="1661">
      <calculatedColumnFormula>MAX((TimeEntries636[[#This Row],[End time]]-TimeEntries636[[#This Row],[Start time]])*24,0)</calculatedColumnFormula>
    </tableColumn>
    <tableColumn id="5" xr3:uid="{0FB391EC-2C3F-4FAA-86C4-CDA68ABA0783}" name="Now?"/>
    <tableColumn id="6" xr3:uid="{5989B31F-734D-4BF5-8E54-B8BCEAD03823}" name="Action1" dataDxfId="1660" dataCellStyle="Hyperlink"/>
    <tableColumn id="7" xr3:uid="{FABC79D6-FAA0-4C59-AA1D-FE8A9C8B4E63}" name="Action2" dataDxfId="1659" dataCellStyle="Hyperlink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1515FE0-C046-4A08-A37B-774795102EF5}" name="Tabelle7367737" displayName="Tabelle7367737" ref="I178:M185" totalsRowShown="0">
  <autoFilter ref="I178:M185" xr:uid="{382E9B82-DEEE-4E45-A7E8-04DC95F33AA5}"/>
  <tableColumns count="5">
    <tableColumn id="1" xr3:uid="{A4EAD21A-7F76-4665-88BB-6ABE757680C2}" name="Comparison entry no."/>
    <tableColumn id="2" xr3:uid="{AAD84593-AEDE-4511-8A25-5C2198CB582C}" name="Propability Support point" dataDxfId="1658"/>
    <tableColumn id="3" xr3:uid="{4E512402-3D2D-4ACF-99C1-D89AEE2F95BE}" name="EBS self time" dataDxfId="1657"/>
    <tableColumn id="4" xr3:uid="{5BE12470-B98B-48A5-A6E3-6323CA0B95B4}" name="Total time">
      <calculatedColumnFormula>SUM(TimeEntries636[Time delta in h])</calculatedColumnFormula>
    </tableColumn>
    <tableColumn id="5" xr3:uid="{66E2FD54-CB46-4C06-B100-808DE1E6169E}" name="Total time / Your estimate" dataDxfId="1656">
      <calculatedColumnFormula>Tabelle7367737[[#This Row],[EBS self time]]/Tabelle7367737[[#This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E9136A2F-4EEE-4518-ACBB-1BF438C8DC36}" name="TimeEntries2838" displayName="TimeEntries2838" ref="A203:G204" totalsRowShown="0">
  <autoFilter ref="A203:G204" xr:uid="{4BB69FCC-FDAF-4D32-9D82-62229B5B4469}"/>
  <sortState xmlns:xlrd2="http://schemas.microsoft.com/office/spreadsheetml/2017/richdata2" ref="A204:E204">
    <sortCondition ref="A16:A17"/>
  </sortState>
  <tableColumns count="7">
    <tableColumn id="1" xr3:uid="{80F6C448-491F-450B-9390-082590BF076E}" name="Time entry no."/>
    <tableColumn id="2" xr3:uid="{00A1B0A7-BCD2-45E4-AEAF-9A733882BBA6}" name="Start time" dataDxfId="1655"/>
    <tableColumn id="3" xr3:uid="{FBA6AC86-8C48-475B-BBFC-98328C180C8E}" name="End time" dataDxfId="1654"/>
    <tableColumn id="4" xr3:uid="{32EC1D85-F809-4550-AB21-1E45D1BDD14F}" name="Time delta in h" dataDxfId="1653">
      <calculatedColumnFormula>MAX((TimeEntries2838[[#This Row],[End time]]-TimeEntries2838[[#This Row],[Start time]])*24,0)</calculatedColumnFormula>
    </tableColumn>
    <tableColumn id="5" xr3:uid="{C753CEA4-4A85-4258-8DCA-0B29ABD54A0F}" name="Now?"/>
    <tableColumn id="6" xr3:uid="{AEE47455-D5C5-4FE7-B605-A0FE37C19DB9}" name="Action1" dataDxfId="1652" dataCellStyle="Hyperlink"/>
    <tableColumn id="7" xr3:uid="{1E46120A-87BB-4ED8-8FEB-6D41DE5AA727}" name="Action2" dataDxfId="1651" dataCellStyle="Hyperlink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DEF63CA-4F59-4E07-B435-FFA31467AE96}" name="Tabelle73672939" displayName="Tabelle73672939" ref="I203:M210" totalsRowShown="0">
  <autoFilter ref="I203:M210" xr:uid="{55C5F436-875A-4B1A-A8C4-38E220840B65}"/>
  <tableColumns count="5">
    <tableColumn id="1" xr3:uid="{11E573B7-2D87-45CE-81D8-240A35E8D0EE}" name="Comparison entry no."/>
    <tableColumn id="2" xr3:uid="{00B30C42-3144-4F0F-8272-E1D833AC2D9B}" name="Propability Support point" dataDxfId="1650"/>
    <tableColumn id="3" xr3:uid="{BD92A504-4B09-4DBC-8594-B5388209FD59}" name="EBS self time" dataDxfId="1649"/>
    <tableColumn id="4" xr3:uid="{BDCA34B5-C4AF-44C1-838C-FC93A3512964}" name="Total time">
      <calculatedColumnFormula>SUM(TimeEntries2838[Time delta in h])</calculatedColumnFormula>
    </tableColumn>
    <tableColumn id="5" xr3:uid="{9B09DC1B-83ED-4466-A198-8B7F90A392EF}" name="Total time / Your estimate" dataDxfId="1648">
      <calculatedColumnFormula>Tabelle73672939[[#This Row],[EBS self time]]/Tabelle73672939[[#This Row],[Total time]]</calculatedColumnFormula>
    </tableColumn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397D65C-B9A4-4973-A6C1-901E957FFF2B}" name="TimeEntries3040" displayName="TimeEntries3040" ref="A228:G229" totalsRowShown="0">
  <autoFilter ref="A228:G229" xr:uid="{406DBD09-40CB-47B9-85A8-17A267F25B1E}"/>
  <sortState xmlns:xlrd2="http://schemas.microsoft.com/office/spreadsheetml/2017/richdata2" ref="A229:E229">
    <sortCondition ref="A16:A17"/>
  </sortState>
  <tableColumns count="7">
    <tableColumn id="1" xr3:uid="{F4F30F2D-570A-4A7C-893F-B0C97B0A0D52}" name="Time entry no."/>
    <tableColumn id="2" xr3:uid="{717E51DF-1C80-4CE7-9FE2-586C98657477}" name="Start time" dataDxfId="1647"/>
    <tableColumn id="3" xr3:uid="{5A883709-6370-473D-928E-18CC3F5473E5}" name="End time" dataDxfId="1646"/>
    <tableColumn id="4" xr3:uid="{E842129F-7F8F-4E5A-8DDB-D91EB5B487D0}" name="Time delta in h" dataDxfId="1645">
      <calculatedColumnFormula>MAX((TimeEntries3040[[#This Row],[End time]]-TimeEntries3040[[#This Row],[Start time]])*24,0)</calculatedColumnFormula>
    </tableColumn>
    <tableColumn id="5" xr3:uid="{B89468D2-1CB7-4B18-B0FE-89608BEE1C7F}" name="Now?"/>
    <tableColumn id="6" xr3:uid="{172F32DB-C60D-42D9-A94A-6562A90F9BA9}" name="Action1" dataDxfId="1644" dataCellStyle="Hyperlink"/>
    <tableColumn id="7" xr3:uid="{535D8C01-EB96-43F5-9CE6-C70F9AA51F07}" name="Action2" dataDxfId="1643" dataCellStyle="Hyperlink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C1AC2EE-022B-4ABD-AB0B-5FECDD5F2122}" name="Tabelle73673141" displayName="Tabelle73673141" ref="I228:M235" totalsRowShown="0">
  <autoFilter ref="I228:M235" xr:uid="{C2E1BF53-C493-4961-AC9A-E897BD3C74F7}"/>
  <tableColumns count="5">
    <tableColumn id="1" xr3:uid="{6339F6CE-FBA4-4381-B029-540A84D16536}" name="Comparison entry no."/>
    <tableColumn id="2" xr3:uid="{D6E1A284-F9AB-4787-AA21-FEF22FA4F6E9}" name="Propability Support point" dataDxfId="1642"/>
    <tableColumn id="3" xr3:uid="{FC08E4C8-976C-47C6-A2D2-580FACD3563C}" name="EBS self time" dataDxfId="1641"/>
    <tableColumn id="4" xr3:uid="{D6F0C445-B495-4650-AE85-28D48715AD8B}" name="Total time">
      <calculatedColumnFormula>SUM(TimeEntries3040[Time delta in h])</calculatedColumnFormula>
    </tableColumn>
    <tableColumn id="5" xr3:uid="{A4C73DE4-D776-4565-BB8D-F54778C1C40E}" name="Total time / Your estimate" dataDxfId="1640">
      <calculatedColumnFormula>Tabelle73673141[[#This Row],[EBS self time]]/Tabelle73673141[[#This Row],[Total time]]</calculatedColumnFormula>
    </tableColumn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D953852A-8A7A-4145-B679-2BFF94BD96C1}" name="TimeEntries3242" displayName="TimeEntries3242" ref="A253:G254" totalsRowShown="0">
  <autoFilter ref="A253:G254" xr:uid="{A64D91BA-AA3D-4C3A-9B06-4742C5FFD58F}"/>
  <sortState xmlns:xlrd2="http://schemas.microsoft.com/office/spreadsheetml/2017/richdata2" ref="A254:E254">
    <sortCondition ref="A16:A17"/>
  </sortState>
  <tableColumns count="7">
    <tableColumn id="1" xr3:uid="{943CA3BC-53AF-40B8-A249-9C767D70732B}" name="Time entry no."/>
    <tableColumn id="2" xr3:uid="{15378265-08CC-4A36-9445-683EFC27A8BE}" name="Start time" dataDxfId="1639"/>
    <tableColumn id="3" xr3:uid="{68C41A94-7237-440D-A773-BE9529508728}" name="End time" dataDxfId="1638"/>
    <tableColumn id="4" xr3:uid="{62F91DE7-AF61-4F6D-837D-0B034853C2FF}" name="Time delta in h" dataDxfId="1637">
      <calculatedColumnFormula>MAX((TimeEntries3242[[#This Row],[End time]]-TimeEntries3242[[#This Row],[Start time]])*24,0)</calculatedColumnFormula>
    </tableColumn>
    <tableColumn id="5" xr3:uid="{439F6FFF-F1D7-432E-B121-47C49F43B749}" name="Now?"/>
    <tableColumn id="6" xr3:uid="{587612F7-C675-44F0-AB61-298EA4563A21}" name="Action1" dataDxfId="1636" dataCellStyle="Hyperlink"/>
    <tableColumn id="7" xr3:uid="{11253A2C-019B-4842-A92E-33428F38C071}" name="Action2" dataDxfId="1635" dataCellStyle="Hyperlink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4A23C89E-1218-4FCF-ADC6-3633296C12E0}" name="Tabelle73673343" displayName="Tabelle73673343" ref="I253:M260" totalsRowShown="0">
  <autoFilter ref="I253:M260" xr:uid="{19888938-9B76-4364-BECC-55EA8146E930}"/>
  <tableColumns count="5">
    <tableColumn id="1" xr3:uid="{6FF6258A-E606-4F2D-AC97-9DD533B30334}" name="Comparison entry no."/>
    <tableColumn id="2" xr3:uid="{BB22D07F-87E2-4EFC-A537-067A7A21356F}" name="Propability Support point" dataDxfId="1634"/>
    <tableColumn id="3" xr3:uid="{F945307F-B29B-419F-95D1-0B1DEB33F193}" name="EBS self time" dataDxfId="1633"/>
    <tableColumn id="4" xr3:uid="{805BB8EF-F235-42ED-BB91-5989BC81F032}" name="Total time">
      <calculatedColumnFormula>SUM(TimeEntries3242[Time delta in h])</calculatedColumnFormula>
    </tableColumn>
    <tableColumn id="5" xr3:uid="{D8828847-EA9B-432B-AC6B-9092739BDE4D}" name="Total time / Your estimate" dataDxfId="1632">
      <calculatedColumnFormula>Tabelle73673343[[#This Row],[EBS self time]]/Tabelle73673343[[#This Row],[Total time]]</calculatedColumnFormula>
    </tableColumn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7742079A-A661-4BA4-AAE7-88D9995DCDA7}" name="TimeEntries34444859" displayName="TimeEntries34444859" ref="A278:G279" totalsRowShown="0">
  <autoFilter ref="A278:G279" xr:uid="{2A3F88E0-8731-4F8B-B5E4-D45F7BB74F38}"/>
  <sortState xmlns:xlrd2="http://schemas.microsoft.com/office/spreadsheetml/2017/richdata2" ref="A279:E279">
    <sortCondition ref="A16:A17"/>
  </sortState>
  <tableColumns count="7">
    <tableColumn id="1" xr3:uid="{BC2E0B7B-8D7E-4ABE-856B-C4A07DF522FD}" name="Time entry no."/>
    <tableColumn id="2" xr3:uid="{69A23A42-AFE4-471D-A05E-94AEF1E89485}" name="Start time" dataDxfId="1631"/>
    <tableColumn id="3" xr3:uid="{DEE4E402-CC86-4362-8EC5-5E4590A97EB9}" name="End time" dataDxfId="1630"/>
    <tableColumn id="4" xr3:uid="{06E5BAC7-25BA-4CCF-926A-949479763176}" name="Time delta in h" dataDxfId="1629">
      <calculatedColumnFormula>MAX((TimeEntries34444859[[#This Row],[End time]]-TimeEntries34444859[[#This Row],[Start time]])*24,0)</calculatedColumnFormula>
    </tableColumn>
    <tableColumn id="5" xr3:uid="{21D2A90D-0057-4B81-A687-36FC18A10A2C}" name="Now?"/>
    <tableColumn id="6" xr3:uid="{4146910D-6634-4FD6-9F8E-8C52ACEF05F0}" name="Action1" dataDxfId="1628" dataCellStyle="Hyperlink"/>
    <tableColumn id="7" xr3:uid="{95CA2C9B-7FD0-45D9-9A98-BF194B6EBDF9}" name="Action2" dataDxfId="1627" dataCellStyle="Hyperlink"/>
  </tableColumns>
  <tableStyleInfo name="TableStyleDark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43F7FE5-E3F8-40D7-A31F-E815618A1DC2}" name="Tabelle736735454960" displayName="Tabelle736735454960" ref="I278:M285" totalsRowShown="0">
  <autoFilter ref="I278:M285" xr:uid="{24F77B69-7393-4C39-9B60-85A7D34375FF}"/>
  <tableColumns count="5">
    <tableColumn id="1" xr3:uid="{9FAE6072-1533-4060-9001-4FBA6178F4C1}" name="Comparison entry no."/>
    <tableColumn id="2" xr3:uid="{B0C40DB4-05C6-4ACC-8C84-D4D34E1D8660}" name="Propability Support point" dataDxfId="1626"/>
    <tableColumn id="3" xr3:uid="{FE986C13-70BA-4C15-BE9C-B477F52180B3}" name="EBS self time" dataDxfId="1625"/>
    <tableColumn id="4" xr3:uid="{594AC2CB-DE82-4CBB-A75E-FCC8474B9D6B}" name="Total time">
      <calculatedColumnFormula>SUM(TimeEntries34444859[Time delta in h])</calculatedColumnFormula>
    </tableColumn>
    <tableColumn id="5" xr3:uid="{E4799341-4DD5-4DBF-8373-4051E6D86B23}" name="Total time / Your estimate" dataDxfId="1624">
      <calculatedColumnFormula>Tabelle736735454960[[#This Row],[EBS self time]]/Tabelle736735454960[[#This Row],[Total time]]</calculatedColumnFormula>
    </tableColumn>
  </tableColumns>
  <tableStyleInfo name="TableStyleDark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6715BD5-94EE-4080-8175-F6EE63793FE9}" name="TimeEntries5061" displayName="TimeEntries5061" ref="A303:G304" totalsRowShown="0">
  <autoFilter ref="A303:G304" xr:uid="{12E09340-2115-4E1C-AF39-A6C132F59428}"/>
  <sortState xmlns:xlrd2="http://schemas.microsoft.com/office/spreadsheetml/2017/richdata2" ref="A304:E304">
    <sortCondition ref="A16:A17"/>
  </sortState>
  <tableColumns count="7">
    <tableColumn id="1" xr3:uid="{76DA3494-269A-45F7-BB97-66A32D414D8A}" name="Time entry no."/>
    <tableColumn id="2" xr3:uid="{D6B5A609-679D-415D-9A22-67B8E27BD731}" name="Start time" dataDxfId="1623"/>
    <tableColumn id="3" xr3:uid="{B10A7C39-F7EC-4CA1-95F7-0A99A6BA8A86}" name="End time" dataDxfId="1622"/>
    <tableColumn id="4" xr3:uid="{35CA2815-A572-45FE-9A7A-E22007F08902}" name="Time delta in h" dataDxfId="1621">
      <calculatedColumnFormula>MAX((TimeEntries5061[[#This Row],[End time]]-TimeEntries5061[[#This Row],[Start time]])*24,0)</calculatedColumnFormula>
    </tableColumn>
    <tableColumn id="5" xr3:uid="{BA3F369C-3162-4A69-9AF7-69B55F632EBB}" name="Now?"/>
    <tableColumn id="6" xr3:uid="{614B1012-3FAB-446A-A8F7-CAACB870CD28}" name="Action1" dataDxfId="1620" dataCellStyle="Hyperlink"/>
    <tableColumn id="7" xr3:uid="{D55A79DC-7CF2-469F-9A7E-D8D43F77CE36}" name="Action2" dataDxfId="1619" dataCellStyle="Hyperlink"/>
  </tableColumns>
  <tableStyleInfo name="TableStyleDark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F0C06603-539C-47DC-81AD-235A564F7E5B}" name="Tabelle73675162" displayName="Tabelle73675162" ref="I303:M304" totalsRowShown="0">
  <autoFilter ref="I303:M304" xr:uid="{7B8F2F19-6CB4-4E60-BAFB-CCA7B7057627}"/>
  <tableColumns count="5">
    <tableColumn id="1" xr3:uid="{8A8F0183-313D-47CF-9ED7-1A77CA1F02C5}" name="Comparison entry no."/>
    <tableColumn id="2" xr3:uid="{3616D55A-A79E-4B5D-AE35-96296ACA587A}" name="Propability Support point" dataDxfId="1618"/>
    <tableColumn id="3" xr3:uid="{A1675488-110B-4AC2-A653-F15E3BD44678}" name="EBS self time" dataDxfId="1617"/>
    <tableColumn id="4" xr3:uid="{497543E9-368C-479E-8FEF-03966E4983AB}" name="Total time">
      <calculatedColumnFormula>SUM(TimeEntries5061[Time delta in h])</calculatedColumnFormula>
    </tableColumn>
    <tableColumn id="5" xr3:uid="{0A59ED6E-21E5-4DE3-A073-9E97F1A6B19F}" name="Total time / Your estimate" dataDxfId="1616">
      <calculatedColumnFormula>Tabelle73675162[[#This Row],[EBS self time]]/Tabelle73675162[[#This Row],[Total time]]</calculatedColumnFormula>
    </tableColumn>
  </tableColumns>
  <tableStyleInfo name="TableStyleDark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4843F67B-69DC-495A-9DE1-2D865BDE3C41}" name="TimeEntries5263" displayName="TimeEntries5263" ref="A323:G324" totalsRowShown="0">
  <autoFilter ref="A323:G324" xr:uid="{DAB997B1-E961-41C4-9692-B3D7B68AA3FD}"/>
  <sortState xmlns:xlrd2="http://schemas.microsoft.com/office/spreadsheetml/2017/richdata2" ref="A324:E324">
    <sortCondition ref="A16:A17"/>
  </sortState>
  <tableColumns count="7">
    <tableColumn id="1" xr3:uid="{49D31A63-12E1-4B0C-B517-6D2A214BFC10}" name="Time entry no."/>
    <tableColumn id="2" xr3:uid="{9B9D0E02-0DCC-4D6E-9027-F5AA10BA3E7B}" name="Start time" dataDxfId="1615"/>
    <tableColumn id="3" xr3:uid="{84E0EBF9-6656-4C47-9F1F-B36A167719C4}" name="End time" dataDxfId="1614"/>
    <tableColumn id="4" xr3:uid="{533CA6B1-1263-470F-9A31-5ADDC6BA481C}" name="Time delta in h" dataDxfId="1613">
      <calculatedColumnFormula>MAX((TimeEntries5263[[#This Row],[End time]]-TimeEntries5263[[#This Row],[Start time]])*24,0)</calculatedColumnFormula>
    </tableColumn>
    <tableColumn id="5" xr3:uid="{89D0A55A-7A88-4C43-9C05-38DB75136DC0}" name="Now?"/>
    <tableColumn id="6" xr3:uid="{BBC7E629-BF0E-444B-82AB-9DA29C177B38}" name="Action1" dataDxfId="1612" dataCellStyle="Hyperlink"/>
    <tableColumn id="7" xr3:uid="{8CCF124C-8090-473C-BD13-CEA7A589EB1E}" name="Action2" dataDxfId="1611" dataCellStyle="Hyperlink"/>
  </tableColumns>
  <tableStyleInfo name="TableStyleDark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FA561746-D5FE-427B-8C82-948DA124AE0A}" name="Tabelle73675364" displayName="Tabelle73675364" ref="I323:M324" totalsRowShown="0">
  <autoFilter ref="I323:M324" xr:uid="{119692F8-3668-4F45-94A0-D829BF8A6188}"/>
  <tableColumns count="5">
    <tableColumn id="1" xr3:uid="{41E7911F-F3A3-4065-AEB4-AABC56C77964}" name="Comparison entry no."/>
    <tableColumn id="2" xr3:uid="{E5D2AADA-B875-4EF4-9EBF-3880AABA5AFD}" name="Propability Support point" dataDxfId="1610"/>
    <tableColumn id="3" xr3:uid="{8B68DBA5-4937-49A9-9D93-232467BDABA5}" name="EBS self time" dataDxfId="1609"/>
    <tableColumn id="4" xr3:uid="{5829AA2D-1C5F-43A4-8DCC-282DF9546475}" name="Total time">
      <calculatedColumnFormula>SUM(TimeEntries5263[Time delta in h])</calculatedColumnFormula>
    </tableColumn>
    <tableColumn id="5" xr3:uid="{815466F1-CB85-442E-BAA1-6C0318BE7C8F}" name="Total time / Your estimate" dataDxfId="1608">
      <calculatedColumnFormula>Tabelle73675364[[#This Row],[EBS self time]]/Tabelle73675364[[#This Row],[Total time]]</calculatedColumnFormula>
    </tableColumn>
  </tableColumns>
  <tableStyleInfo name="TableStyleDark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3E759941-636A-4AEB-BA45-33DC79CBE9D5}" name="TimeEntries5465" displayName="TimeEntries5465" ref="A343:G344" totalsRowShown="0">
  <autoFilter ref="A343:G344" xr:uid="{FD6B3D40-03D3-4BCC-96B7-9FA52E6B8C16}"/>
  <sortState xmlns:xlrd2="http://schemas.microsoft.com/office/spreadsheetml/2017/richdata2" ref="A344:E344">
    <sortCondition ref="A16:A17"/>
  </sortState>
  <tableColumns count="7">
    <tableColumn id="1" xr3:uid="{691E01FD-F3FA-4D56-8F71-47840D24BABE}" name="Time entry no."/>
    <tableColumn id="2" xr3:uid="{CED2608A-2752-4E6F-9018-14F3E3A88A31}" name="Start time" dataDxfId="1607"/>
    <tableColumn id="3" xr3:uid="{E4A3539C-9A97-4E80-A268-509B3462ED1D}" name="End time" dataDxfId="1606"/>
    <tableColumn id="4" xr3:uid="{A0E2D2EA-DF41-4B4E-9AB7-AF10D0618D4A}" name="Time delta in h" dataDxfId="1605">
      <calculatedColumnFormula>MAX((TimeEntries5465[[#This Row],[End time]]-TimeEntries5465[[#This Row],[Start time]])*24,0)</calculatedColumnFormula>
    </tableColumn>
    <tableColumn id="5" xr3:uid="{28F1BDD1-F578-451A-9BD4-15361EB74853}" name="Now?"/>
    <tableColumn id="6" xr3:uid="{544214F7-3E6B-4AF1-B41B-970519E5C0AD}" name="Action1" dataDxfId="1604" dataCellStyle="Hyperlink"/>
    <tableColumn id="7" xr3:uid="{FA52C1E7-AC63-4574-8706-5593CD7A1195}" name="Action2" dataDxfId="1603" dataCellStyle="Hyperlink"/>
  </tableColumns>
  <tableStyleInfo name="TableStyleDark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37A70E6B-AD0F-4B6D-9607-FD365366BD78}" name="Tabelle73675666" displayName="Tabelle73675666" ref="I343:M350" totalsRowShown="0">
  <autoFilter ref="I343:M350" xr:uid="{118AF689-432C-4FE1-B827-CC13C392C2A6}"/>
  <tableColumns count="5">
    <tableColumn id="1" xr3:uid="{EE1CD650-3BDE-41E6-AEF7-F75769434A3D}" name="Comparison entry no."/>
    <tableColumn id="2" xr3:uid="{518975F4-ACED-4901-A2BC-F3960EF81946}" name="Propability Support point" dataDxfId="1602"/>
    <tableColumn id="3" xr3:uid="{2EB6CBA4-01DA-4A1E-8D10-7156FFBD429F}" name="EBS self time" dataDxfId="1601"/>
    <tableColumn id="4" xr3:uid="{BA460853-7C51-48BB-A882-C5CAF332F158}" name="Total time">
      <calculatedColumnFormula>SUM(TimeEntries5465[Time delta in h])</calculatedColumnFormula>
    </tableColumn>
    <tableColumn id="5" xr3:uid="{8D185FBD-474D-40E5-B8CF-92EB78CBED60}" name="Total time / Your estimate" dataDxfId="1600">
      <calculatedColumnFormula>Tabelle73675666[[#This Row],[EBS self time]]/Tabelle73675666[[#This Row],[Total time]]</calculatedColumnFormula>
    </tableColumn>
  </tableColumns>
  <tableStyleInfo name="TableStyleDark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7596B9F-CCAF-4AF5-AC34-04E398CF89A5}" name="TimeEntries57687282" displayName="TimeEntries57687282" ref="A368:G369" totalsRowShown="0">
  <autoFilter ref="A368:G369" xr:uid="{51477261-44F1-47C3-B8EB-D24FB870D1D6}"/>
  <sortState xmlns:xlrd2="http://schemas.microsoft.com/office/spreadsheetml/2017/richdata2" ref="A369:E369">
    <sortCondition ref="A16:A17"/>
  </sortState>
  <tableColumns count="7">
    <tableColumn id="1" xr3:uid="{93EC8D55-F0A7-4A5E-8407-E1EA3F5942BB}" name="Time entry no."/>
    <tableColumn id="2" xr3:uid="{5C9C254B-E3BE-4F6E-A3B4-5BA4FEB2254A}" name="Start time" dataDxfId="1599"/>
    <tableColumn id="3" xr3:uid="{E42F4797-8397-4574-B51E-6BC1FC0E2EE5}" name="End time" dataDxfId="1598"/>
    <tableColumn id="4" xr3:uid="{1E40B40D-B408-4C38-9BFD-6399FAD766B1}" name="Time delta in h" dataDxfId="1597">
      <calculatedColumnFormula>MAX((TimeEntries57687282[[#This Row],[End time]]-TimeEntries57687282[[#This Row],[Start time]])*24,0)</calculatedColumnFormula>
    </tableColumn>
    <tableColumn id="5" xr3:uid="{25C1DFEB-F564-4339-B349-317F69752477}" name="Now?"/>
    <tableColumn id="6" xr3:uid="{B7657ED6-DDBD-43BE-913E-CA8543D60DB2}" name="Action1" dataDxfId="1596" dataCellStyle="Hyperlink"/>
    <tableColumn id="7" xr3:uid="{1A63ED85-EA3E-4845-B536-B831483D496C}" name="Action2" dataDxfId="1595" dataCellStyle="Hyperlink"/>
  </tableColumns>
  <tableStyleInfo name="TableStyleDark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BDC7065-B564-400F-9210-D7F9730271AF}" name="Tabelle736758697383" displayName="Tabelle736758697383" ref="I368:M369" totalsRowShown="0">
  <autoFilter ref="I368:M369" xr:uid="{7D84FBC8-05B8-4497-BE39-1B9735553B03}"/>
  <tableColumns count="5">
    <tableColumn id="1" xr3:uid="{944ADA0F-28A9-4608-9D0C-63F8FAFB74CF}" name="Comparison entry no."/>
    <tableColumn id="2" xr3:uid="{7882A937-914C-4D91-BB0E-94086EEE9C96}" name="Propability Support point" dataDxfId="1594"/>
    <tableColumn id="3" xr3:uid="{2FF8E501-5E37-4425-922E-5A649D7EEF23}" name="EBS self time" dataDxfId="1593"/>
    <tableColumn id="4" xr3:uid="{214DE57F-0434-4F73-B0B1-E315A26A96CF}" name="Total time">
      <calculatedColumnFormula>SUM(TimeEntries57687282[Time delta in h])</calculatedColumnFormula>
    </tableColumn>
    <tableColumn id="5" xr3:uid="{F5747201-129D-40B2-91D5-2661C9EF97B0}" name="Total time / Your estimate" dataDxfId="1592">
      <calculatedColumnFormula>Tabelle736758697383[[#This Row],[EBS self time]]/Tabelle736758697383[[#This Row],[Total time]]</calculatedColumnFormula>
    </tableColumn>
  </tableColumns>
  <tableStyleInfo name="TableStyleDark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1936E720-56A6-430F-867B-A4765AB887C7}" name="TimeEntries7484" displayName="TimeEntries7484" ref="A388:G389" totalsRowShown="0">
  <autoFilter ref="A388:G389" xr:uid="{E0DC3561-838B-4C20-B66D-50CDA1E60243}"/>
  <sortState xmlns:xlrd2="http://schemas.microsoft.com/office/spreadsheetml/2017/richdata2" ref="A389:E389">
    <sortCondition ref="A16:A17"/>
  </sortState>
  <tableColumns count="7">
    <tableColumn id="1" xr3:uid="{9832B2EF-C11F-448E-9E11-CEE50928D7D4}" name="Time entry no."/>
    <tableColumn id="2" xr3:uid="{9FB32106-5CA4-4855-A861-A4F0882DC216}" name="Start time" dataDxfId="1591"/>
    <tableColumn id="3" xr3:uid="{BE1AC2E1-55A8-4030-8DC8-CF63391FC6FD}" name="End time" dataDxfId="1590"/>
    <tableColumn id="4" xr3:uid="{7BA5704B-8C46-4533-90DE-17E9831EAB01}" name="Time delta in h" dataDxfId="1589">
      <calculatedColumnFormula>MAX((TimeEntries7484[[#This Row],[End time]]-TimeEntries7484[[#This Row],[Start time]])*24,0)</calculatedColumnFormula>
    </tableColumn>
    <tableColumn id="5" xr3:uid="{1E166BD1-4AA1-48E9-833C-9D2815BA30E9}" name="Now?"/>
    <tableColumn id="6" xr3:uid="{7D77BD4B-4437-42ED-AD8F-2497D15E8A90}" name="Action1" dataDxfId="1588" dataCellStyle="Hyperlink"/>
    <tableColumn id="7" xr3:uid="{8771543F-9022-46BF-B4DA-875B499AC955}" name="Action2" dataDxfId="1587" dataCellStyle="Hyperlink"/>
  </tableColumns>
  <tableStyleInfo name="TableStyleDark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D3D2F7E4-AA34-4231-B632-EFC5DEC2BFC1}" name="Tabelle73677585" displayName="Tabelle73677585" ref="I388:M395" totalsRowShown="0">
  <autoFilter ref="I388:M395" xr:uid="{777E3446-D528-464A-9A23-1255DD658B06}"/>
  <tableColumns count="5">
    <tableColumn id="1" xr3:uid="{143EC86A-8109-4518-AF2A-C2489D7B1CF3}" name="Comparison entry no."/>
    <tableColumn id="2" xr3:uid="{CC25C068-AB3E-4003-971B-E648F74E35CE}" name="Propability Support point" dataDxfId="1586"/>
    <tableColumn id="3" xr3:uid="{7E9637D3-A4D6-4E22-B927-62AA8C57FDA7}" name="EBS self time" dataDxfId="1585"/>
    <tableColumn id="4" xr3:uid="{0D5471B5-D8BF-4D77-A4C7-6C7379A1939E}" name="Total time">
      <calculatedColumnFormula>SUM(TimeEntries7484[Time delta in h])</calculatedColumnFormula>
    </tableColumn>
    <tableColumn id="5" xr3:uid="{62524F0B-EA9B-45DA-8A45-3C78C6AE161B}" name="Total time / Your estimate" dataDxfId="1584">
      <calculatedColumnFormula>Tabelle73677585[[#This Row],[EBS self time]]/Tabelle73677585[[#This Row],[Total time]]</calculatedColumnFormula>
    </tableColumn>
  </tableColumns>
  <tableStyleInfo name="TableStyleDark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C0D079F3-43B8-4D61-B35B-D31A8DBC3160}" name="TimeEntries7686" displayName="TimeEntries7686" ref="A413:G414" totalsRowShown="0">
  <autoFilter ref="A413:G414" xr:uid="{968EB74D-4D69-4489-A10A-ADB7B0D47227}"/>
  <sortState xmlns:xlrd2="http://schemas.microsoft.com/office/spreadsheetml/2017/richdata2" ref="A414:E414">
    <sortCondition ref="A16:A17"/>
  </sortState>
  <tableColumns count="7">
    <tableColumn id="1" xr3:uid="{E8F43DEA-DA72-42D2-9599-7FAD70FD93FC}" name="Time entry no."/>
    <tableColumn id="2" xr3:uid="{8974CA07-A251-4AEB-B4CF-29334631F83F}" name="Start time" dataDxfId="1583"/>
    <tableColumn id="3" xr3:uid="{CDD6E590-53E9-4D20-BA41-8CC9A550449E}" name="End time" dataDxfId="1582"/>
    <tableColumn id="4" xr3:uid="{C6719F39-04A1-47FC-B3CD-40F499A4490F}" name="Time delta in h" dataDxfId="1581">
      <calculatedColumnFormula>MAX((TimeEntries7686[[#This Row],[End time]]-TimeEntries7686[[#This Row],[Start time]])*24,0)</calculatedColumnFormula>
    </tableColumn>
    <tableColumn id="5" xr3:uid="{9487CA5F-CE44-49FA-A48B-E51C7E9884E5}" name="Now?"/>
    <tableColumn id="6" xr3:uid="{4DA73380-E007-49CD-956C-577B7C5387F4}" name="Action1" dataDxfId="1580" dataCellStyle="Hyperlink"/>
    <tableColumn id="7" xr3:uid="{D6D08930-74CC-48FF-9283-8A9E01790C71}" name="Action2" dataDxfId="1579" dataCellStyle="Hyperlink"/>
  </tableColumns>
  <tableStyleInfo name="TableStyleDark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D6C1833F-150B-463C-BF46-7856F3383328}" name="Tabelle73677787" displayName="Tabelle73677787" ref="I413:M420" totalsRowShown="0">
  <autoFilter ref="I413:M420" xr:uid="{AB9F50D9-AE43-4C46-96A0-DA8B4399E468}"/>
  <tableColumns count="5">
    <tableColumn id="1" xr3:uid="{F45C7E54-EE75-4A25-AFBF-F3B24A18ACC0}" name="Comparison entry no."/>
    <tableColumn id="2" xr3:uid="{02D18FC6-F561-49CD-92ED-74D735D13A3F}" name="Propability Support point" dataDxfId="1578"/>
    <tableColumn id="3" xr3:uid="{B183D6EB-A1E6-4A6B-A3A8-7FA7158FFEB6}" name="EBS self time" dataDxfId="1577"/>
    <tableColumn id="4" xr3:uid="{98F57EDD-6AAB-409E-92CA-0BC0D4036AC3}" name="Total time">
      <calculatedColumnFormula>SUM(TimeEntries7686[Time delta in h])</calculatedColumnFormula>
    </tableColumn>
    <tableColumn id="5" xr3:uid="{2DFD683A-41C7-4580-8A35-43E66F3D4F8A}" name="Total time / Your estimate" dataDxfId="1576">
      <calculatedColumnFormula>Tabelle73677787[[#This Row],[EBS self time]]/Tabelle73677787[[#This Row],[Total time]]</calculatedColumnFormula>
    </tableColumn>
  </tableColumns>
  <tableStyleInfo name="TableStyleDark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4D3BFDBA-30D2-46D5-8F0F-B72183A66FDA}" name="TimeEntries7888" displayName="TimeEntries7888" ref="A438:G439" totalsRowShown="0">
  <autoFilter ref="A438:G439" xr:uid="{5EF05414-9EC0-4A91-A3F6-92D5D593135C}"/>
  <sortState xmlns:xlrd2="http://schemas.microsoft.com/office/spreadsheetml/2017/richdata2" ref="A439:E439">
    <sortCondition ref="A16:A17"/>
  </sortState>
  <tableColumns count="7">
    <tableColumn id="1" xr3:uid="{1CCCC2D0-DA0A-436D-ACA0-690B2D4DA9DB}" name="Time entry no."/>
    <tableColumn id="2" xr3:uid="{4F6AB3F0-DA60-4E1A-A16F-CB91F1E8AE08}" name="Start time" dataDxfId="1575"/>
    <tableColumn id="3" xr3:uid="{09F36CAE-C9AF-484F-A724-A24ED8C959B6}" name="End time" dataDxfId="1574"/>
    <tableColumn id="4" xr3:uid="{68D50899-3FE2-41A2-AB49-9E80D250BE90}" name="Time delta in h" dataDxfId="1573">
      <calculatedColumnFormula>MAX((TimeEntries7888[[#This Row],[End time]]-TimeEntries7888[[#This Row],[Start time]])*24,0)</calculatedColumnFormula>
    </tableColumn>
    <tableColumn id="5" xr3:uid="{C02B89B0-9D51-4EAE-8429-4611823F69B4}" name="Now?"/>
    <tableColumn id="6" xr3:uid="{78EE0579-3789-4D15-9EEF-09C3D91EBD7B}" name="Action1" dataDxfId="1572" dataCellStyle="Hyperlink"/>
    <tableColumn id="7" xr3:uid="{AEE81BB3-BD8A-4F7C-AF3B-AAD765A06EA6}" name="Action2" dataDxfId="1571" dataCellStyle="Hyperlink"/>
  </tableColumns>
  <tableStyleInfo name="TableStyleDark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E961E2F0-6820-4CCC-9E0C-3A907E8E5313}" name="Tabelle73677989" displayName="Tabelle73677989" ref="I438:M445" totalsRowShown="0">
  <autoFilter ref="I438:M445" xr:uid="{A037D61F-55C9-414E-B6E1-D42A41D7C06E}"/>
  <tableColumns count="5">
    <tableColumn id="1" xr3:uid="{C47DFCFF-A009-47C3-85BA-C92E92800C44}" name="Comparison entry no."/>
    <tableColumn id="2" xr3:uid="{685EBFE9-896B-4763-8BED-53EECBBD75F7}" name="Propability Support point" dataDxfId="1570"/>
    <tableColumn id="3" xr3:uid="{70E295EE-F888-4BDB-80A7-EEB64999F152}" name="EBS self time" dataDxfId="1569"/>
    <tableColumn id="4" xr3:uid="{FD6C4996-6CD3-4381-91E3-037D13BE3760}" name="Total time">
      <calculatedColumnFormula>SUM(TimeEntries7888[Time delta in h])</calculatedColumnFormula>
    </tableColumn>
    <tableColumn id="5" xr3:uid="{9A90FB8C-DABC-4342-8001-DF8C1777ABBC}" name="Total time / Your estimate" dataDxfId="1568">
      <calculatedColumnFormula>Tabelle73677989[[#This Row],[EBS self time]]/Tabelle73677989[[#This Row],[Total time]]</calculatedColumnFormula>
    </tableColumn>
  </tableColumns>
  <tableStyleInfo name="TableStyleDark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DAD4010C-4735-4BC6-A3E9-98A2B46D51BB}" name="TimeEntries809094104" displayName="TimeEntries809094104" ref="A463:G464" totalsRowShown="0">
  <autoFilter ref="A463:G464" xr:uid="{57DBC75D-4274-4D4C-AC39-165DDA549CC3}"/>
  <sortState xmlns:xlrd2="http://schemas.microsoft.com/office/spreadsheetml/2017/richdata2" ref="A464:E464">
    <sortCondition ref="A16:A17"/>
  </sortState>
  <tableColumns count="7">
    <tableColumn id="1" xr3:uid="{DDDF9D79-AA4E-445F-993C-602DCB14D452}" name="Time entry no."/>
    <tableColumn id="2" xr3:uid="{14BD6CEC-A276-4816-B6F0-6E5EB71BFEFB}" name="Start time" dataDxfId="1567"/>
    <tableColumn id="3" xr3:uid="{23872107-2CE3-4797-9DB5-6D64976F1BC9}" name="End time" dataDxfId="1566"/>
    <tableColumn id="4" xr3:uid="{6DDE746A-215E-4264-8517-ECDAE62EAD43}" name="Time delta in h" dataDxfId="1565">
      <calculatedColumnFormula>MAX((TimeEntries809094104[[#This Row],[End time]]-TimeEntries809094104[[#This Row],[Start time]])*24,0)</calculatedColumnFormula>
    </tableColumn>
    <tableColumn id="5" xr3:uid="{24A5B921-9923-4E23-BF46-D9758F150806}" name="Now?"/>
    <tableColumn id="6" xr3:uid="{8EC26D9C-10CB-4A41-9D4D-8292712C4DB8}" name="Action1" dataDxfId="1564" dataCellStyle="Hyperlink"/>
    <tableColumn id="7" xr3:uid="{DF06CBCA-B590-4406-96B8-060FAA7AD6C8}" name="Action2" dataDxfId="1563" dataCellStyle="Hyperlink"/>
  </tableColumns>
  <tableStyleInfo name="TableStyleDark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91595C93-5CB1-4C6A-A123-BC85D22886FF}" name="Tabelle7367819195105" displayName="Tabelle7367819195105" ref="I463:M464" totalsRowShown="0">
  <autoFilter ref="I463:M464" xr:uid="{D93D7028-EB5E-46B6-9C96-BA9DC6708864}"/>
  <tableColumns count="5">
    <tableColumn id="1" xr3:uid="{5F336891-9A1B-4BC0-BED9-DC67038A2273}" name="Comparison entry no."/>
    <tableColumn id="2" xr3:uid="{622FEEFC-4046-4D64-BFFF-059C1DACB09B}" name="Propability Support point" dataDxfId="1562"/>
    <tableColumn id="3" xr3:uid="{4E0996DE-FEB3-4486-8BA0-ED2E5391C4D4}" name="EBS self time" dataDxfId="1561"/>
    <tableColumn id="4" xr3:uid="{467AF552-C833-4A40-AF86-99CE35262DD8}" name="Total time">
      <calculatedColumnFormula>SUM(TimeEntries809094104[Time delta in h])</calculatedColumnFormula>
    </tableColumn>
    <tableColumn id="5" xr3:uid="{EDA5161A-F85A-42C9-9964-003223FD0B92}" name="Total time / Your estimate" dataDxfId="1560">
      <calculatedColumnFormula>Tabelle7367819195105[[#This Row],[EBS self time]]/Tabelle7367819195105[[#This Row],[Total time]]</calculatedColumnFormula>
    </tableColumn>
  </tableColumns>
  <tableStyleInfo name="TableStyleDark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A9E5D971-689D-4463-89CC-C5CDA16E4B08}" name="TimeEntries96106" displayName="TimeEntries96106" ref="A483:G484" totalsRowShown="0">
  <autoFilter ref="A483:G484" xr:uid="{BE509366-A427-40AF-AF7A-178BE82A77E2}"/>
  <sortState xmlns:xlrd2="http://schemas.microsoft.com/office/spreadsheetml/2017/richdata2" ref="A484:E484">
    <sortCondition ref="A16:A17"/>
  </sortState>
  <tableColumns count="7">
    <tableColumn id="1" xr3:uid="{242FF621-63DB-470D-AFF5-60E318197584}" name="Time entry no."/>
    <tableColumn id="2" xr3:uid="{FD8EB544-0278-4B52-A21E-C614B9A4D449}" name="Start time" dataDxfId="1559"/>
    <tableColumn id="3" xr3:uid="{A70447AF-C890-46FE-899F-857AE31F4B0F}" name="End time" dataDxfId="1558"/>
    <tableColumn id="4" xr3:uid="{47D32654-9AF4-458D-BBE7-58EA52339831}" name="Time delta in h" dataDxfId="1557">
      <calculatedColumnFormula>MAX((TimeEntries96106[[#This Row],[End time]]-TimeEntries96106[[#This Row],[Start time]])*24,0)</calculatedColumnFormula>
    </tableColumn>
    <tableColumn id="5" xr3:uid="{E3A55CC5-6FA7-43B5-AD98-EC64C57024DB}" name="Now?"/>
    <tableColumn id="6" xr3:uid="{E31D94AD-2256-4BF0-A498-204E259C66B6}" name="Action1" dataDxfId="1556" dataCellStyle="Hyperlink"/>
    <tableColumn id="7" xr3:uid="{2E1A59ED-CC81-4E15-8744-208FF2ED07CA}" name="Action2" dataDxfId="1555" dataCellStyle="Hyperlink"/>
  </tableColumns>
  <tableStyleInfo name="TableStyleDark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460B4A57-D0D2-4B91-A9FE-FE914ADCF966}" name="Tabelle736797107" displayName="Tabelle736797107" ref="I483:M490" totalsRowShown="0">
  <autoFilter ref="I483:M490" xr:uid="{DADAB636-EA40-40AE-8706-8160FACCFF13}"/>
  <tableColumns count="5">
    <tableColumn id="1" xr3:uid="{C66B7426-4329-4A3B-AE67-B6D03CE7D816}" name="Comparison entry no."/>
    <tableColumn id="2" xr3:uid="{7FAAD94F-736F-4FD6-9D9F-49C3EF6F9366}" name="Propability Support point" dataDxfId="1554"/>
    <tableColumn id="3" xr3:uid="{B170BBAC-7349-4D29-8580-5D0561991679}" name="EBS self time" dataDxfId="1553"/>
    <tableColumn id="4" xr3:uid="{AF667386-5359-4F7B-832F-E1D70047BED8}" name="Total time">
      <calculatedColumnFormula>SUM(TimeEntries96106[Time delta in h])</calculatedColumnFormula>
    </tableColumn>
    <tableColumn id="5" xr3:uid="{870F01D5-B255-469D-83BE-14479DC4169F}" name="Total time / Your estimate" dataDxfId="1552">
      <calculatedColumnFormula>Tabelle736797107[[#This Row],[EBS self time]]/Tabelle736797107[[#This Row],[Total time]]</calculatedColumnFormula>
    </tableColumn>
  </tableColumns>
  <tableStyleInfo name="TableStyleDark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E50ABC8E-AF42-42FB-A7D9-158C1BA1EF6F}" name="TimeEntries98108" displayName="TimeEntries98108" ref="A508:G509" totalsRowShown="0">
  <autoFilter ref="A508:G509" xr:uid="{DB04DC17-F4CA-4FC8-A85F-FDD0A0D1CDEE}"/>
  <sortState xmlns:xlrd2="http://schemas.microsoft.com/office/spreadsheetml/2017/richdata2" ref="A509:E509">
    <sortCondition ref="A16:A17"/>
  </sortState>
  <tableColumns count="7">
    <tableColumn id="1" xr3:uid="{58A09931-7636-49A2-9D1D-D152F46F84D7}" name="Time entry no."/>
    <tableColumn id="2" xr3:uid="{1252D7CC-D0A7-452A-B6B4-3A7AD548CB60}" name="Start time" dataDxfId="1551"/>
    <tableColumn id="3" xr3:uid="{F01B7A7E-5C3B-47CA-88F9-2A2994864E64}" name="End time" dataDxfId="1550"/>
    <tableColumn id="4" xr3:uid="{22DF0484-BBC2-45B2-8DB8-0EB07269C17B}" name="Time delta in h" dataDxfId="1549">
      <calculatedColumnFormula>MAX((TimeEntries98108[[#This Row],[End time]]-TimeEntries98108[[#This Row],[Start time]])*24,0)</calculatedColumnFormula>
    </tableColumn>
    <tableColumn id="5" xr3:uid="{36B9A7CE-E58B-49BE-857F-30E60948A015}" name="Now?"/>
    <tableColumn id="6" xr3:uid="{28A686E1-2F67-4026-A3B7-22A5BC8C0D5D}" name="Action1" dataDxfId="1548" dataCellStyle="Hyperlink"/>
    <tableColumn id="7" xr3:uid="{18ECE607-31A9-4E47-BAF5-4A2F1564EDCD}" name="Action2" dataDxfId="1547" dataCellStyle="Hyperlink"/>
  </tableColumns>
  <tableStyleInfo name="TableStyleDark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B6C50831-5A4F-41C9-8FC8-3CEB2084F0F8}" name="Tabelle736799109" displayName="Tabelle736799109" ref="I508:M515" totalsRowShown="0">
  <autoFilter ref="I508:M515" xr:uid="{5E48E2D6-F553-4D6F-8FFF-87F2C0F6085D}"/>
  <tableColumns count="5">
    <tableColumn id="1" xr3:uid="{6175086A-28B8-4E1D-B405-AD7EEA31E505}" name="Comparison entry no."/>
    <tableColumn id="2" xr3:uid="{CB80AE61-DFFD-43D0-B21D-575C141F4C51}" name="Propability Support point" dataDxfId="1546"/>
    <tableColumn id="3" xr3:uid="{63B8B8FA-3221-4D99-8843-35F08EAB481E}" name="EBS self time" dataDxfId="1545"/>
    <tableColumn id="4" xr3:uid="{164EEFD6-A320-4866-A53D-A1A4468107A9}" name="Total time">
      <calculatedColumnFormula>SUM(TimeEntries98108[Time delta in h])</calculatedColumnFormula>
    </tableColumn>
    <tableColumn id="5" xr3:uid="{E2D77DFB-647C-4B16-A049-937F0BBAFD6A}" name="Total time / Your estimate" dataDxfId="1544">
      <calculatedColumnFormula>Tabelle736799109[[#This Row],[EBS self time]]/Tabelle736799109[[#This Row],[Total time]]</calculatedColumnFormula>
    </tableColumn>
  </tableColumns>
  <tableStyleInfo name="TableStyleDark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8382972-6ECF-4628-9443-A0DE64E04D76}" name="TimeEntries100110" displayName="TimeEntries100110" ref="A533:G534" totalsRowShown="0">
  <autoFilter ref="A533:G534" xr:uid="{807EF260-3389-492B-B429-E4164E23F20F}"/>
  <sortState xmlns:xlrd2="http://schemas.microsoft.com/office/spreadsheetml/2017/richdata2" ref="A534:E534">
    <sortCondition ref="A16:A17"/>
  </sortState>
  <tableColumns count="7">
    <tableColumn id="1" xr3:uid="{970F538F-4219-4BB0-8452-74D6F8CDDF25}" name="Time entry no."/>
    <tableColumn id="2" xr3:uid="{D8F23F11-0A3C-4167-80C7-4CA23F4C2803}" name="Start time" dataDxfId="1543"/>
    <tableColumn id="3" xr3:uid="{905AA25A-7041-4499-ACB9-8D88E93AF294}" name="End time" dataDxfId="1542"/>
    <tableColumn id="4" xr3:uid="{B1E08F16-2EFD-4486-A092-670D49372F82}" name="Time delta in h" dataDxfId="1541">
      <calculatedColumnFormula>MAX((TimeEntries100110[[#This Row],[End time]]-TimeEntries100110[[#This Row],[Start time]])*24,0)</calculatedColumnFormula>
    </tableColumn>
    <tableColumn id="5" xr3:uid="{22AC8E7F-7EB1-42E7-A483-F6EABC4498ED}" name="Now?"/>
    <tableColumn id="6" xr3:uid="{7670CD8E-5EF6-4B34-B362-30A7A6662A20}" name="Action1" dataDxfId="1540" dataCellStyle="Hyperlink"/>
    <tableColumn id="7" xr3:uid="{535F189D-1E9E-4EE5-B447-F228A7A37BED}" name="Action2" dataDxfId="1539" dataCellStyle="Hyperlink"/>
  </tableColumns>
  <tableStyleInfo name="TableStyleDark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DD7ACEE6-78C2-4267-84E0-CA34020F7F7C}" name="Tabelle7367101111" displayName="Tabelle7367101111" ref="I533:M540" totalsRowShown="0">
  <autoFilter ref="I533:M540" xr:uid="{784176AF-0249-444A-8F01-75EA36A3D723}"/>
  <tableColumns count="5">
    <tableColumn id="1" xr3:uid="{AF78466B-B0BC-4F55-9A9C-8C7272C7A95A}" name="Comparison entry no."/>
    <tableColumn id="2" xr3:uid="{8A0D8952-5DA6-4C1B-B5DE-B34486582160}" name="Propability Support point" dataDxfId="1538"/>
    <tableColumn id="3" xr3:uid="{04E0D4CB-2A46-4EF8-894C-4428F27EB5F4}" name="EBS self time" dataDxfId="1537"/>
    <tableColumn id="4" xr3:uid="{40B8CE45-C379-4777-8272-48E3A645F42C}" name="Total time">
      <calculatedColumnFormula>SUM(TimeEntries100110[Time delta in h])</calculatedColumnFormula>
    </tableColumn>
    <tableColumn id="5" xr3:uid="{F359C7E8-B744-41DF-AE2B-FCFCE3F22650}" name="Total time / Your estimate" dataDxfId="1536">
      <calculatedColumnFormula>Tabelle7367101111[[#This Row],[EBS self time]]/Tabelle7367101111[[#This Row],[Total time]]</calculatedColumnFormula>
    </tableColumn>
  </tableColumns>
  <tableStyleInfo name="TableStyleDark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9A390018-4198-473E-9719-68919E7480EE}" name="TimeEntries102112116126" displayName="TimeEntries102112116126" ref="A558:G559" totalsRowShown="0">
  <autoFilter ref="A558:G559" xr:uid="{79A5B088-BC91-4799-BBB1-5EF2204929C1}"/>
  <sortState xmlns:xlrd2="http://schemas.microsoft.com/office/spreadsheetml/2017/richdata2" ref="A559:E559">
    <sortCondition ref="A16:A17"/>
  </sortState>
  <tableColumns count="7">
    <tableColumn id="1" xr3:uid="{ABF77EDC-BE46-4A1F-8AE0-34B42521F1A8}" name="Time entry no."/>
    <tableColumn id="2" xr3:uid="{B65F5147-AA38-4B8D-A42D-CB52A7E4D70B}" name="Start time" dataDxfId="1535"/>
    <tableColumn id="3" xr3:uid="{E7F1114C-C608-4300-8D7A-67C1CAAF8516}" name="End time" dataDxfId="1534"/>
    <tableColumn id="4" xr3:uid="{8908597D-075D-42FE-BA99-78F6CE472EA0}" name="Time delta in h" dataDxfId="1533">
      <calculatedColumnFormula>MAX((TimeEntries102112116126[[#This Row],[End time]]-TimeEntries102112116126[[#This Row],[Start time]])*24,0)</calculatedColumnFormula>
    </tableColumn>
    <tableColumn id="5" xr3:uid="{E0402A1A-0D40-4563-B05F-DF410BECA2CD}" name="Now?"/>
    <tableColumn id="6" xr3:uid="{A1B64673-BBB0-48E8-A265-BF4E8169E871}" name="Action1" dataDxfId="1532" dataCellStyle="Hyperlink"/>
    <tableColumn id="7" xr3:uid="{89D3C5BF-3FE7-47D1-B1F3-8AE1B01045F7}" name="Action2" dataDxfId="1531" dataCellStyle="Hyperlink"/>
  </tableColumns>
  <tableStyleInfo name="TableStyleDark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2E9E94F-B7BB-4561-9AF2-F61FD653609A}" name="Tabelle7367103113117127" displayName="Tabelle7367103113117127" ref="I558:M565" totalsRowShown="0">
  <autoFilter ref="I558:M565" xr:uid="{265CD6CE-FF74-49B9-8C1B-BC9F995A752B}"/>
  <tableColumns count="5">
    <tableColumn id="1" xr3:uid="{5BA8EB1D-D941-4B71-AB80-740EAEBE1729}" name="Comparison entry no."/>
    <tableColumn id="2" xr3:uid="{35523A67-608E-48EE-8112-303DC4731F8C}" name="Propability Support point" dataDxfId="1530"/>
    <tableColumn id="3" xr3:uid="{96CD5ED9-8EEB-48EC-97CE-9C7EA5064542}" name="EBS self time" dataDxfId="1529"/>
    <tableColumn id="4" xr3:uid="{FBA50F1D-39D6-4366-AEC4-29F492471B59}" name="Total time">
      <calculatedColumnFormula>SUM(TimeEntries102112116126[Time delta in h])</calculatedColumnFormula>
    </tableColumn>
    <tableColumn id="5" xr3:uid="{6DE5F917-EDCE-4811-9D4B-B950C0307BCC}" name="Total time / Your estimate" dataDxfId="1528">
      <calculatedColumnFormula>Tabelle7367103113117127[[#This Row],[EBS self time]]/Tabelle7367103113117127[[#This Row],[Total time]]</calculatedColumnFormula>
    </tableColumn>
  </tableColumns>
  <tableStyleInfo name="TableStyleDark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A280A85B-DB6E-4BA9-9A37-1D0F679DA274}" name="TimeEntries118128" displayName="TimeEntries118128" ref="A583:G584" totalsRowShown="0">
  <autoFilter ref="A583:G584" xr:uid="{9BC088E8-209B-4D96-969C-14864C5ED12D}"/>
  <sortState xmlns:xlrd2="http://schemas.microsoft.com/office/spreadsheetml/2017/richdata2" ref="A584:E584">
    <sortCondition ref="A16:A17"/>
  </sortState>
  <tableColumns count="7">
    <tableColumn id="1" xr3:uid="{5B8F2C85-CDC2-4D35-BB3C-1A74FBDAAC52}" name="Time entry no."/>
    <tableColumn id="2" xr3:uid="{CD13B384-9EDE-430D-B756-61EDF0D5F01A}" name="Start time" dataDxfId="1527"/>
    <tableColumn id="3" xr3:uid="{9E168FE7-7F18-4232-8D4C-A82BAB0121F0}" name="End time" dataDxfId="1526"/>
    <tableColumn id="4" xr3:uid="{0FAC8711-7992-45AD-8A11-D854A9F7DA7F}" name="Time delta in h" dataDxfId="1525">
      <calculatedColumnFormula>MAX((TimeEntries118128[[#This Row],[End time]]-TimeEntries118128[[#This Row],[Start time]])*24,0)</calculatedColumnFormula>
    </tableColumn>
    <tableColumn id="5" xr3:uid="{D70BF01A-D1DE-41F1-BD41-812F88AB18EE}" name="Now?"/>
    <tableColumn id="6" xr3:uid="{685C0360-56E2-473E-B459-375250F7E9E3}" name="Action1" dataDxfId="1524" dataCellStyle="Hyperlink"/>
    <tableColumn id="7" xr3:uid="{F243A5BA-A183-42C4-840D-E573C6AD1AAE}" name="Action2" dataDxfId="1523" dataCellStyle="Hyperlink"/>
  </tableColumns>
  <tableStyleInfo name="TableStyleDark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A26FBFF7-1662-4712-A323-F83FF3F26AFE}" name="Tabelle7367119129" displayName="Tabelle7367119129" ref="I583:M584" totalsRowShown="0">
  <autoFilter ref="I583:M584" xr:uid="{EFCEC9B5-0AE3-4C7C-A045-355DA8493D5E}"/>
  <tableColumns count="5">
    <tableColumn id="1" xr3:uid="{A3A9AEC2-A3A1-4502-8729-BC708FF2C052}" name="Comparison entry no."/>
    <tableColumn id="2" xr3:uid="{1FE04D5F-5155-458B-A5D8-1AB748685A64}" name="Propability Support point" dataDxfId="1522"/>
    <tableColumn id="3" xr3:uid="{DEF5CB63-D99E-41A2-9C6A-17821013777E}" name="EBS self time" dataDxfId="1521"/>
    <tableColumn id="4" xr3:uid="{19ECAAC7-D8DF-40E0-A177-065157A2B61D}" name="Total time">
      <calculatedColumnFormula>SUM(TimeEntries118128[Time delta in h])</calculatedColumnFormula>
    </tableColumn>
    <tableColumn id="5" xr3:uid="{17097286-4990-45A2-A223-836E6443E099}" name="Total time / Your estimate" dataDxfId="1520">
      <calculatedColumnFormula>Tabelle7367119129[[#This Row],[EBS self time]]/Tabelle7367119129[[#This Row],[Total time]]</calculatedColumnFormula>
    </tableColumn>
  </tableColumns>
  <tableStyleInfo name="TableStyleDark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5DD16449-CC9A-40F5-AF2D-C2385FFE13EA}" name="TimeEntries120130" displayName="TimeEntries120130" ref="A603:G604" totalsRowShown="0">
  <autoFilter ref="A603:G604" xr:uid="{82E977AA-0466-43F4-9687-583AA1AFA3EB}"/>
  <sortState xmlns:xlrd2="http://schemas.microsoft.com/office/spreadsheetml/2017/richdata2" ref="A604:E604">
    <sortCondition ref="A16:A17"/>
  </sortState>
  <tableColumns count="7">
    <tableColumn id="1" xr3:uid="{D5DA0DB3-1013-4DF9-B080-AE833A4DFD97}" name="Time entry no."/>
    <tableColumn id="2" xr3:uid="{9833D452-E58C-44A5-BF10-736C3CC69D56}" name="Start time" dataDxfId="1519"/>
    <tableColumn id="3" xr3:uid="{F3813A6C-DFA0-4814-B194-75FE572C1D1F}" name="End time" dataDxfId="1518"/>
    <tableColumn id="4" xr3:uid="{6886EF05-5B99-44CE-802D-D06548E4CA26}" name="Time delta in h" dataDxfId="1517">
      <calculatedColumnFormula>MAX((TimeEntries120130[[#This Row],[End time]]-TimeEntries120130[[#This Row],[Start time]])*24,0)</calculatedColumnFormula>
    </tableColumn>
    <tableColumn id="5" xr3:uid="{FED8F835-580B-4175-B489-0A07B4412FD1}" name="Now?"/>
    <tableColumn id="6" xr3:uid="{DB4ADDEE-743D-43C6-A2B3-BA7933790502}" name="Action1" dataDxfId="1516" dataCellStyle="Hyperlink"/>
    <tableColumn id="7" xr3:uid="{09F2B42F-1CF6-4F51-B72A-C1E66E2E5EED}" name="Action2" dataDxfId="1515" dataCellStyle="Hyperlink"/>
  </tableColumns>
  <tableStyleInfo name="TableStyleDark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7AC6CE3D-6EEC-4331-BEF4-341B9DCBE3A5}" name="Tabelle7367121131" displayName="Tabelle7367121131" ref="I603:M610" totalsRowShown="0">
  <autoFilter ref="I603:M610" xr:uid="{64320195-DC42-4F66-8B39-EAFA65EDEE03}"/>
  <tableColumns count="5">
    <tableColumn id="1" xr3:uid="{F62C3EA2-23B8-420A-AB13-F3471E40F6FB}" name="Comparison entry no."/>
    <tableColumn id="2" xr3:uid="{99066748-07DC-465E-A088-E153190E04CA}" name="Propability Support point" dataDxfId="1514"/>
    <tableColumn id="3" xr3:uid="{8EFC53CF-99D9-46BD-8457-24B32F41E043}" name="EBS self time" dataDxfId="1513"/>
    <tableColumn id="4" xr3:uid="{CB4920BF-1D16-4CC3-A81D-EB2A86C6530A}" name="Total time">
      <calculatedColumnFormula>SUM(TimeEntries120130[Time delta in h])</calculatedColumnFormula>
    </tableColumn>
    <tableColumn id="5" xr3:uid="{1A9F354B-4A80-4C50-9FA8-C119453572B3}" name="Total time / Your estimate" dataDxfId="1512">
      <calculatedColumnFormula>Tabelle7367121131[[#This Row],[EBS self time]]/Tabelle7367121131[[#This Row],[Total time]]</calculatedColumnFormula>
    </tableColumn>
  </tableColumns>
  <tableStyleInfo name="TableStyleDark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8149DE0B-37F8-4417-88DD-39F70BDDC40C}" name="TimeEntries122132" displayName="TimeEntries122132" ref="A628:G629" totalsRowShown="0">
  <autoFilter ref="A628:G629" xr:uid="{BE3181B7-AA26-495C-8908-7B586A5C7A19}"/>
  <sortState xmlns:xlrd2="http://schemas.microsoft.com/office/spreadsheetml/2017/richdata2" ref="A629:E629">
    <sortCondition ref="A16:A17"/>
  </sortState>
  <tableColumns count="7">
    <tableColumn id="1" xr3:uid="{00BBDC04-577D-4CDC-A148-CF36D7367E2D}" name="Time entry no."/>
    <tableColumn id="2" xr3:uid="{87640BFB-92AD-436D-8C54-15B6D52E298E}" name="Start time" dataDxfId="1511"/>
    <tableColumn id="3" xr3:uid="{4548C5C9-522E-453C-B518-C0DA2EA92CCE}" name="End time" dataDxfId="1510"/>
    <tableColumn id="4" xr3:uid="{4FA2CCC5-5373-46B7-A0B4-DFD0B49DE5E1}" name="Time delta in h" dataDxfId="1509">
      <calculatedColumnFormula>MAX((TimeEntries122132[[#This Row],[End time]]-TimeEntries122132[[#This Row],[Start time]])*24,0)</calculatedColumnFormula>
    </tableColumn>
    <tableColumn id="5" xr3:uid="{EB68A9B3-47B8-4EA0-94FF-1710CBBB1F76}" name="Now?"/>
    <tableColumn id="6" xr3:uid="{FC6238AF-8750-4311-9B67-B392F3ADDB06}" name="Action1" dataDxfId="1508" dataCellStyle="Hyperlink"/>
    <tableColumn id="7" xr3:uid="{084542D6-1203-4996-9DB9-9C2FA10BE539}" name="Action2" dataDxfId="1507" dataCellStyle="Hyperlink"/>
  </tableColumns>
  <tableStyleInfo name="TableStyleDark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632B5740-79E0-44DC-9A14-F8A07D9F67B1}" name="Tabelle7367123133" displayName="Tabelle7367123133" ref="I628:M629" totalsRowShown="0">
  <autoFilter ref="I628:M629" xr:uid="{2CE74C7C-76FC-44D6-9567-31BD3516E352}"/>
  <tableColumns count="5">
    <tableColumn id="1" xr3:uid="{E30E245E-5FE1-40AF-8F0F-FDC38066F8AB}" name="Comparison entry no."/>
    <tableColumn id="2" xr3:uid="{B1B621D8-0782-48F6-85BC-F4092D6DCF19}" name="Propability Support point" dataDxfId="1506"/>
    <tableColumn id="3" xr3:uid="{6729F74A-E517-4098-ABFD-C6152620587A}" name="EBS self time" dataDxfId="1505"/>
    <tableColumn id="4" xr3:uid="{88D207CB-1408-4058-A253-83A2B8AEFF0C}" name="Total time">
      <calculatedColumnFormula>SUM(TimeEntries122132[Time delta in h])</calculatedColumnFormula>
    </tableColumn>
    <tableColumn id="5" xr3:uid="{D31CABBB-4BC0-41F6-A88A-C9E10151D799}" name="Total time / Your estimate" dataDxfId="1504">
      <calculatedColumnFormula>Tabelle7367123133[[#This Row],[EBS self time]]/Tabelle7367123133[[#This Row],[Total time]]</calculatedColumnFormula>
    </tableColumn>
  </tableColumns>
  <tableStyleInfo name="TableStyleDark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ED4A78AE-AB95-4700-ACDC-43D4AF6419C9}" name="TimeEntries124134138148" displayName="TimeEntries124134138148" ref="A648:G649" totalsRowShown="0">
  <autoFilter ref="A648:G649" xr:uid="{C28F1209-434C-468F-A3CF-E82B76578317}"/>
  <sortState xmlns:xlrd2="http://schemas.microsoft.com/office/spreadsheetml/2017/richdata2" ref="A649:E649">
    <sortCondition ref="A16:A17"/>
  </sortState>
  <tableColumns count="7">
    <tableColumn id="1" xr3:uid="{E4E2F675-A083-4198-8E3B-25A2CF2FE1BF}" name="Time entry no."/>
    <tableColumn id="2" xr3:uid="{CFE0C12B-AAE0-4837-B044-C35D10BB3BC3}" name="Start time" dataDxfId="1503"/>
    <tableColumn id="3" xr3:uid="{D4DA00B6-4410-4071-AECB-89CDD33F75DB}" name="End time" dataDxfId="1502"/>
    <tableColumn id="4" xr3:uid="{F338685B-36E9-47D8-828E-B260808F7B5C}" name="Time delta in h" dataDxfId="1501">
      <calculatedColumnFormula>MAX((TimeEntries124134138148[[#This Row],[End time]]-TimeEntries124134138148[[#This Row],[Start time]])*24,0)</calculatedColumnFormula>
    </tableColumn>
    <tableColumn id="5" xr3:uid="{C67C2FE8-4339-48A1-94A1-C8A855F027F7}" name="Now?"/>
    <tableColumn id="6" xr3:uid="{E2C8FBD2-50A4-4F3B-908F-8162B74D3F8D}" name="Action1" dataDxfId="1500" dataCellStyle="Hyperlink"/>
    <tableColumn id="7" xr3:uid="{52390E51-71AB-4FF8-84FB-1A736AE1EB74}" name="Action2" dataDxfId="1499" dataCellStyle="Hyperlink"/>
  </tableColumns>
  <tableStyleInfo name="TableStyleDark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5DC84172-FC70-43EC-9190-77AD457DD577}" name="Tabelle7367125135139149" displayName="Tabelle7367125135139149" ref="I648:M649" totalsRowShown="0">
  <autoFilter ref="I648:M649" xr:uid="{A7EB5088-EAA9-4A25-9748-23EC2AE7144D}"/>
  <tableColumns count="5">
    <tableColumn id="1" xr3:uid="{2B8A37EC-7A6D-4C55-AF9B-5A40546E7240}" name="Comparison entry no."/>
    <tableColumn id="2" xr3:uid="{002CFAAE-5284-4105-8F65-29439481D1FB}" name="Propability Support point" dataDxfId="1498"/>
    <tableColumn id="3" xr3:uid="{C440D350-5F0B-4779-8634-37F96F0A2055}" name="EBS self time" dataDxfId="1497"/>
    <tableColumn id="4" xr3:uid="{2ECE124F-E201-4F9F-96FD-E5FD99FFFC47}" name="Total time">
      <calculatedColumnFormula>SUM(TimeEntries124134138148[Time delta in h])</calculatedColumnFormula>
    </tableColumn>
    <tableColumn id="5" xr3:uid="{7B0DE326-FFB6-404B-8E0E-0A38823B68F5}" name="Total time / Your estimate" dataDxfId="1496">
      <calculatedColumnFormula>Tabelle7367125135139149[[#This Row],[EBS self time]]/Tabelle7367125135139149[[#This Row],[Total time]]</calculatedColumnFormula>
    </tableColumn>
  </tableColumns>
  <tableStyleInfo name="TableStyleDark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A454CE7C-4812-41E0-AFB9-BAD89ACBAB73}" name="TimeEntries140150" displayName="TimeEntries140150" ref="A668:G669" totalsRowShown="0">
  <autoFilter ref="A668:G669" xr:uid="{605E55DD-729C-4E46-825F-B6559778EC4D}"/>
  <sortState xmlns:xlrd2="http://schemas.microsoft.com/office/spreadsheetml/2017/richdata2" ref="A669:E669">
    <sortCondition ref="A16:A17"/>
  </sortState>
  <tableColumns count="7">
    <tableColumn id="1" xr3:uid="{2C9388B5-D6B0-4B21-BAAA-A39AA00AF832}" name="Time entry no."/>
    <tableColumn id="2" xr3:uid="{3C283673-357C-4560-8453-B5B0ADF654F2}" name="Start time" dataDxfId="1495"/>
    <tableColumn id="3" xr3:uid="{8A044FCE-6FF9-4E27-B384-F38D83C6FC53}" name="End time" dataDxfId="1494"/>
    <tableColumn id="4" xr3:uid="{A1890DD8-4CD5-46D1-8937-38A198A6CFA5}" name="Time delta in h" dataDxfId="1493">
      <calculatedColumnFormula>MAX((TimeEntries140150[[#This Row],[End time]]-TimeEntries140150[[#This Row],[Start time]])*24,0)</calculatedColumnFormula>
    </tableColumn>
    <tableColumn id="5" xr3:uid="{E68B7019-E29E-4E1F-819C-049C5330218A}" name="Now?"/>
    <tableColumn id="6" xr3:uid="{EEE1E843-A7CA-46F0-904D-07EB563C5C59}" name="Action1" dataDxfId="1492" dataCellStyle="Hyperlink"/>
    <tableColumn id="7" xr3:uid="{711960A0-47FC-4E71-9BAA-C23C5DB6E550}" name="Action2" dataDxfId="1491" dataCellStyle="Hyperlink"/>
  </tableColumns>
  <tableStyleInfo name="TableStyleDark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7F4E4275-F007-4857-BB29-183E4E0A4E5F}" name="Tabelle7367141151" displayName="Tabelle7367141151" ref="I668:M669" totalsRowShown="0">
  <autoFilter ref="I668:M669" xr:uid="{CAFF8189-BC73-4740-B893-33F191906EF9}"/>
  <tableColumns count="5">
    <tableColumn id="1" xr3:uid="{765B8211-0B13-4E54-85CA-88E2DD73B733}" name="Comparison entry no."/>
    <tableColumn id="2" xr3:uid="{60C0DF59-A4E4-4A7A-9C5D-4EB33F87A790}" name="Propability Support point" dataDxfId="1490"/>
    <tableColumn id="3" xr3:uid="{44A65130-DCF7-4155-8781-C75D1418CAF4}" name="EBS self time" dataDxfId="1489"/>
    <tableColumn id="4" xr3:uid="{D0C8A964-2115-43D9-A7BC-FFB32797FF9A}" name="Total time">
      <calculatedColumnFormula>SUM(TimeEntries140150[Time delta in h])</calculatedColumnFormula>
    </tableColumn>
    <tableColumn id="5" xr3:uid="{40E50E2D-7E1C-4063-BF50-7B1C5D35B44B}" name="Total time / Your estimate" dataDxfId="1488">
      <calculatedColumnFormula>Tabelle7367141151[[#This Row],[EBS self time]]/Tabelle7367141151[[#This Row],[Total time]]</calculatedColumnFormula>
    </tableColumn>
  </tableColumns>
  <tableStyleInfo name="TableStyleDark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7C9F3103-79B0-4E5F-8992-ED6703ACF6FF}" name="TimeEntries142152" displayName="TimeEntries142152" ref="A688:G689" totalsRowShown="0">
  <autoFilter ref="A688:G689" xr:uid="{A8D41470-DE4F-497B-90F1-C3E801178CC9}"/>
  <sortState xmlns:xlrd2="http://schemas.microsoft.com/office/spreadsheetml/2017/richdata2" ref="A689:E689">
    <sortCondition ref="A16:A17"/>
  </sortState>
  <tableColumns count="7">
    <tableColumn id="1" xr3:uid="{61C1BB0A-0122-4FF3-8C21-496D5F991C63}" name="Time entry no."/>
    <tableColumn id="2" xr3:uid="{F77AE02A-84B6-4CD3-9FEB-A1AD498813CF}" name="Start time" dataDxfId="1487"/>
    <tableColumn id="3" xr3:uid="{2BFF6C95-419F-43C7-9F73-E43975BBEAC0}" name="End time" dataDxfId="1486"/>
    <tableColumn id="4" xr3:uid="{4EE149FE-C449-4005-883F-4B4871B5DBC2}" name="Time delta in h" dataDxfId="1485">
      <calculatedColumnFormula>MAX((TimeEntries142152[[#This Row],[End time]]-TimeEntries142152[[#This Row],[Start time]])*24,0)</calculatedColumnFormula>
    </tableColumn>
    <tableColumn id="5" xr3:uid="{17B83C35-AA45-4019-B5DA-AC810BB85723}" name="Now?"/>
    <tableColumn id="6" xr3:uid="{1D0992F5-1371-4396-8E14-E5FECF89C5FE}" name="Action1" dataDxfId="1484" dataCellStyle="Hyperlink"/>
    <tableColumn id="7" xr3:uid="{3A5EBE91-1410-4704-8402-F21ACCF9B23E}" name="Action2" dataDxfId="1483" dataCellStyle="Hyperlink"/>
  </tableColumns>
  <tableStyleInfo name="TableStyleDark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9E33A1A3-1BA3-422C-BAF8-51F766FE9684}" name="Tabelle7367143153" displayName="Tabelle7367143153" ref="I688:M695" totalsRowShown="0">
  <autoFilter ref="I688:M695" xr:uid="{E85973FC-3F73-49C5-AC39-EB313D5AF4A4}"/>
  <tableColumns count="5">
    <tableColumn id="1" xr3:uid="{4CD22136-6009-4D8C-A8B5-9B9E7E2260E1}" name="Comparison entry no."/>
    <tableColumn id="2" xr3:uid="{DD588C39-734A-4D13-B563-CA66DF79DAEC}" name="Propability Support point" dataDxfId="1482"/>
    <tableColumn id="3" xr3:uid="{010974A2-8830-4924-BB93-A9A600415ED2}" name="EBS self time" dataDxfId="1481"/>
    <tableColumn id="4" xr3:uid="{49E86F66-FFA2-405C-840E-AC4EFE129E01}" name="Total time">
      <calculatedColumnFormula>SUM(TimeEntries142152[Time delta in h])</calculatedColumnFormula>
    </tableColumn>
    <tableColumn id="5" xr3:uid="{A70A0189-5A0F-4FCE-9F43-BC18A05404CC}" name="Total time / Your estimate" dataDxfId="1480">
      <calculatedColumnFormula>Tabelle7367143153[[#This Row],[EBS self time]]/Tabelle7367143153[[#This Row],[Total time]]</calculatedColumnFormula>
    </tableColumn>
  </tableColumns>
  <tableStyleInfo name="TableStyleDark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F23E0B69-231A-4B5D-9A35-87684394D62D}" name="TimeEntries144154" displayName="TimeEntries144154" ref="A713:G714" totalsRowShown="0">
  <autoFilter ref="A713:G714" xr:uid="{C1A34C08-98C7-4B80-BD64-D95859FFC32F}"/>
  <sortState xmlns:xlrd2="http://schemas.microsoft.com/office/spreadsheetml/2017/richdata2" ref="A714:E714">
    <sortCondition ref="A16:A17"/>
  </sortState>
  <tableColumns count="7">
    <tableColumn id="1" xr3:uid="{21926E35-DF71-43C1-83F6-3334926D1D28}" name="Time entry no."/>
    <tableColumn id="2" xr3:uid="{5F7B7F0E-0522-4D9C-B93C-C7BE6E1450FA}" name="Start time" dataDxfId="1479"/>
    <tableColumn id="3" xr3:uid="{5E5410F8-41B0-4266-BC82-5F01206081F6}" name="End time" dataDxfId="1478"/>
    <tableColumn id="4" xr3:uid="{DA49F302-41E9-4D00-B127-8F7E65D96DBE}" name="Time delta in h" dataDxfId="1477">
      <calculatedColumnFormula>MAX((TimeEntries144154[[#This Row],[End time]]-TimeEntries144154[[#This Row],[Start time]])*24,0)</calculatedColumnFormula>
    </tableColumn>
    <tableColumn id="5" xr3:uid="{57BADFCB-B31A-4391-97D1-9BFBCF4CF3BD}" name="Now?"/>
    <tableColumn id="6" xr3:uid="{51898BA9-66BC-4E9E-BB42-760BCD243542}" name="Action1" dataDxfId="1476" dataCellStyle="Hyperlink"/>
    <tableColumn id="7" xr3:uid="{CBA5D1D6-58A6-4EEF-B3B8-2597594DE506}" name="Action2" dataDxfId="1475" dataCellStyle="Hyperlink"/>
  </tableColumns>
  <tableStyleInfo name="TableStyleDark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17AD7B1-84EB-4072-90D2-2A2774EBAC56}" name="Tabelle7367145155" displayName="Tabelle7367145155" ref="I713:M720" totalsRowShown="0">
  <autoFilter ref="I713:M720" xr:uid="{C429D339-4543-4F6D-A5A8-D192193A2FEC}"/>
  <tableColumns count="5">
    <tableColumn id="1" xr3:uid="{16AD3B65-F5B5-4873-B129-23C92CA5CBBB}" name="Comparison entry no."/>
    <tableColumn id="2" xr3:uid="{87697BCE-2880-46CF-B036-379C480C22C3}" name="Propability Support point" dataDxfId="1474"/>
    <tableColumn id="3" xr3:uid="{EEDAED01-EF6A-4709-84F0-E5A768DA2A7B}" name="EBS self time" dataDxfId="1473"/>
    <tableColumn id="4" xr3:uid="{E13E5F1E-7032-49EA-8E86-AAFCF93A51E4}" name="Total time">
      <calculatedColumnFormula>SUM(TimeEntries144154[Time delta in h])</calculatedColumnFormula>
    </tableColumn>
    <tableColumn id="5" xr3:uid="{89D9640B-0556-4737-AA7F-D3A71AC88331}" name="Total time / Your estimate" dataDxfId="1472">
      <calculatedColumnFormula>Tabelle7367145155[[#This Row],[EBS self time]]/Tabelle7367145155[[#This Row],[Total time]]</calculatedColumnFormula>
    </tableColumn>
  </tableColumns>
  <tableStyleInfo name="TableStyleDark1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F14034BF-10D2-4F49-8F91-90F3C5D71D49}" name="TimeEntries146156160170" displayName="TimeEntries146156160170" ref="A738:G739" totalsRowShown="0">
  <autoFilter ref="A738:G739" xr:uid="{72D4BB4D-1108-4FF7-A247-2620578C848B}"/>
  <sortState xmlns:xlrd2="http://schemas.microsoft.com/office/spreadsheetml/2017/richdata2" ref="A739:E739">
    <sortCondition ref="A16:A17"/>
  </sortState>
  <tableColumns count="7">
    <tableColumn id="1" xr3:uid="{82118061-620D-4545-8F8C-2FD09BBBB9B8}" name="Time entry no."/>
    <tableColumn id="2" xr3:uid="{35F3D7B7-D1BA-4D07-9A9A-E22A1C491077}" name="Start time" dataDxfId="1471"/>
    <tableColumn id="3" xr3:uid="{0F3C08EE-50D8-44F0-9709-760F9BE9FE81}" name="End time" dataDxfId="1470"/>
    <tableColumn id="4" xr3:uid="{BB083991-713A-4813-BCE3-807C36A8E683}" name="Time delta in h" dataDxfId="1469">
      <calculatedColumnFormula>MAX((TimeEntries146156160170[[#This Row],[End time]]-TimeEntries146156160170[[#This Row],[Start time]])*24,0)</calculatedColumnFormula>
    </tableColumn>
    <tableColumn id="5" xr3:uid="{525E6E28-1F6B-4A52-8878-DA306F51AC41}" name="Now?"/>
    <tableColumn id="6" xr3:uid="{BF1F878E-269E-4220-81A6-3A5034F7B98F}" name="Action1" dataDxfId="1468" dataCellStyle="Hyperlink"/>
    <tableColumn id="7" xr3:uid="{1D11CD65-CB5C-417D-95DD-6256AA0DB394}" name="Action2" dataDxfId="1467" dataCellStyle="Hyperlink"/>
  </tableColumns>
  <tableStyleInfo name="TableStyleDark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CC9536F8-61F5-4CA5-A465-8E3592549390}" name="Tabelle7367147157161171" displayName="Tabelle7367147157161171" ref="I738:M739" totalsRowShown="0">
  <autoFilter ref="I738:M739" xr:uid="{E0B47143-189C-40A6-8E57-BA3272429BC9}"/>
  <tableColumns count="5">
    <tableColumn id="1" xr3:uid="{B02584EA-C455-4FA7-9C97-596A1E656671}" name="Comparison entry no."/>
    <tableColumn id="2" xr3:uid="{E95D2AC3-70E3-44F7-82A2-EB1F10BFD355}" name="Propability Support point" dataDxfId="1466"/>
    <tableColumn id="3" xr3:uid="{C8133EE3-A28C-4027-9D0A-4E6DADBC4EBC}" name="EBS self time" dataDxfId="1465"/>
    <tableColumn id="4" xr3:uid="{F0C64622-3C39-44A6-8C9D-7CD036EABAE5}" name="Total time">
      <calculatedColumnFormula>SUM(TimeEntries146156160170[Time delta in h])</calculatedColumnFormula>
    </tableColumn>
    <tableColumn id="5" xr3:uid="{82691F46-51EA-4AC7-A45E-F00D05B727EE}" name="Total time / Your estimate" dataDxfId="1464">
      <calculatedColumnFormula>Tabelle7367147157161171[[#This Row],[EBS self time]]/Tabelle7367147157161171[[#This Row],[Total time]]</calculatedColumnFormula>
    </tableColumn>
  </tableColumns>
  <tableStyleInfo name="TableStyleDark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EDC22A16-5084-4A01-A268-ECB1B9BC1F6E}" name="TimeEntries162172" displayName="TimeEntries162172" ref="A758:G759" totalsRowShown="0">
  <autoFilter ref="A758:G759" xr:uid="{AACCAB35-3586-405C-8D17-70CC5E9395D4}"/>
  <sortState xmlns:xlrd2="http://schemas.microsoft.com/office/spreadsheetml/2017/richdata2" ref="A759:E759">
    <sortCondition ref="A16:A17"/>
  </sortState>
  <tableColumns count="7">
    <tableColumn id="1" xr3:uid="{8D0B3D5E-4354-4430-A356-E5CD7DDCE444}" name="Time entry no."/>
    <tableColumn id="2" xr3:uid="{AA63494C-02A3-48B5-87A8-47A4061BADC3}" name="Start time" dataDxfId="1463"/>
    <tableColumn id="3" xr3:uid="{FB543354-3E1E-46AC-BD20-E3772A8C6B98}" name="End time" dataDxfId="1462"/>
    <tableColumn id="4" xr3:uid="{C347FE6F-E7CB-492E-84DF-5AD85A115675}" name="Time delta in h" dataDxfId="1461">
      <calculatedColumnFormula>MAX((TimeEntries162172[[#This Row],[End time]]-TimeEntries162172[[#This Row],[Start time]])*24,0)</calculatedColumnFormula>
    </tableColumn>
    <tableColumn id="5" xr3:uid="{639099FD-18A0-48A0-A511-9D15BDD54DE3}" name="Now?"/>
    <tableColumn id="6" xr3:uid="{1B191E7D-87BE-4118-949F-AB5570E8B083}" name="Action1" dataDxfId="1460" dataCellStyle="Hyperlink"/>
    <tableColumn id="7" xr3:uid="{D3B92A7E-9D99-4B2D-BA39-21B57F19AA31}" name="Action2" dataDxfId="1459" dataCellStyle="Hyperlink"/>
  </tableColumns>
  <tableStyleInfo name="TableStyleDark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7A9B073A-3329-4996-851A-9456FEF927C2}" name="Tabelle7367163173" displayName="Tabelle7367163173" ref="I758:M765" totalsRowShown="0">
  <autoFilter ref="I758:M765" xr:uid="{1319289D-65C0-4E4E-9BAB-0A3066B17B58}"/>
  <tableColumns count="5">
    <tableColumn id="1" xr3:uid="{A2253358-9E95-486E-939A-63062D4BC2C2}" name="Comparison entry no."/>
    <tableColumn id="2" xr3:uid="{6FC21E70-72C6-42FA-A756-8C829A005317}" name="Propability Support point" dataDxfId="1458"/>
    <tableColumn id="3" xr3:uid="{9CCA4B0D-0F0A-4B00-8DA1-EA0A3DFE348F}" name="EBS self time" dataDxfId="1457"/>
    <tableColumn id="4" xr3:uid="{CAB25431-9156-43F6-B5E0-3784D7985A60}" name="Total time">
      <calculatedColumnFormula>SUM(TimeEntries162172[Time delta in h])</calculatedColumnFormula>
    </tableColumn>
    <tableColumn id="5" xr3:uid="{B05FC869-B91F-4EBC-95BC-312E1CEFB7A6}" name="Total time / Your estimate" dataDxfId="1456">
      <calculatedColumnFormula>Tabelle7367163173[[#This Row],[EBS self time]]/Tabelle7367163173[[#This Row],[Total time]]</calculatedColumnFormula>
    </tableColumn>
  </tableColumns>
  <tableStyleInfo name="TableStyleDark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FDAF0B4C-BC71-4ED7-99EF-CB4F0E9AC7F2}" name="TimeEntries164174" displayName="TimeEntries164174" ref="A783:G784" totalsRowShown="0">
  <autoFilter ref="A783:G784" xr:uid="{1DF64879-168F-46FD-8BED-18FDF661D7CF}"/>
  <sortState xmlns:xlrd2="http://schemas.microsoft.com/office/spreadsheetml/2017/richdata2" ref="A784:E784">
    <sortCondition ref="A16:A17"/>
  </sortState>
  <tableColumns count="7">
    <tableColumn id="1" xr3:uid="{C570C211-76C9-4C88-A73A-64F743F97DF9}" name="Time entry no."/>
    <tableColumn id="2" xr3:uid="{789BC6A3-A497-428A-B6C4-C97A7C68C3C2}" name="Start time" dataDxfId="1455"/>
    <tableColumn id="3" xr3:uid="{30B92BE6-204D-4455-A454-41F82176F503}" name="End time" dataDxfId="1454"/>
    <tableColumn id="4" xr3:uid="{8D605221-534C-4A4E-956E-B95DF084A855}" name="Time delta in h" dataDxfId="1453">
      <calculatedColumnFormula>MAX((TimeEntries164174[[#This Row],[End time]]-TimeEntries164174[[#This Row],[Start time]])*24,0)</calculatedColumnFormula>
    </tableColumn>
    <tableColumn id="5" xr3:uid="{0EF95D7F-CB21-40EA-B966-EACCDE97EADD}" name="Now?"/>
    <tableColumn id="6" xr3:uid="{DCEABF68-08A9-4B26-ACAA-95C1C466A991}" name="Action1" dataDxfId="1452" dataCellStyle="Hyperlink"/>
    <tableColumn id="7" xr3:uid="{EBD9555B-4DD5-46DC-A0C9-7FA11159398C}" name="Action2" dataDxfId="1451" dataCellStyle="Hyperlink"/>
  </tableColumns>
  <tableStyleInfo name="TableStyleDark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D613C9B5-0028-48B7-B8E8-7102C90EE16E}" name="Tabelle7367165175" displayName="Tabelle7367165175" ref="I783:M790" totalsRowShown="0">
  <autoFilter ref="I783:M790" xr:uid="{96FC5DE3-2339-4BF0-B688-49051F4CFF5E}"/>
  <tableColumns count="5">
    <tableColumn id="1" xr3:uid="{E74DD65D-66A2-4995-89E1-34CCE84FD5F9}" name="Comparison entry no."/>
    <tableColumn id="2" xr3:uid="{FB26CDC9-2C81-441F-8089-CAE5D1DCC614}" name="Propability Support point" dataDxfId="1450"/>
    <tableColumn id="3" xr3:uid="{4856E86E-0EE7-43AB-A916-FE720BE133F8}" name="EBS self time" dataDxfId="1449"/>
    <tableColumn id="4" xr3:uid="{979D443D-47BF-4D4A-ADE0-A54B13A5F71D}" name="Total time">
      <calculatedColumnFormula>SUM(TimeEntries164174[Time delta in h])</calculatedColumnFormula>
    </tableColumn>
    <tableColumn id="5" xr3:uid="{3D5C47A7-4815-478F-AD4B-A7EAA81C6753}" name="Total time / Your estimate" dataDxfId="1448">
      <calculatedColumnFormula>Tabelle7367165175[[#This Row],[EBS self time]]/Tabelle7367165175[[#This Row],[Total time]]</calculatedColumnFormula>
    </tableColumn>
  </tableColumns>
  <tableStyleInfo name="TableStyleDark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6ECE3966-E8FD-4D2B-BF97-9D996C8F6829}" name="TimeEntries166176" displayName="TimeEntries166176" ref="A808:G809" totalsRowShown="0">
  <autoFilter ref="A808:G809" xr:uid="{11DE67E2-C3FE-4521-9AAC-86FDFAB32370}"/>
  <sortState xmlns:xlrd2="http://schemas.microsoft.com/office/spreadsheetml/2017/richdata2" ref="A809:E809">
    <sortCondition ref="A16:A17"/>
  </sortState>
  <tableColumns count="7">
    <tableColumn id="1" xr3:uid="{C2BCEB55-8959-46BA-B08C-33D5358BEC05}" name="Time entry no."/>
    <tableColumn id="2" xr3:uid="{1B2A7720-08F6-4C67-BFC4-A4DE3D1AAF66}" name="Start time" dataDxfId="1447"/>
    <tableColumn id="3" xr3:uid="{999413B0-3F1D-4738-8F8C-DCE293565022}" name="End time" dataDxfId="1446"/>
    <tableColumn id="4" xr3:uid="{1EBDD817-FDA0-4637-AE6B-E15A779223BA}" name="Time delta in h" dataDxfId="1445">
      <calculatedColumnFormula>MAX((TimeEntries166176[[#This Row],[End time]]-TimeEntries166176[[#This Row],[Start time]])*24,0)</calculatedColumnFormula>
    </tableColumn>
    <tableColumn id="5" xr3:uid="{1763AD92-54F4-4878-ADC6-D981EFE594B6}" name="Now?"/>
    <tableColumn id="6" xr3:uid="{907B166E-76EA-4132-ABC4-036F74C58122}" name="Action1" dataDxfId="1444" dataCellStyle="Hyperlink"/>
    <tableColumn id="7" xr3:uid="{A69112EE-F027-4D00-94A6-706DDC602555}" name="Action2" dataDxfId="1443" dataCellStyle="Hyperlink"/>
  </tableColumns>
  <tableStyleInfo name="TableStyleDark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55D3F5F2-2AFD-4C63-953D-23CAF5C4DB5D}" name="Tabelle7367167177" displayName="Tabelle7367167177" ref="I808:M815" totalsRowShown="0">
  <autoFilter ref="I808:M815" xr:uid="{33D155CD-FC64-4BA1-8B0A-C81A77A397E4}"/>
  <tableColumns count="5">
    <tableColumn id="1" xr3:uid="{A97D2354-26D4-462E-B5F2-0F7472CBE76F}" name="Comparison entry no."/>
    <tableColumn id="2" xr3:uid="{35E3E5E8-6615-428C-998A-310E64387935}" name="Propability Support point" dataDxfId="1442"/>
    <tableColumn id="3" xr3:uid="{16288F6A-F09E-414F-9760-F6FEEC6C2C7C}" name="EBS self time" dataDxfId="1441"/>
    <tableColumn id="4" xr3:uid="{57785B8C-6FDB-4CAA-A3AC-229A047FEF75}" name="Total time">
      <calculatedColumnFormula>SUM(TimeEntries166176[Time delta in h])</calculatedColumnFormula>
    </tableColumn>
    <tableColumn id="5" xr3:uid="{17E61F54-3F56-48BA-8D02-3013C3148DD6}" name="Total time / Your estimate" dataDxfId="1440">
      <calculatedColumnFormula>Tabelle7367167177[[#This Row],[EBS self time]]/Tabelle7367167177[[#This Row],[Total time]]</calculatedColumnFormula>
    </tableColumn>
  </tableColumns>
  <tableStyleInfo name="TableStyleDark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C6389960-3A01-4891-98E3-6FD1AE521B4D}" name="TimeEntries168178182192" displayName="TimeEntries168178182192" ref="A833:G834" totalsRowShown="0">
  <autoFilter ref="A833:G834" xr:uid="{B907C3ED-A43F-4385-B843-747F701EF368}"/>
  <sortState xmlns:xlrd2="http://schemas.microsoft.com/office/spreadsheetml/2017/richdata2" ref="A834:E834">
    <sortCondition ref="A16:A17"/>
  </sortState>
  <tableColumns count="7">
    <tableColumn id="1" xr3:uid="{6D6614AE-E200-4B9E-BC82-85859E73D1F3}" name="Time entry no."/>
    <tableColumn id="2" xr3:uid="{48EDECB9-A442-457E-AF22-6C52616F6D31}" name="Start time" dataDxfId="1439"/>
    <tableColumn id="3" xr3:uid="{E2F1269B-70CF-455E-B963-4254AA4BD85C}" name="End time" dataDxfId="1438"/>
    <tableColumn id="4" xr3:uid="{0CDB1003-EDBA-4643-9647-6CBABFFF618B}" name="Time delta in h" dataDxfId="1437">
      <calculatedColumnFormula>MAX((TimeEntries168178182192[[#This Row],[End time]]-TimeEntries168178182192[[#This Row],[Start time]])*24,0)</calculatedColumnFormula>
    </tableColumn>
    <tableColumn id="5" xr3:uid="{AB2FFA10-D815-40BC-AD2D-99EC4E672C55}" name="Now?"/>
    <tableColumn id="6" xr3:uid="{9E927C66-B796-4A33-B162-523049E1E31F}" name="Action1" dataDxfId="1436" dataCellStyle="Hyperlink"/>
    <tableColumn id="7" xr3:uid="{4EA9D817-6BAE-4018-848E-CB35DD15D173}" name="Action2" dataDxfId="1435" dataCellStyle="Hyperlink"/>
  </tableColumns>
  <tableStyleInfo name="TableStyleDark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D208F3D4-8AD5-453B-BB78-094C2F5A16C3}" name="Tabelle7367169179183193" displayName="Tabelle7367169179183193" ref="I833:M834" totalsRowShown="0">
  <autoFilter ref="I833:M834" xr:uid="{07B4A53A-4D4B-45FC-B782-C0FE41283FB2}"/>
  <tableColumns count="5">
    <tableColumn id="1" xr3:uid="{5578D756-0218-4A8A-A9F1-50C4FBF8521B}" name="Comparison entry no."/>
    <tableColumn id="2" xr3:uid="{ADACEC94-4259-451E-A6C1-E4013A9AA90F}" name="Propability Support point" dataDxfId="1434"/>
    <tableColumn id="3" xr3:uid="{1D24156D-C95A-4A37-A548-63B6F04B9A5D}" name="EBS self time" dataDxfId="1433"/>
    <tableColumn id="4" xr3:uid="{6F9DD024-B8E9-465D-8777-76103F13640D}" name="Total time">
      <calculatedColumnFormula>SUM(TimeEntries168178182192[Time delta in h])</calculatedColumnFormula>
    </tableColumn>
    <tableColumn id="5" xr3:uid="{96137251-5967-4A2B-A160-DD0E303A6585}" name="Total time / Your estimate" dataDxfId="1432">
      <calculatedColumnFormula>Tabelle7367169179183193[[#This Row],[EBS self time]]/Tabelle7367169179183193[[#This Row],[Total time]]</calculatedColumnFormula>
    </tableColumn>
  </tableColumns>
  <tableStyleInfo name="TableStyleDark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7EE7EAA5-2031-4DEF-A074-BFDABCC1B772}" name="TimeEntries184194" displayName="TimeEntries184194" ref="A853:G854" totalsRowShown="0">
  <autoFilter ref="A853:G854" xr:uid="{CC3A759F-3F77-4238-AC67-AE8D972E7162}"/>
  <sortState xmlns:xlrd2="http://schemas.microsoft.com/office/spreadsheetml/2017/richdata2" ref="A854:E854">
    <sortCondition ref="A16:A17"/>
  </sortState>
  <tableColumns count="7">
    <tableColumn id="1" xr3:uid="{69D59513-3992-40C0-A87D-676B95B06ADA}" name="Time entry no."/>
    <tableColumn id="2" xr3:uid="{01579116-0050-437A-AC2B-A7DF54D4D4C4}" name="Start time" dataDxfId="1431"/>
    <tableColumn id="3" xr3:uid="{ECC12C4A-FB6D-4DE6-91F3-75BDF357AA50}" name="End time" dataDxfId="1430"/>
    <tableColumn id="4" xr3:uid="{ED377E5E-3A2E-4A67-9A18-917E8D1DF454}" name="Time delta in h" dataDxfId="1429">
      <calculatedColumnFormula>MAX((TimeEntries184194[[#This Row],[End time]]-TimeEntries184194[[#This Row],[Start time]])*24,0)</calculatedColumnFormula>
    </tableColumn>
    <tableColumn id="5" xr3:uid="{1D6144AC-72DA-4B0A-A6F4-768599310F7A}" name="Now?"/>
    <tableColumn id="6" xr3:uid="{3C8F0E20-C0FD-438D-A781-C74E8C6C8B8B}" name="Action1" dataDxfId="1428" dataCellStyle="Hyperlink"/>
    <tableColumn id="7" xr3:uid="{22AF4B10-ABA9-4908-B28C-CA5B7EBED349}" name="Action2" dataDxfId="1427" dataCellStyle="Hyperlink"/>
  </tableColumns>
  <tableStyleInfo name="TableStyleDark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454D677D-A859-4929-9DC2-0E0B80F91202}" name="Tabelle7367185195" displayName="Tabelle7367185195" ref="I853:M860" totalsRowShown="0">
  <autoFilter ref="I853:M860" xr:uid="{87C9EF7F-C7EA-4311-8329-57AC1AE66B38}"/>
  <tableColumns count="5">
    <tableColumn id="1" xr3:uid="{85DEC553-9F36-41B6-9EA5-27787AEB3DC9}" name="Comparison entry no."/>
    <tableColumn id="2" xr3:uid="{B11FFE52-339D-4EAA-A4FF-4246A0636884}" name="Propability Support point" dataDxfId="1426"/>
    <tableColumn id="3" xr3:uid="{2BFB7765-589C-4995-95C0-314A01366E74}" name="EBS self time" dataDxfId="1425"/>
    <tableColumn id="4" xr3:uid="{74D1729A-B84B-4D25-B2FA-00A15BB3B721}" name="Total time">
      <calculatedColumnFormula>SUM(TimeEntries184194[Time delta in h])</calculatedColumnFormula>
    </tableColumn>
    <tableColumn id="5" xr3:uid="{F4BC7AEE-C887-4409-A08F-D32564343E3E}" name="Total time / Your estimate" dataDxfId="1424">
      <calculatedColumnFormula>Tabelle7367185195[[#This Row],[EBS self time]]/Tabelle7367185195[[#This Row],[Total time]]</calculatedColumnFormula>
    </tableColumn>
  </tableColumns>
  <tableStyleInfo name="TableStyleDark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584AEFE8-9BA3-4C07-8822-13DBEA79C7A9}" name="TimeEntries186196" displayName="TimeEntries186196" ref="A878:G879" totalsRowShown="0">
  <autoFilter ref="A878:G879" xr:uid="{699A3C36-0D64-4962-93FF-B8A9E825A5D3}"/>
  <sortState xmlns:xlrd2="http://schemas.microsoft.com/office/spreadsheetml/2017/richdata2" ref="A879:E879">
    <sortCondition ref="A16:A17"/>
  </sortState>
  <tableColumns count="7">
    <tableColumn id="1" xr3:uid="{83C38952-3952-4788-B783-BA01A9CDC753}" name="Time entry no."/>
    <tableColumn id="2" xr3:uid="{0B4E0BB2-6A08-44DF-8CCA-AAFD38B075F5}" name="Start time" dataDxfId="1423"/>
    <tableColumn id="3" xr3:uid="{EF5ADEED-F003-4B30-8A51-6249E558E496}" name="End time" dataDxfId="1422"/>
    <tableColumn id="4" xr3:uid="{33DFD87B-4A97-4A91-96DE-8F5CAD2E26AF}" name="Time delta in h" dataDxfId="1421">
      <calculatedColumnFormula>MAX((TimeEntries186196[[#This Row],[End time]]-TimeEntries186196[[#This Row],[Start time]])*24,0)</calculatedColumnFormula>
    </tableColumn>
    <tableColumn id="5" xr3:uid="{FBE3797C-59BD-49B3-8D98-47BBC13195AD}" name="Now?"/>
    <tableColumn id="6" xr3:uid="{E8B3C3AB-2146-461E-A92B-C354026E5C47}" name="Action1" dataDxfId="1420" dataCellStyle="Hyperlink"/>
    <tableColumn id="7" xr3:uid="{CC0E8D94-CC07-42F6-BCA5-63731D8D7C90}" name="Action2" dataDxfId="1419" dataCellStyle="Hyperlink"/>
  </tableColumns>
  <tableStyleInfo name="TableStyleDark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B7AD120C-F5BA-465A-8267-29A39179A249}" name="Tabelle7367187197" displayName="Tabelle7367187197" ref="I878:M879" totalsRowShown="0">
  <autoFilter ref="I878:M879" xr:uid="{D0671352-E13E-42D4-A514-C0FB225F4F80}"/>
  <tableColumns count="5">
    <tableColumn id="1" xr3:uid="{60AA4115-0598-46F1-B327-D198647F25A3}" name="Comparison entry no."/>
    <tableColumn id="2" xr3:uid="{9C8A3002-B8B0-4AD3-8C0B-D4A140030739}" name="Propability Support point" dataDxfId="1418"/>
    <tableColumn id="3" xr3:uid="{275AADDA-3E81-4FBA-B4FA-7CEA8BB19843}" name="EBS self time" dataDxfId="1417"/>
    <tableColumn id="4" xr3:uid="{1427DB0B-8ADD-4D82-B6AD-D6B9CC8B7536}" name="Total time">
      <calculatedColumnFormula>SUM(TimeEntries186196[Time delta in h])</calculatedColumnFormula>
    </tableColumn>
    <tableColumn id="5" xr3:uid="{261D3881-6CCA-4A4C-AF07-DB91A379ED2A}" name="Total time / Your estimate" dataDxfId="1416">
      <calculatedColumnFormula>Tabelle7367187197[[#This Row],[EBS self time]]/Tabelle7367187197[[#This Row],[Total time]]</calculatedColumnFormula>
    </tableColumn>
  </tableColumns>
  <tableStyleInfo name="TableStyleDark1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4A4E69C-13B6-4BD0-9E18-9A4DA49DAF48}" name="TimeEntries188198" displayName="TimeEntries188198" ref="A898:G899" totalsRowShown="0">
  <autoFilter ref="A898:G899" xr:uid="{C7EB4BFF-2063-4B45-B772-350B489548CA}"/>
  <sortState xmlns:xlrd2="http://schemas.microsoft.com/office/spreadsheetml/2017/richdata2" ref="A899:E899">
    <sortCondition ref="A16:A17"/>
  </sortState>
  <tableColumns count="7">
    <tableColumn id="1" xr3:uid="{D588B6C9-B94D-4EF2-A08F-CBEBA4FC5F43}" name="Time entry no."/>
    <tableColumn id="2" xr3:uid="{8B49398B-BE31-4FB0-B352-F71C058BCB16}" name="Start time" dataDxfId="1415"/>
    <tableColumn id="3" xr3:uid="{45844A2A-126C-4DC1-977D-29C080289FBD}" name="End time" dataDxfId="1414"/>
    <tableColumn id="4" xr3:uid="{B0AC6BEC-5613-4152-9706-643E3070A28B}" name="Time delta in h" dataDxfId="1413">
      <calculatedColumnFormula>MAX((TimeEntries188198[[#This Row],[End time]]-TimeEntries188198[[#This Row],[Start time]])*24,0)</calculatedColumnFormula>
    </tableColumn>
    <tableColumn id="5" xr3:uid="{F6BAE910-DFBF-494D-8929-2E31390D571B}" name="Now?"/>
    <tableColumn id="6" xr3:uid="{05F20223-A82E-4717-A8F6-1DA0EDBC905B}" name="Action1" dataDxfId="1412" dataCellStyle="Hyperlink"/>
    <tableColumn id="7" xr3:uid="{8BF4894E-E557-476B-8644-5659F6DC18AD}" name="Action2" dataDxfId="1411" dataCellStyle="Hyperlink"/>
  </tableColumns>
  <tableStyleInfo name="TableStyleDark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1D671189-5877-494E-8403-737C249D4C37}" name="Tabelle7367189199" displayName="Tabelle7367189199" ref="I898:M905" totalsRowShown="0">
  <autoFilter ref="I898:M905" xr:uid="{406508FD-6D09-47C0-96D3-95F3A7066889}"/>
  <tableColumns count="5">
    <tableColumn id="1" xr3:uid="{BC1D4FD3-9757-4C8E-ABE0-E988FD039C05}" name="Comparison entry no."/>
    <tableColumn id="2" xr3:uid="{0EC29FE3-E47E-4C71-99AF-2B320E95937F}" name="Propability Support point" dataDxfId="1410"/>
    <tableColumn id="3" xr3:uid="{00B25BC8-BD9A-4917-9330-3CE5DB9F60A1}" name="EBS self time" dataDxfId="1409"/>
    <tableColumn id="4" xr3:uid="{4C5E8BD6-55A9-43F0-901B-4AAAB68C40DC}" name="Total time">
      <calculatedColumnFormula>SUM(TimeEntries188198[Time delta in h])</calculatedColumnFormula>
    </tableColumn>
    <tableColumn id="5" xr3:uid="{C5806176-E5C6-4787-8DBE-FFCB312405ED}" name="Total time / Your estimate" dataDxfId="1408">
      <calculatedColumnFormula>Tabelle7367189199[[#This Row],[EBS self time]]/Tabelle7367189199[[#This Row],[Total time]]</calculatedColumnFormula>
    </tableColumn>
  </tableColumns>
  <tableStyleInfo name="TableStyleDark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4D19D0DC-086F-49F7-8FAD-3C4E71137B60}" name="TimeEntries190200204214" displayName="TimeEntries190200204214" ref="A923:G924" totalsRowShown="0">
  <autoFilter ref="A923:G924" xr:uid="{1DE63D39-35B9-464E-A909-333B8A384690}"/>
  <sortState xmlns:xlrd2="http://schemas.microsoft.com/office/spreadsheetml/2017/richdata2" ref="A924:E924">
    <sortCondition ref="A16:A17"/>
  </sortState>
  <tableColumns count="7">
    <tableColumn id="1" xr3:uid="{F625776E-CE5E-43C7-B332-E5D949B38F91}" name="Time entry no."/>
    <tableColumn id="2" xr3:uid="{40310258-7814-4EC3-99E5-00386CFDA6FC}" name="Start time" dataDxfId="1407"/>
    <tableColumn id="3" xr3:uid="{1B3D5BCD-647F-4B0B-8684-9176A9F309A2}" name="End time" dataDxfId="1406"/>
    <tableColumn id="4" xr3:uid="{59EEE33F-828E-4780-80DA-23CFB737FC7A}" name="Time delta in h" dataDxfId="1405">
      <calculatedColumnFormula>MAX((TimeEntries190200204214[[#This Row],[End time]]-TimeEntries190200204214[[#This Row],[Start time]])*24,0)</calculatedColumnFormula>
    </tableColumn>
    <tableColumn id="5" xr3:uid="{27F08DA3-AAA2-44BE-9937-20970E3477F1}" name="Now?"/>
    <tableColumn id="6" xr3:uid="{DD7F97C3-9ADB-4121-8F29-A5DC17FE98F5}" name="Action1" dataDxfId="1404" dataCellStyle="Hyperlink"/>
    <tableColumn id="7" xr3:uid="{AD63B69B-85C6-4EE8-953B-1C0E537675F4}" name="Action2" dataDxfId="1403" dataCellStyle="Hyperlink"/>
  </tableColumns>
  <tableStyleInfo name="TableStyleDark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3C031244-2E70-43B9-93E6-1E8777331ACA}" name="Tabelle7367191201205215" displayName="Tabelle7367191201205215" ref="I923:M930" totalsRowShown="0">
  <autoFilter ref="I923:M930" xr:uid="{32CB6BD8-102E-4C34-AF9E-8E9C4179E590}"/>
  <tableColumns count="5">
    <tableColumn id="1" xr3:uid="{228177B2-FC0A-4B23-BE17-127A420256F9}" name="Comparison entry no."/>
    <tableColumn id="2" xr3:uid="{1E350E72-3C99-4B53-8D76-F3383F4E6189}" name="Propability Support point" dataDxfId="1402"/>
    <tableColumn id="3" xr3:uid="{79326B1C-7FBB-4988-BB5F-602920F1BE13}" name="EBS self time" dataDxfId="1401"/>
    <tableColumn id="4" xr3:uid="{AF6B17DC-DF70-4774-A1CA-D276290702DD}" name="Total time">
      <calculatedColumnFormula>SUM(TimeEntries190200204214[Time delta in h])</calculatedColumnFormula>
    </tableColumn>
    <tableColumn id="5" xr3:uid="{43D29222-3E59-44B2-B7AC-87740FF1F847}" name="Total time / Your estimate" dataDxfId="1400">
      <calculatedColumnFormula>Tabelle7367191201205215[[#This Row],[EBS self time]]/Tabelle7367191201205215[[#This Row],[Total time]]</calculatedColumnFormula>
    </tableColumn>
  </tableColumns>
  <tableStyleInfo name="TableStyleDark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839275FE-29C1-41DF-B4ED-4F65C8ACA827}" name="TimeEntries206216" displayName="TimeEntries206216" ref="A948:G949" totalsRowShown="0">
  <autoFilter ref="A948:G949" xr:uid="{95F5BF20-801C-48AE-B285-6E34B2D06C11}"/>
  <sortState xmlns:xlrd2="http://schemas.microsoft.com/office/spreadsheetml/2017/richdata2" ref="A949:E949">
    <sortCondition ref="A16:A17"/>
  </sortState>
  <tableColumns count="7">
    <tableColumn id="1" xr3:uid="{81E85300-E3AA-41C6-966D-A49D530359ED}" name="Time entry no."/>
    <tableColumn id="2" xr3:uid="{9FB47EE9-00C7-4650-B35D-9F12A3B6F5C7}" name="Start time" dataDxfId="1399"/>
    <tableColumn id="3" xr3:uid="{A8F809A3-0C50-4122-B219-FA9FB24E42DE}" name="End time" dataDxfId="1398"/>
    <tableColumn id="4" xr3:uid="{CF9E51D9-1F13-472B-999D-17D34C601DC8}" name="Time delta in h" dataDxfId="1397">
      <calculatedColumnFormula>MAX((TimeEntries206216[[#This Row],[End time]]-TimeEntries206216[[#This Row],[Start time]])*24,0)</calculatedColumnFormula>
    </tableColumn>
    <tableColumn id="5" xr3:uid="{74DC0CB3-29B5-4766-BC70-97A6792FA4A9}" name="Now?"/>
    <tableColumn id="6" xr3:uid="{72F95E1B-64F9-4955-833E-47AB4BA4FC5E}" name="Action1" dataDxfId="1396" dataCellStyle="Hyperlink"/>
    <tableColumn id="7" xr3:uid="{7A1947C2-1BE6-4E4C-BE50-CA1B88466145}" name="Action2" dataDxfId="1395" dataCellStyle="Hyperlink"/>
  </tableColumns>
  <tableStyleInfo name="TableStyleDark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4254294D-5E83-4F24-B4F2-396796DD5C2B}" name="Tabelle7367207217" displayName="Tabelle7367207217" ref="I948:M955" totalsRowShown="0">
  <autoFilter ref="I948:M955" xr:uid="{8C9649F1-8AD2-42E5-B76C-6D3FC8824C9D}"/>
  <tableColumns count="5">
    <tableColumn id="1" xr3:uid="{F433567D-7CEA-4620-B20B-F4F3180B845D}" name="Comparison entry no."/>
    <tableColumn id="2" xr3:uid="{A7892D25-E26E-4452-BF5E-D0F18E587E68}" name="Propability Support point" dataDxfId="1394"/>
    <tableColumn id="3" xr3:uid="{A8EA0BCF-E3CD-45E3-A206-01EEEDEB42A2}" name="EBS self time" dataDxfId="1393"/>
    <tableColumn id="4" xr3:uid="{EEA1EBF0-B223-40CA-B8A5-237FBA3273A5}" name="Total time">
      <calculatedColumnFormula>SUM(TimeEntries206216[Time delta in h])</calculatedColumnFormula>
    </tableColumn>
    <tableColumn id="5" xr3:uid="{0B0689EB-BF7E-4255-92B3-AE11B0035D84}" name="Total time / Your estimate" dataDxfId="1392">
      <calculatedColumnFormula>Tabelle7367207217[[#This Row],[EBS self time]]/Tabelle7367207217[[#This Row],[Total time]]</calculatedColumnFormula>
    </tableColumn>
  </tableColumns>
  <tableStyleInfo name="TableStyleDark1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765E1E44-D7AE-4AA1-AF81-9C8F29E1B50E}" name="TimeEntries208218" displayName="TimeEntries208218" ref="A973:G974" totalsRowShown="0">
  <autoFilter ref="A973:G974" xr:uid="{B2A8461C-7576-438F-9950-BFD6A4319FA2}"/>
  <sortState xmlns:xlrd2="http://schemas.microsoft.com/office/spreadsheetml/2017/richdata2" ref="A974:E974">
    <sortCondition ref="A16:A17"/>
  </sortState>
  <tableColumns count="7">
    <tableColumn id="1" xr3:uid="{7673DB3F-2AB6-46E3-AD9B-BEC7BEC954B8}" name="Time entry no."/>
    <tableColumn id="2" xr3:uid="{4C2AC65D-50A1-4984-822E-562EA71FAF92}" name="Start time" dataDxfId="1391"/>
    <tableColumn id="3" xr3:uid="{5A6EEA9A-0B73-4999-BCD2-695E86410CF0}" name="End time" dataDxfId="1390"/>
    <tableColumn id="4" xr3:uid="{A850BA23-94A0-46A7-8992-3DD468E1ABEA}" name="Time delta in h" dataDxfId="1389">
      <calculatedColumnFormula>MAX((TimeEntries208218[[#This Row],[End time]]-TimeEntries208218[[#This Row],[Start time]])*24,0)</calculatedColumnFormula>
    </tableColumn>
    <tableColumn id="5" xr3:uid="{CDAA9529-2272-4A7E-A1DA-F4901CB8117E}" name="Now?"/>
    <tableColumn id="6" xr3:uid="{39662B14-367D-433F-A2B4-ACE211D260D5}" name="Action1" dataDxfId="1388" dataCellStyle="Hyperlink"/>
    <tableColumn id="7" xr3:uid="{32D1603C-02D3-4C7E-9DBA-EC1B621A7749}" name="Action2" dataDxfId="1387" dataCellStyle="Hyperlink"/>
  </tableColumns>
  <tableStyleInfo name="TableStyleDark1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BA5BFF6C-4EC6-4501-92F3-CFF1278A3766}" name="Tabelle7367209219" displayName="Tabelle7367209219" ref="I973:M980" totalsRowShown="0">
  <autoFilter ref="I973:M980" xr:uid="{2EBD84C3-E667-4563-8635-7A2E1D661DF7}"/>
  <tableColumns count="5">
    <tableColumn id="1" xr3:uid="{4F38458D-EE90-4E5F-9EB5-8ACB9912F64D}" name="Comparison entry no."/>
    <tableColumn id="2" xr3:uid="{49366460-181C-4F09-A630-4DE033C51EBD}" name="Propability Support point" dataDxfId="1386"/>
    <tableColumn id="3" xr3:uid="{2B9F1A49-1712-419A-8F27-3453AA580B1D}" name="EBS self time" dataDxfId="1385"/>
    <tableColumn id="4" xr3:uid="{E5146146-0869-4FF6-AB83-A4204DD345CE}" name="Total time">
      <calculatedColumnFormula>SUM(TimeEntries208218[Time delta in h])</calculatedColumnFormula>
    </tableColumn>
    <tableColumn id="5" xr3:uid="{E3E57371-1D38-488D-ADEC-4C0EC767513C}" name="Total time / Your estimate" dataDxfId="1384">
      <calculatedColumnFormula>Tabelle7367209219[[#This Row],[EBS self time]]/Tabelle7367209219[[#This Row],[Total time]]</calculatedColumnFormula>
    </tableColumn>
  </tableColumns>
  <tableStyleInfo name="TableStyleDark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A375E9C8-E52F-4876-A11A-E6790505FA4F}" name="TimeEntries210220" displayName="TimeEntries210220" ref="A998:G999" totalsRowShown="0">
  <autoFilter ref="A998:G999" xr:uid="{E4538C5F-C942-4071-BE7B-DBE34EAF9173}"/>
  <sortState xmlns:xlrd2="http://schemas.microsoft.com/office/spreadsheetml/2017/richdata2" ref="A999:E999">
    <sortCondition ref="A16:A17"/>
  </sortState>
  <tableColumns count="7">
    <tableColumn id="1" xr3:uid="{217E4EE0-2CD4-4FA1-8B21-E7F221D5009B}" name="Time entry no."/>
    <tableColumn id="2" xr3:uid="{608DD7F0-0228-45AA-89EB-2C9FB862E600}" name="Start time" dataDxfId="1383"/>
    <tableColumn id="3" xr3:uid="{1E925785-342F-4510-81A2-8B8FA8BCDDE2}" name="End time" dataDxfId="1382"/>
    <tableColumn id="4" xr3:uid="{F3A0DCD1-04EF-4C75-9356-D496AD9ABC56}" name="Time delta in h" dataDxfId="1381">
      <calculatedColumnFormula>MAX((TimeEntries210220[[#This Row],[End time]]-TimeEntries210220[[#This Row],[Start time]])*24,0)</calculatedColumnFormula>
    </tableColumn>
    <tableColumn id="5" xr3:uid="{8FEAF72D-07AF-497E-9CA3-427D301623F2}" name="Now?"/>
    <tableColumn id="6" xr3:uid="{1E9760A7-0E53-4602-9262-00837995B9E6}" name="Action1" dataDxfId="1380" dataCellStyle="Hyperlink"/>
    <tableColumn id="7" xr3:uid="{F328AA39-0DB6-40F5-85AE-D688924D6DAF}" name="Action2" dataDxfId="1379" dataCellStyle="Hyperlink"/>
  </tableColumns>
  <tableStyleInfo name="TableStyleDark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65D80325-C8AC-4161-9DF4-E1C4029B736E}" name="Tabelle7367211221" displayName="Tabelle7367211221" ref="I998:M999" totalsRowShown="0">
  <autoFilter ref="I998:M999" xr:uid="{EF27DBB6-9CC0-45F8-8BDE-111A64D20BD2}"/>
  <tableColumns count="5">
    <tableColumn id="1" xr3:uid="{213A5BAA-8683-4C77-ABC8-59256D57CC1C}" name="Comparison entry no."/>
    <tableColumn id="2" xr3:uid="{2A8A8984-FD3C-4D36-BCF3-B217D495CF84}" name="Propability Support point" dataDxfId="1378"/>
    <tableColumn id="3" xr3:uid="{4575C3FB-A01C-4E3E-B377-AA6D1C1F52F7}" name="EBS self time" dataDxfId="1377"/>
    <tableColumn id="4" xr3:uid="{0E4DD66E-D29A-4938-9D31-8CAA78E30CC0}" name="Total time">
      <calculatedColumnFormula>SUM(TimeEntries210220[Time delta in h])</calculatedColumnFormula>
    </tableColumn>
    <tableColumn id="5" xr3:uid="{593ADA13-69EA-4A61-A70B-DC6FDDD2EAD4}" name="Total time / Your estimate" dataDxfId="1376">
      <calculatedColumnFormula>Tabelle7367211221[[#This Row],[EBS self time]]/Tabelle7367211221[[#This Row],[Total time]]</calculatedColumnFormula>
    </tableColumn>
  </tableColumns>
  <tableStyleInfo name="TableStyleDark1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76035B58-CD8B-41EF-9F9D-C5B4786A23F8}" name="TimeEntries212222226236" displayName="TimeEntries212222226236" ref="A1018:G1019" totalsRowShown="0">
  <autoFilter ref="A1018:G1019" xr:uid="{51E11F64-4128-400D-9CD7-0A40E3BAA5A9}"/>
  <sortState xmlns:xlrd2="http://schemas.microsoft.com/office/spreadsheetml/2017/richdata2" ref="A1019:E1019">
    <sortCondition ref="A16:A17"/>
  </sortState>
  <tableColumns count="7">
    <tableColumn id="1" xr3:uid="{2EF844A7-C77F-4EE5-AB1D-FECA77CED56F}" name="Time entry no."/>
    <tableColumn id="2" xr3:uid="{CECC7C8B-D455-4249-AF68-22FEEDA91879}" name="Start time" dataDxfId="1375"/>
    <tableColumn id="3" xr3:uid="{5C29787E-929D-4F1A-9764-45D634CDAACB}" name="End time" dataDxfId="1374"/>
    <tableColumn id="4" xr3:uid="{29AECE77-E1C5-4C50-9120-F07E7B2E1BD4}" name="Time delta in h" dataDxfId="1373">
      <calculatedColumnFormula>MAX((TimeEntries212222226236[[#This Row],[End time]]-TimeEntries212222226236[[#This Row],[Start time]])*24,0)</calculatedColumnFormula>
    </tableColumn>
    <tableColumn id="5" xr3:uid="{48B11877-05A4-483F-93AC-22CC57608B1B}" name="Now?"/>
    <tableColumn id="6" xr3:uid="{79FDA65D-6278-464E-AE5A-451DEAF27574}" name="Action1" dataDxfId="1372" dataCellStyle="Hyperlink"/>
    <tableColumn id="7" xr3:uid="{273CC0BD-E79C-463E-A22E-7ABC933DC896}" name="Action2" dataDxfId="1371" dataCellStyle="Hyperlink"/>
  </tableColumns>
  <tableStyleInfo name="TableStyleDark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6" xr:uid="{71A91A93-D16A-4B06-8D6B-56F292B7C299}" name="Tabelle7367213223227237" displayName="Tabelle7367213223227237" ref="I1018:M1025" totalsRowShown="0">
  <autoFilter ref="I1018:M1025" xr:uid="{B0A6C7EF-5BF6-4068-A008-39281B772B6B}"/>
  <tableColumns count="5">
    <tableColumn id="1" xr3:uid="{59474969-9990-4F6B-BBB1-936A6EA3A3FF}" name="Comparison entry no."/>
    <tableColumn id="2" xr3:uid="{6F95E363-6A11-4032-ACBF-CCBBE1AF3F32}" name="Propability Support point" dataDxfId="1370"/>
    <tableColumn id="3" xr3:uid="{30531425-3B1A-4C82-9162-6F8B38B6D84C}" name="EBS self time" dataDxfId="1369"/>
    <tableColumn id="4" xr3:uid="{0BC4BE10-8C5C-464B-AB42-D6D8BC69F85D}" name="Total time">
      <calculatedColumnFormula>SUM(TimeEntries212222226236[Time delta in h])</calculatedColumnFormula>
    </tableColumn>
    <tableColumn id="5" xr3:uid="{66AE3D30-ED62-42B0-B6E4-D2AD7EF738B5}" name="Total time / Your estimate" dataDxfId="1368">
      <calculatedColumnFormula>Tabelle7367213223227237[[#This Row],[EBS self time]]/Tabelle7367213223227237[[#This Row],[Total time]]</calculatedColumnFormula>
    </tableColumn>
  </tableColumns>
  <tableStyleInfo name="TableStyleDark1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7" xr:uid="{7D392543-5FDB-4195-ACF7-632B4FA77E8F}" name="TimeEntries228238" displayName="TimeEntries228238" ref="A1043:G1044" totalsRowShown="0">
  <autoFilter ref="A1043:G1044" xr:uid="{096F28DE-2B92-478F-B1E8-01224D619039}"/>
  <sortState xmlns:xlrd2="http://schemas.microsoft.com/office/spreadsheetml/2017/richdata2" ref="A1044:E1044">
    <sortCondition ref="A16:A17"/>
  </sortState>
  <tableColumns count="7">
    <tableColumn id="1" xr3:uid="{92FAF944-EB30-47C7-AD23-A69ECD101CC3}" name="Time entry no."/>
    <tableColumn id="2" xr3:uid="{C0D0763B-A0E1-4B8F-8BAE-8B9498808E56}" name="Start time" dataDxfId="1367"/>
    <tableColumn id="3" xr3:uid="{1C386317-273A-41F4-AFEB-7C7861603E48}" name="End time" dataDxfId="1366"/>
    <tableColumn id="4" xr3:uid="{9DDE6920-6958-434D-91B4-7C3C972777BE}" name="Time delta in h" dataDxfId="1365">
      <calculatedColumnFormula>MAX((TimeEntries228238[[#This Row],[End time]]-TimeEntries228238[[#This Row],[Start time]])*24,0)</calculatedColumnFormula>
    </tableColumn>
    <tableColumn id="5" xr3:uid="{015459F0-4036-4FD1-8BB4-12EB8BE31BFC}" name="Now?"/>
    <tableColumn id="6" xr3:uid="{50B9E858-BF4A-46B3-8D23-D0EC6BB245E6}" name="Action1" dataDxfId="1364" dataCellStyle="Hyperlink"/>
    <tableColumn id="7" xr3:uid="{EE253DE3-200B-433D-A69D-A64AD82BC5E8}" name="Action2" dataDxfId="1363" dataCellStyle="Hyperlink"/>
  </tableColumns>
  <tableStyleInfo name="TableStyleDark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8" xr:uid="{8B4E380E-C053-4DEB-A0B5-6FD7B30E5FCC}" name="Tabelle7367229239" displayName="Tabelle7367229239" ref="I1043:M1050" totalsRowShown="0">
  <autoFilter ref="I1043:M1050" xr:uid="{76E2F734-9E10-4FF9-9A00-4DEBDE16FAEA}"/>
  <tableColumns count="5">
    <tableColumn id="1" xr3:uid="{B7A59C37-2B4A-4821-82DF-CB3F6A2E22FC}" name="Comparison entry no."/>
    <tableColumn id="2" xr3:uid="{D01B1BF9-9C27-420A-B7A8-D14D541D5804}" name="Propability Support point" dataDxfId="1362"/>
    <tableColumn id="3" xr3:uid="{27EBA42C-4C01-4552-B3F3-187C1E78387E}" name="EBS self time" dataDxfId="1361"/>
    <tableColumn id="4" xr3:uid="{E9214CAC-8070-4EE5-9542-B4A332457806}" name="Total time">
      <calculatedColumnFormula>SUM(TimeEntries228238[Time delta in h])</calculatedColumnFormula>
    </tableColumn>
    <tableColumn id="5" xr3:uid="{47DABE78-55F6-4B3C-9360-CFCED669146F}" name="Total time / Your estimate" dataDxfId="1360">
      <calculatedColumnFormula>Tabelle7367229239[[#This Row],[EBS self time]]/Tabelle7367229239[[#This Row],[Total time]]</calculatedColumnFormula>
    </tableColumn>
  </tableColumns>
  <tableStyleInfo name="TableStyleDark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9" xr:uid="{9FAF596D-8BD5-4868-8811-A667D4FEDB5B}" name="TimeEntries230240" displayName="TimeEntries230240" ref="A1068:G1069" totalsRowShown="0">
  <autoFilter ref="A1068:G1069" xr:uid="{6FA53255-11A3-4920-B182-1A29504478F5}"/>
  <sortState xmlns:xlrd2="http://schemas.microsoft.com/office/spreadsheetml/2017/richdata2" ref="A1069:E1069">
    <sortCondition ref="A16:A17"/>
  </sortState>
  <tableColumns count="7">
    <tableColumn id="1" xr3:uid="{5E082849-2DD6-46BF-B817-EB39F19EB7B7}" name="Time entry no."/>
    <tableColumn id="2" xr3:uid="{5F559E01-70A1-43FC-A499-D6BB6C3389EB}" name="Start time" dataDxfId="1359"/>
    <tableColumn id="3" xr3:uid="{1E4DDEF5-54D0-4EFC-9B20-FA17B33B056F}" name="End time" dataDxfId="1358"/>
    <tableColumn id="4" xr3:uid="{E1D94547-B58E-479A-916B-CDB37725B7D1}" name="Time delta in h" dataDxfId="1357">
      <calculatedColumnFormula>MAX((TimeEntries230240[[#This Row],[End time]]-TimeEntries230240[[#This Row],[Start time]])*24,0)</calculatedColumnFormula>
    </tableColumn>
    <tableColumn id="5" xr3:uid="{4D655BD0-389F-4521-B73D-5F7E45F114D5}" name="Now?"/>
    <tableColumn id="6" xr3:uid="{6147A042-E56B-4E54-A41B-AEC5EEC3F3E9}" name="Action1" dataDxfId="1356" dataCellStyle="Hyperlink"/>
    <tableColumn id="7" xr3:uid="{95AC0CA5-892A-419E-8DC7-701DD03DD347}" name="Action2" dataDxfId="1355" dataCellStyle="Hyperlink"/>
  </tableColumns>
  <tableStyleInfo name="TableStyleDark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0" xr:uid="{99E1B319-1B28-4822-9669-9C923880AA57}" name="Tabelle7367231241" displayName="Tabelle7367231241" ref="I1068:M1069" totalsRowShown="0">
  <autoFilter ref="I1068:M1069" xr:uid="{A1ACADE2-F3F8-4E3A-9001-BA8E6CE87C45}"/>
  <tableColumns count="5">
    <tableColumn id="1" xr3:uid="{36C02520-6DCA-4BD5-B076-B85E3CDB0AD6}" name="Comparison entry no."/>
    <tableColumn id="2" xr3:uid="{263CC425-E9DD-4548-BC2B-80E4DC17F817}" name="Propability Support point" dataDxfId="1354"/>
    <tableColumn id="3" xr3:uid="{9EC3A08A-30D9-42AD-A647-8A42F0BA49E0}" name="EBS self time" dataDxfId="1353"/>
    <tableColumn id="4" xr3:uid="{FB80CF28-6BF9-4F9C-94E9-67C54F9A28A6}" name="Total time">
      <calculatedColumnFormula>SUM(TimeEntries230240[Time delta in h])</calculatedColumnFormula>
    </tableColumn>
    <tableColumn id="5" xr3:uid="{FBFCD019-BC45-472B-8774-FE88CE841778}" name="Total time / Your estimate" dataDxfId="1352">
      <calculatedColumnFormula>Tabelle7367231241[[#This Row],[EBS self time]]/Tabelle7367231241[[#This Row],[Total time]]</calculatedColumnFormula>
    </tableColumn>
  </tableColumns>
  <tableStyleInfo name="TableStyleDark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3837AC02-9F57-4235-B833-AFD10A327A22}" name="TimeEntries232242" displayName="TimeEntries232242" ref="A1088:G1089" totalsRowShown="0">
  <autoFilter ref="A1088:G1089" xr:uid="{B1402E52-72A0-4439-8012-D67FF7C48024}"/>
  <sortState xmlns:xlrd2="http://schemas.microsoft.com/office/spreadsheetml/2017/richdata2" ref="A1089:E1089">
    <sortCondition ref="A16:A17"/>
  </sortState>
  <tableColumns count="7">
    <tableColumn id="1" xr3:uid="{DA5902B0-91EC-4349-8CB9-A3EB0B916511}" name="Time entry no."/>
    <tableColumn id="2" xr3:uid="{CA74AD35-A282-44C7-9F54-15540C98EF59}" name="Start time" dataDxfId="1351"/>
    <tableColumn id="3" xr3:uid="{3B75B090-4510-4A10-9CA5-5360A5D14713}" name="End time" dataDxfId="1350"/>
    <tableColumn id="4" xr3:uid="{3C9E2841-2F3F-4EBB-BA1E-0613297D27ED}" name="Time delta in h" dataDxfId="1349">
      <calculatedColumnFormula>MAX((TimeEntries232242[[#This Row],[End time]]-TimeEntries232242[[#This Row],[Start time]])*24,0)</calculatedColumnFormula>
    </tableColumn>
    <tableColumn id="5" xr3:uid="{601DF032-CAA9-4139-87B8-12150A0CFDCB}" name="Now?"/>
    <tableColumn id="6" xr3:uid="{FF82AA3C-BE8A-4D0E-A179-EB06343B19AA}" name="Action1" dataDxfId="1348" dataCellStyle="Hyperlink"/>
    <tableColumn id="7" xr3:uid="{E79C0115-56F1-4C59-A9C4-DF432DB48291}" name="Action2" dataDxfId="1347" dataCellStyle="Hyperlink"/>
  </tableColumns>
  <tableStyleInfo name="TableStyleDark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2" xr:uid="{3AC6F4C3-98DF-40D7-879A-2CC211D1CFD0}" name="Tabelle7367233243" displayName="Tabelle7367233243" ref="I1088:M1095" totalsRowShown="0">
  <autoFilter ref="I1088:M1095" xr:uid="{AD1A1085-A2FB-496D-9DC5-9BCE63CF46AD}"/>
  <tableColumns count="5">
    <tableColumn id="1" xr3:uid="{DCBDD73C-AA1B-40EE-9D51-70E9248D423C}" name="Comparison entry no."/>
    <tableColumn id="2" xr3:uid="{EE98BA23-B9AF-4619-B4BF-A392EEA3EB87}" name="Propability Support point" dataDxfId="1346"/>
    <tableColumn id="3" xr3:uid="{7F663EC1-42C0-4048-AE4B-70F7A10CBAFF}" name="EBS self time" dataDxfId="1345"/>
    <tableColumn id="4" xr3:uid="{1B4D2160-6EA7-464C-9806-A2DFD7E3BF2B}" name="Total time">
      <calculatedColumnFormula>SUM(TimeEntries232242[Time delta in h])</calculatedColumnFormula>
    </tableColumn>
    <tableColumn id="5" xr3:uid="{DBA512D3-0BA2-427C-810A-B158CCBAF596}" name="Total time / Your estimate" dataDxfId="1344">
      <calculatedColumnFormula>Tabelle7367233243[[#This Row],[EBS self time]]/Tabelle7367233243[[#This Row],[Total time]]</calculatedColumnFormula>
    </tableColumn>
  </tableColumns>
  <tableStyleInfo name="TableStyleDark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7" xr:uid="{1D3F51A6-EC14-4627-BA0B-33B354FC0972}" name="TimeEntries234244248258" displayName="TimeEntries234244248258" ref="A1113:G1114" totalsRowShown="0">
  <autoFilter ref="A1113:G1114" xr:uid="{7F46A907-DFA6-4BF0-AF8A-BEDA574906E8}"/>
  <sortState xmlns:xlrd2="http://schemas.microsoft.com/office/spreadsheetml/2017/richdata2" ref="A1114:E1114">
    <sortCondition ref="A16:A17"/>
  </sortState>
  <tableColumns count="7">
    <tableColumn id="1" xr3:uid="{AC19C14A-AB60-4FC1-8183-E9173D1AF179}" name="Time entry no."/>
    <tableColumn id="2" xr3:uid="{4F1AB97F-BDA1-4304-9616-6490E2D8DE33}" name="Start time" dataDxfId="1343"/>
    <tableColumn id="3" xr3:uid="{A540CE57-8BA8-4AEA-9C74-EC62CB2DF9C1}" name="End time" dataDxfId="1342"/>
    <tableColumn id="4" xr3:uid="{A20CEC21-5B1C-446A-9493-25192F5A150A}" name="Time delta in h" dataDxfId="1341">
      <calculatedColumnFormula>MAX((TimeEntries234244248258[[#This Row],[End time]]-TimeEntries234244248258[[#This Row],[Start time]])*24,0)</calculatedColumnFormula>
    </tableColumn>
    <tableColumn id="5" xr3:uid="{740B3213-EF62-467A-A81D-3406E981ACC2}" name="Now?"/>
    <tableColumn id="6" xr3:uid="{56602434-5DFA-4B7E-ACF6-A1184CC50DAB}" name="Action1" dataDxfId="1340" dataCellStyle="Hyperlink"/>
    <tableColumn id="7" xr3:uid="{7A8BF4C3-E18D-4FD6-B027-433367A75865}" name="Action2" dataDxfId="1339" dataCellStyle="Hyperlink"/>
  </tableColumns>
  <tableStyleInfo name="TableStyleDark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8" xr:uid="{D9620A6D-459C-4714-B9C7-3690FA49BBDA}" name="Tabelle7367235245249259" displayName="Tabelle7367235245249259" ref="I1113:M1120" totalsRowShown="0">
  <autoFilter ref="I1113:M1120" xr:uid="{DDAE532F-0A97-49C7-9EC9-72D3C1B867DA}"/>
  <tableColumns count="5">
    <tableColumn id="1" xr3:uid="{A7BA706E-18DC-45EF-9A8A-EBE263A1667E}" name="Comparison entry no."/>
    <tableColumn id="2" xr3:uid="{7E1E11FC-E642-4AFA-8BF1-F5747E3A28E2}" name="Propability Support point" dataDxfId="1338"/>
    <tableColumn id="3" xr3:uid="{C1D5B9A6-F7B9-4424-865C-CB69101A46E8}" name="EBS self time" dataDxfId="1337"/>
    <tableColumn id="4" xr3:uid="{82F8B238-3744-4CE2-B555-AE47EBE13B0E}" name="Total time">
      <calculatedColumnFormula>SUM(TimeEntries234244248258[Time delta in h])</calculatedColumnFormula>
    </tableColumn>
    <tableColumn id="5" xr3:uid="{27CD24AF-DEDC-436B-A82D-B0F5FD516766}" name="Total time / Your estimate" dataDxfId="1336">
      <calculatedColumnFormula>Tabelle7367235245249259[[#This Row],[EBS self time]]/Tabelle7367235245249259[[#This Row],[Total time]]</calculatedColumnFormula>
    </tableColumn>
  </tableColumns>
  <tableStyleInfo name="TableStyleDark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9" xr:uid="{7CCE9EF7-5C1B-4DBF-A37A-9E1A2F4892AE}" name="TimeEntries250260" displayName="TimeEntries250260" ref="A1138:G1139" totalsRowShown="0">
  <autoFilter ref="A1138:G1139" xr:uid="{466C8E10-6B28-48B7-A43C-158624588FCA}"/>
  <sortState xmlns:xlrd2="http://schemas.microsoft.com/office/spreadsheetml/2017/richdata2" ref="A1139:E1139">
    <sortCondition ref="A16:A17"/>
  </sortState>
  <tableColumns count="7">
    <tableColumn id="1" xr3:uid="{73DEC013-5370-458E-8230-34F47D78C01B}" name="Time entry no."/>
    <tableColumn id="2" xr3:uid="{DF69CAAE-0C6B-4289-8D7F-9EDBCE1B1087}" name="Start time" dataDxfId="1335"/>
    <tableColumn id="3" xr3:uid="{0F6DFAAF-F4B0-464C-9533-9C5850DDCE3C}" name="End time" dataDxfId="1334"/>
    <tableColumn id="4" xr3:uid="{61C9E5EF-C66D-4CE5-A926-ADEAC1E0C56A}" name="Time delta in h" dataDxfId="1333">
      <calculatedColumnFormula>MAX((TimeEntries250260[[#This Row],[End time]]-TimeEntries250260[[#This Row],[Start time]])*24,0)</calculatedColumnFormula>
    </tableColumn>
    <tableColumn id="5" xr3:uid="{90A822C5-389B-40B6-84E0-CDF21EA52DDD}" name="Now?"/>
    <tableColumn id="6" xr3:uid="{D982EA94-801E-4B63-B9B4-8AA52B748E16}" name="Action1" dataDxfId="1332" dataCellStyle="Hyperlink"/>
    <tableColumn id="7" xr3:uid="{E3A0A4AC-B584-4E4E-8096-7D8991A1A53A}" name="Action2" dataDxfId="1331" dataCellStyle="Hyperlink"/>
  </tableColumns>
  <tableStyleInfo name="TableStyleDark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8EA34C58-A4D2-4923-A03F-F47CBE39AB22}" name="Tabelle7367251261" displayName="Tabelle7367251261" ref="I1138:M1139" totalsRowShown="0">
  <autoFilter ref="I1138:M1139" xr:uid="{74AB7527-1E00-4227-A5E1-0F5A7D63267F}"/>
  <tableColumns count="5">
    <tableColumn id="1" xr3:uid="{3F17FA59-5765-4209-9802-4E66D9E9824B}" name="Comparison entry no."/>
    <tableColumn id="2" xr3:uid="{3024E515-0CC1-49A9-A1C6-C938058F90D2}" name="Propability Support point" dataDxfId="1330"/>
    <tableColumn id="3" xr3:uid="{45589A32-BB01-41A2-AE0B-8055D974A28B}" name="EBS self time" dataDxfId="1329"/>
    <tableColumn id="4" xr3:uid="{DDBFBE32-B904-4AE4-A457-EECF34E06309}" name="Total time">
      <calculatedColumnFormula>SUM(TimeEntries250260[Time delta in h])</calculatedColumnFormula>
    </tableColumn>
    <tableColumn id="5" xr3:uid="{641C3949-502D-4ABC-BEAF-287743AFC166}" name="Total time / Your estimate" dataDxfId="1328">
      <calculatedColumnFormula>Tabelle7367251261[[#This Row],[EBS self time]]/Tabelle7367251261[[#This Row],[Total time]]</calculatedColumnFormula>
    </tableColumn>
  </tableColumns>
  <tableStyleInfo name="TableStyleDark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1" xr:uid="{CF32D3B9-69FD-4451-AB45-C8480FF74CEB}" name="TimeEntries252262" displayName="TimeEntries252262" ref="A1158:G1159" totalsRowShown="0">
  <autoFilter ref="A1158:G1159" xr:uid="{B6AA4BC4-CF16-43C0-BD7E-C60556900856}"/>
  <sortState xmlns:xlrd2="http://schemas.microsoft.com/office/spreadsheetml/2017/richdata2" ref="A1159:E1159">
    <sortCondition ref="A16:A17"/>
  </sortState>
  <tableColumns count="7">
    <tableColumn id="1" xr3:uid="{C64E3AB1-8FB3-4E45-B433-E099FED2AE00}" name="Time entry no."/>
    <tableColumn id="2" xr3:uid="{128AD027-C0ED-4856-B5B5-595BAF504A8C}" name="Start time" dataDxfId="1327"/>
    <tableColumn id="3" xr3:uid="{2E5C58AE-092F-4EA5-BE29-DDF651365E90}" name="End time" dataDxfId="1326"/>
    <tableColumn id="4" xr3:uid="{B65BA627-56D3-44FE-9081-7CD994665D51}" name="Time delta in h" dataDxfId="1325">
      <calculatedColumnFormula>MAX((TimeEntries252262[[#This Row],[End time]]-TimeEntries252262[[#This Row],[Start time]])*24,0)</calculatedColumnFormula>
    </tableColumn>
    <tableColumn id="5" xr3:uid="{F36FE2C6-6F5F-4459-A16B-7743447BCD4F}" name="Now?"/>
    <tableColumn id="6" xr3:uid="{810CEB0C-36AF-4F11-A961-B3EBF1579738}" name="Action1" dataDxfId="1324" dataCellStyle="Hyperlink"/>
    <tableColumn id="7" xr3:uid="{46A5BFA7-6FA5-462A-A6C5-C6D846C10D56}" name="Action2" dataDxfId="1323" dataCellStyle="Hyperlink"/>
  </tableColumns>
  <tableStyleInfo name="TableStyleDark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2" xr:uid="{4B4DD1ED-0D39-45C1-BD67-AB82D7AFDDC7}" name="Tabelle7367253263" displayName="Tabelle7367253263" ref="I1158:M1165" totalsRowShown="0">
  <autoFilter ref="I1158:M1165" xr:uid="{42EC5377-2EA5-4DAC-B654-BBE557B54D5A}"/>
  <tableColumns count="5">
    <tableColumn id="1" xr3:uid="{7FCB3683-FA1E-4C31-BD55-142D09DE9898}" name="Comparison entry no."/>
    <tableColumn id="2" xr3:uid="{ED3A1068-A50A-4191-B415-E579F904D244}" name="Propability Support point" dataDxfId="1322"/>
    <tableColumn id="3" xr3:uid="{9C4D4115-8352-40F0-8DE8-FAB9524C09F9}" name="EBS self time" dataDxfId="1321"/>
    <tableColumn id="4" xr3:uid="{272F2EBC-902A-448D-9284-8B20214C04B4}" name="Total time">
      <calculatedColumnFormula>SUM(TimeEntries252262[Time delta in h])</calculatedColumnFormula>
    </tableColumn>
    <tableColumn id="5" xr3:uid="{75F72D1D-4A24-4606-9F5B-567BE9B5EC49}" name="Total time / Your estimate" dataDxfId="1320">
      <calculatedColumnFormula>Tabelle7367253263[[#This Row],[EBS self time]]/Tabelle7367253263[[#This Row],[Total time]]</calculatedColumnFormula>
    </tableColumn>
  </tableColumns>
  <tableStyleInfo name="TableStyleDark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3" xr:uid="{6A4C3C1D-353D-4549-979C-DBE69645EE76}" name="TimeEntries254264" displayName="TimeEntries254264" ref="A1183:G1184" totalsRowShown="0">
  <autoFilter ref="A1183:G1184" xr:uid="{844ABF70-9D64-4B72-9B12-257A20E4B0BC}"/>
  <sortState xmlns:xlrd2="http://schemas.microsoft.com/office/spreadsheetml/2017/richdata2" ref="A1184:E1184">
    <sortCondition ref="A16:A17"/>
  </sortState>
  <tableColumns count="7">
    <tableColumn id="1" xr3:uid="{E0350F43-7BEB-466A-936A-081D9D4CDD49}" name="Time entry no."/>
    <tableColumn id="2" xr3:uid="{FC2C60B3-010B-4489-9E9B-439F5C0BF333}" name="Start time" dataDxfId="1319"/>
    <tableColumn id="3" xr3:uid="{A713C7E2-CFEB-42A1-ABE1-D7BACE42EAC3}" name="End time" dataDxfId="1318"/>
    <tableColumn id="4" xr3:uid="{3E37D6D9-7FA1-44B2-B02B-3DF53D2C348E}" name="Time delta in h" dataDxfId="1317">
      <calculatedColumnFormula>MAX((TimeEntries254264[[#This Row],[End time]]-TimeEntries254264[[#This Row],[Start time]])*24,0)</calculatedColumnFormula>
    </tableColumn>
    <tableColumn id="5" xr3:uid="{E629858A-3827-4487-9231-B7DD37F418C3}" name="Now?"/>
    <tableColumn id="6" xr3:uid="{0F32800A-32DE-4859-8A29-8282554A4595}" name="Action1" dataDxfId="1316" dataCellStyle="Hyperlink"/>
    <tableColumn id="7" xr3:uid="{DB16F136-5437-4EF8-87E0-25A13A499BD1}" name="Action2" dataDxfId="1315" dataCellStyle="Hyperlink"/>
  </tableColumns>
  <tableStyleInfo name="TableStyleDark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4" xr:uid="{38FB975F-7A9D-40B1-9B1B-37D525FBE55B}" name="Tabelle7367255265" displayName="Tabelle7367255265" ref="I1183:M1184" totalsRowShown="0">
  <autoFilter ref="I1183:M1184" xr:uid="{DD7908C0-9669-49D7-B2D3-81CDD1084837}"/>
  <tableColumns count="5">
    <tableColumn id="1" xr3:uid="{7F956505-C73B-406D-97F0-119393C304A0}" name="Comparison entry no."/>
    <tableColumn id="2" xr3:uid="{7764450B-DEA1-41AC-B02C-2720E41B5BA5}" name="Propability Support point" dataDxfId="1314"/>
    <tableColumn id="3" xr3:uid="{F67927F7-6F5A-47B2-9725-5B6939C62BA2}" name="EBS self time" dataDxfId="1313"/>
    <tableColumn id="4" xr3:uid="{FBEB78EF-90F4-4B1A-9405-888A426C5424}" name="Total time">
      <calculatedColumnFormula>SUM(TimeEntries254264[Time delta in h])</calculatedColumnFormula>
    </tableColumn>
    <tableColumn id="5" xr3:uid="{46B84013-DD00-4B70-A91F-7C3382B0C239}" name="Total time / Your estimate" dataDxfId="1312">
      <calculatedColumnFormula>Tabelle7367255265[[#This Row],[EBS self time]]/Tabelle7367255265[[#This Row],[Total time]]</calculatedColumnFormula>
    </tableColumn>
  </tableColumns>
  <tableStyleInfo name="TableStyleDark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9" xr:uid="{0C631581-9124-40F6-997B-E17C4C4AB45B}" name="TimeEntries256266270280" displayName="TimeEntries256266270280" ref="A1203:G1204" totalsRowShown="0">
  <autoFilter ref="A1203:G1204" xr:uid="{A82282E0-4F51-4AC4-A2A0-81A2ECC847C4}"/>
  <sortState xmlns:xlrd2="http://schemas.microsoft.com/office/spreadsheetml/2017/richdata2" ref="A1204:E1204">
    <sortCondition ref="A16:A17"/>
  </sortState>
  <tableColumns count="7">
    <tableColumn id="1" xr3:uid="{E889970D-CDCF-42B4-8F2C-A6E4586F79E3}" name="Time entry no."/>
    <tableColumn id="2" xr3:uid="{BD7A5854-F774-4101-8016-2421822D70B0}" name="Start time" dataDxfId="1311"/>
    <tableColumn id="3" xr3:uid="{6507C0B9-03B8-431E-9D03-B72D860C0708}" name="End time" dataDxfId="1310"/>
    <tableColumn id="4" xr3:uid="{F708066D-D2D4-4464-9717-A1E90E28E406}" name="Time delta in h" dataDxfId="1309">
      <calculatedColumnFormula>MAX((TimeEntries256266270280[[#This Row],[End time]]-TimeEntries256266270280[[#This Row],[Start time]])*24,0)</calculatedColumnFormula>
    </tableColumn>
    <tableColumn id="5" xr3:uid="{41EAFEDC-22F0-4C50-AAAD-B10341F6D808}" name="Now?"/>
    <tableColumn id="6" xr3:uid="{5F008C3D-F6B4-4326-B928-3405C4BD3078}" name="Action1" dataDxfId="1308" dataCellStyle="Hyperlink"/>
    <tableColumn id="7" xr3:uid="{04FC97B7-FF29-4037-AE78-C70BEA16E64C}" name="Action2" dataDxfId="1307" dataCellStyle="Hyperlink"/>
  </tableColumns>
  <tableStyleInfo name="TableStyleDark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" xr:uid="{EBEC5CC7-FEE7-4F97-8AA7-2DEFD1D6D5AB}" name="Tabelle7367257267271281" displayName="Tabelle7367257267271281" ref="I1203:M1204" totalsRowShown="0">
  <autoFilter ref="I1203:M1204" xr:uid="{832B4886-9BF5-4DA7-AA36-9901B9F30AEC}"/>
  <tableColumns count="5">
    <tableColumn id="1" xr3:uid="{E66E7AC6-DE72-42A8-A5B0-2C01588A391F}" name="Comparison entry no."/>
    <tableColumn id="2" xr3:uid="{54F28928-928F-4A00-9DE1-CAD32F9640DD}" name="Propability Support point" dataDxfId="1306"/>
    <tableColumn id="3" xr3:uid="{E90A4774-4616-4EF6-AB32-AA4EA6C69361}" name="EBS self time" dataDxfId="1305"/>
    <tableColumn id="4" xr3:uid="{6A6817F8-9046-427B-93E9-84A929D563DA}" name="Total time">
      <calculatedColumnFormula>SUM(TimeEntries256266270280[Time delta in h])</calculatedColumnFormula>
    </tableColumn>
    <tableColumn id="5" xr3:uid="{71CEC4EF-5DA9-4845-97A6-B5831928BAB0}" name="Total time / Your estimate" dataDxfId="1304">
      <calculatedColumnFormula>Tabelle7367257267271281[[#This Row],[EBS self time]]/Tabelle7367257267271281[[#This Row],[Total time]]</calculatedColumnFormula>
    </tableColumn>
  </tableColumns>
  <tableStyleInfo name="TableStyleDark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1" xr:uid="{7E99B0EB-79CA-4D89-803D-03158BC52D29}" name="TimeEntries272282" displayName="TimeEntries272282" ref="A1223:G1224" totalsRowShown="0">
  <autoFilter ref="A1223:G1224" xr:uid="{221915DD-79A9-4563-9EBA-D2F3821E5312}"/>
  <sortState xmlns:xlrd2="http://schemas.microsoft.com/office/spreadsheetml/2017/richdata2" ref="A1224:E1224">
    <sortCondition ref="A16:A17"/>
  </sortState>
  <tableColumns count="7">
    <tableColumn id="1" xr3:uid="{96A0332C-BE57-4988-9362-8CD5BAA98BF0}" name="Time entry no."/>
    <tableColumn id="2" xr3:uid="{1963B4CA-38DA-4393-B7B1-D1353E127F76}" name="Start time" dataDxfId="1303"/>
    <tableColumn id="3" xr3:uid="{A87B6801-DE56-4522-936B-82EF60D7E518}" name="End time" dataDxfId="1302"/>
    <tableColumn id="4" xr3:uid="{D73D2BEE-0D9E-4C69-B7CE-277CEF73D0E5}" name="Time delta in h" dataDxfId="1301">
      <calculatedColumnFormula>MAX((TimeEntries272282[[#This Row],[End time]]-TimeEntries272282[[#This Row],[Start time]])*24,0)</calculatedColumnFormula>
    </tableColumn>
    <tableColumn id="5" xr3:uid="{BD927B3B-8D73-4100-908C-E4C26EF5D615}" name="Now?"/>
    <tableColumn id="6" xr3:uid="{DC157A6F-5105-4AC1-8FC8-481D5AB6E3CA}" name="Action1" dataDxfId="1300" dataCellStyle="Hyperlink"/>
    <tableColumn id="7" xr3:uid="{289779FB-9917-4A8B-9339-885CE43A502C}" name="Action2" dataDxfId="1299" dataCellStyle="Hyperlink"/>
  </tableColumns>
  <tableStyleInfo name="TableStyleDark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2" xr:uid="{1C360972-3DE0-431F-847F-6CC48F2AE596}" name="Tabelle7367273283" displayName="Tabelle7367273283" ref="I1223:M1224" totalsRowShown="0">
  <autoFilter ref="I1223:M1224" xr:uid="{0199B8F8-D26F-4916-9FBD-91534273D0D8}"/>
  <tableColumns count="5">
    <tableColumn id="1" xr3:uid="{8B95BC19-5A64-4B02-9474-E78D750D9314}" name="Comparison entry no."/>
    <tableColumn id="2" xr3:uid="{2484BA95-6253-4FA2-A4E6-DCD74CC6818D}" name="Propability Support point" dataDxfId="1298"/>
    <tableColumn id="3" xr3:uid="{288077D8-26A5-4A11-917B-A62CFFF079AD}" name="EBS self time" dataDxfId="1297"/>
    <tableColumn id="4" xr3:uid="{FFB48FB2-626E-4ABE-80B6-A641531C435A}" name="Total time">
      <calculatedColumnFormula>SUM(TimeEntries272282[Time delta in h])</calculatedColumnFormula>
    </tableColumn>
    <tableColumn id="5" xr3:uid="{C06487E6-A137-4439-BE9D-6D4AC65BB728}" name="Total time / Your estimate" dataDxfId="1296">
      <calculatedColumnFormula>Tabelle7367273283[[#This Row],[EBS self time]]/Tabelle7367273283[[#This Row],[Total time]]</calculatedColumnFormula>
    </tableColumn>
  </tableColumns>
  <tableStyleInfo name="TableStyleDark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3" xr:uid="{74A64A14-FA49-41FB-B9DA-E77588B99DCA}" name="TimeEntries274284" displayName="TimeEntries274284" ref="A1243:G1244" totalsRowShown="0">
  <autoFilter ref="A1243:G1244" xr:uid="{D8198E29-4AC4-435A-8DCB-59CCB73287CB}"/>
  <sortState xmlns:xlrd2="http://schemas.microsoft.com/office/spreadsheetml/2017/richdata2" ref="A1244:E1244">
    <sortCondition ref="A16:A17"/>
  </sortState>
  <tableColumns count="7">
    <tableColumn id="1" xr3:uid="{E725AC74-98C6-4813-A075-2358B691E23F}" name="Time entry no."/>
    <tableColumn id="2" xr3:uid="{FC09D920-8CC8-4198-81DF-89BB6076F5A4}" name="Start time" dataDxfId="1295"/>
    <tableColumn id="3" xr3:uid="{EF7B4F5F-1815-407F-89C0-90896AE7849C}" name="End time" dataDxfId="1294"/>
    <tableColumn id="4" xr3:uid="{81B4945F-940F-42D6-BF02-A4929FCDE435}" name="Time delta in h" dataDxfId="1293">
      <calculatedColumnFormula>MAX((TimeEntries274284[[#This Row],[End time]]-TimeEntries274284[[#This Row],[Start time]])*24,0)</calculatedColumnFormula>
    </tableColumn>
    <tableColumn id="5" xr3:uid="{1ACED1F7-4293-46FA-A0B0-E0C2C7BA1774}" name="Now?"/>
    <tableColumn id="6" xr3:uid="{1391687A-BBD8-4B19-9076-C436411FD84C}" name="Action1" dataDxfId="1292" dataCellStyle="Hyperlink"/>
    <tableColumn id="7" xr3:uid="{EAFF2CA5-64B0-4C80-B2FE-7EE10E3B00B9}" name="Action2" dataDxfId="1291" dataCellStyle="Hyperlink"/>
  </tableColumns>
  <tableStyleInfo name="TableStyleDark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4" xr:uid="{C75DF3CE-2372-4060-A42D-4B0E149DBF99}" name="Tabelle7367275285" displayName="Tabelle7367275285" ref="I1243:M1250" totalsRowShown="0">
  <autoFilter ref="I1243:M1250" xr:uid="{2F03D438-D898-49A2-91A1-E0E5718B26E7}"/>
  <tableColumns count="5">
    <tableColumn id="1" xr3:uid="{6BA5C895-2672-4E38-8390-BB86804317C7}" name="Comparison entry no."/>
    <tableColumn id="2" xr3:uid="{4F8F222A-4EED-4114-91A0-346312A301E5}" name="Propability Support point" dataDxfId="1290"/>
    <tableColumn id="3" xr3:uid="{7EB612EA-AB23-48F5-8A07-72D96BEA0514}" name="EBS self time" dataDxfId="1289"/>
    <tableColumn id="4" xr3:uid="{D0F6CE3A-D708-4223-9340-105A94760884}" name="Total time">
      <calculatedColumnFormula>SUM(TimeEntries274284[Time delta in h])</calculatedColumnFormula>
    </tableColumn>
    <tableColumn id="5" xr3:uid="{CD90B509-F398-4AA6-BFB2-595F78DACCBE}" name="Total time / Your estimate" dataDxfId="1288">
      <calculatedColumnFormula>Tabelle7367275285[[#This Row],[EBS self time]]/Tabelle7367275285[[#This Row],[Total time]]</calculatedColumnFormula>
    </tableColumn>
  </tableColumns>
  <tableStyleInfo name="TableStyleDark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5" xr:uid="{8DD1823C-5DFE-49C6-986A-E2F02A186D25}" name="TimeEntries276286" displayName="TimeEntries276286" ref="A1268:G1269" totalsRowShown="0">
  <autoFilter ref="A1268:G1269" xr:uid="{9E3A02AE-3A71-4F8D-AC50-2AA17F94B087}"/>
  <sortState xmlns:xlrd2="http://schemas.microsoft.com/office/spreadsheetml/2017/richdata2" ref="A1269:E1269">
    <sortCondition ref="A16:A17"/>
  </sortState>
  <tableColumns count="7">
    <tableColumn id="1" xr3:uid="{DA014A8B-040A-491B-9C4B-40C7BA2F496B}" name="Time entry no."/>
    <tableColumn id="2" xr3:uid="{4DDFDAC6-D666-4DD6-8080-5C587028A45B}" name="Start time" dataDxfId="1287"/>
    <tableColumn id="3" xr3:uid="{F5A741CB-938C-430B-ABE1-00FC89AA956C}" name="End time" dataDxfId="1286"/>
    <tableColumn id="4" xr3:uid="{08971155-650D-41BF-8264-5C6064FE95CF}" name="Time delta in h" dataDxfId="1285">
      <calculatedColumnFormula>MAX((TimeEntries276286[[#This Row],[End time]]-TimeEntries276286[[#This Row],[Start time]])*24,0)</calculatedColumnFormula>
    </tableColumn>
    <tableColumn id="5" xr3:uid="{1D9C3982-6E59-4D6F-9E6D-D4E789B954EB}" name="Now?"/>
    <tableColumn id="6" xr3:uid="{5621935B-0399-4085-AD38-8DC9845AD87E}" name="Action1" dataDxfId="1284" dataCellStyle="Hyperlink"/>
    <tableColumn id="7" xr3:uid="{413A7A0D-CE1B-4FC8-B081-BF9DE0E60266}" name="Action2" dataDxfId="1283" dataCellStyle="Hyperlink"/>
  </tableColumns>
  <tableStyleInfo name="TableStyleDark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6" xr:uid="{34D7AAAB-D96A-496C-9654-8CBB8705C70D}" name="Tabelle7367277287" displayName="Tabelle7367277287" ref="I1268:M1275" totalsRowShown="0">
  <autoFilter ref="I1268:M1275" xr:uid="{813DE791-0F06-49B3-B39B-552AA7D6C0B4}"/>
  <tableColumns count="5">
    <tableColumn id="1" xr3:uid="{5D5C6372-22D4-430C-93F4-1B1E2DFB99A7}" name="Comparison entry no."/>
    <tableColumn id="2" xr3:uid="{A9ACC23D-9940-44D9-BD2F-8CEEA49EE45E}" name="Propability Support point" dataDxfId="1282"/>
    <tableColumn id="3" xr3:uid="{7672692C-6AF4-4884-BA22-19C8A5035B76}" name="EBS self time" dataDxfId="1281"/>
    <tableColumn id="4" xr3:uid="{9077A25E-2BCC-4C63-A104-4735BC417B01}" name="Total time">
      <calculatedColumnFormula>SUM(TimeEntries276286[Time delta in h])</calculatedColumnFormula>
    </tableColumn>
    <tableColumn id="5" xr3:uid="{FD2655CD-4646-49AE-A7AD-5776DBABF813}" name="Total time / Your estimate" dataDxfId="1280">
      <calculatedColumnFormula>Tabelle7367277287[[#This Row],[EBS self time]]/Tabelle7367277287[[#This Row],[Total time]]</calculatedColumnFormula>
    </tableColumn>
  </tableColumns>
  <tableStyleInfo name="TableStyleDark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1" xr:uid="{ADB6E18A-30C5-45A8-99E6-C2EE75172FF9}" name="TimeEntries278288292302" displayName="TimeEntries278288292302" ref="A1293:G1294" totalsRowShown="0">
  <autoFilter ref="A1293:G1294" xr:uid="{53CC1C99-941E-435B-A703-3630177FE4DA}"/>
  <sortState xmlns:xlrd2="http://schemas.microsoft.com/office/spreadsheetml/2017/richdata2" ref="A1294:E1294">
    <sortCondition ref="A16:A17"/>
  </sortState>
  <tableColumns count="7">
    <tableColumn id="1" xr3:uid="{6046CC56-3CAE-48BA-9B63-21E71938D5A5}" name="Time entry no."/>
    <tableColumn id="2" xr3:uid="{8EBE9449-4F67-4340-8D59-6874F09C7C5E}" name="Start time" dataDxfId="1279"/>
    <tableColumn id="3" xr3:uid="{6545CCB7-3DD6-4164-98A2-AD9FA050510E}" name="End time" dataDxfId="1278"/>
    <tableColumn id="4" xr3:uid="{C99BC72A-8794-4433-8029-4B97BAE49AE6}" name="Time delta in h" dataDxfId="1277">
      <calculatedColumnFormula>MAX((TimeEntries278288292302[[#This Row],[End time]]-TimeEntries278288292302[[#This Row],[Start time]])*24,0)</calculatedColumnFormula>
    </tableColumn>
    <tableColumn id="5" xr3:uid="{D7392131-D09C-4D0B-AE9B-E48E1BB06C39}" name="Now?"/>
    <tableColumn id="6" xr3:uid="{2B6040CE-AEF1-488C-A6DA-030C1EA5BA89}" name="Action1" dataDxfId="1276" dataCellStyle="Hyperlink"/>
    <tableColumn id="7" xr3:uid="{9008DFD2-9867-42E8-B431-81FFA8CD5A9B}" name="Action2" dataDxfId="1275" dataCellStyle="Hyperlink"/>
  </tableColumns>
  <tableStyleInfo name="TableStyleDark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2" xr:uid="{736FAE40-94B7-4C86-8D17-95142E509288}" name="Tabelle7367279289293303" displayName="Tabelle7367279289293303" ref="I1293:M1300" totalsRowShown="0">
  <autoFilter ref="I1293:M1300" xr:uid="{0D4D7A2B-F170-4DA5-A279-6D34476B021A}"/>
  <tableColumns count="5">
    <tableColumn id="1" xr3:uid="{BA79FE79-FE7B-4840-82C2-B121F32F80F0}" name="Comparison entry no."/>
    <tableColumn id="2" xr3:uid="{86742B2A-EE48-4E9B-A934-8E946119968A}" name="Propability Support point" dataDxfId="1274"/>
    <tableColumn id="3" xr3:uid="{AA5F4694-99F3-4649-B5D8-37C9E59E11F0}" name="EBS self time" dataDxfId="1273"/>
    <tableColumn id="4" xr3:uid="{EFB173DF-66FD-4F4C-A3EE-46F054B30974}" name="Total time">
      <calculatedColumnFormula>SUM(TimeEntries278288292302[Time delta in h])</calculatedColumnFormula>
    </tableColumn>
    <tableColumn id="5" xr3:uid="{848E6AE9-79EE-4D6A-9728-F7AC4BFD80F7}" name="Total time / Your estimate" dataDxfId="1272">
      <calculatedColumnFormula>Tabelle7367279289293303[[#This Row],[EBS self time]]/Tabelle7367279289293303[[#This Row],[Total time]]</calculatedColumnFormula>
    </tableColumn>
  </tableColumns>
  <tableStyleInfo name="TableStyleDark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3" xr:uid="{25605972-20F2-4F95-812F-CF9557759699}" name="TimeEntries294304" displayName="TimeEntries294304" ref="A1318:G1319" totalsRowShown="0">
  <autoFilter ref="A1318:G1319" xr:uid="{41993350-EDF0-480C-8A7A-64DEAC898755}"/>
  <sortState xmlns:xlrd2="http://schemas.microsoft.com/office/spreadsheetml/2017/richdata2" ref="A1319:E1319">
    <sortCondition ref="A16:A17"/>
  </sortState>
  <tableColumns count="7">
    <tableColumn id="1" xr3:uid="{E820FFBA-92F3-4074-AA4C-1287EE030271}" name="Time entry no."/>
    <tableColumn id="2" xr3:uid="{ECECEBBA-678D-4C44-B09A-5DAFB5C81DBC}" name="Start time" dataDxfId="1271"/>
    <tableColumn id="3" xr3:uid="{52D87F8B-2DF0-4A29-AF33-5BD7D80BDB15}" name="End time" dataDxfId="1270"/>
    <tableColumn id="4" xr3:uid="{6358B151-6591-4D06-AD51-2BD2903C69C2}" name="Time delta in h" dataDxfId="1269">
      <calculatedColumnFormula>MAX((TimeEntries294304[[#This Row],[End time]]-TimeEntries294304[[#This Row],[Start time]])*24,0)</calculatedColumnFormula>
    </tableColumn>
    <tableColumn id="5" xr3:uid="{4F4AB9AE-27D1-424C-9F04-185ECD42FFC5}" name="Now?"/>
    <tableColumn id="6" xr3:uid="{965DF25E-CEA4-4093-9032-D941305392C2}" name="Action1" dataDxfId="1268" dataCellStyle="Hyperlink"/>
    <tableColumn id="7" xr3:uid="{47BEA2EB-EED7-4436-A965-E916420BC1C9}" name="Action2" dataDxfId="1267" dataCellStyle="Hyperlink"/>
  </tableColumns>
  <tableStyleInfo name="TableStyleDark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4" xr:uid="{7818183B-40E4-4BA0-AAF3-D8BFFDAC972D}" name="Tabelle7367295305" displayName="Tabelle7367295305" ref="I1318:M1319" totalsRowShown="0">
  <autoFilter ref="I1318:M1319" xr:uid="{F1F2BE11-7EF9-4BB9-BAC2-F44A82432055}"/>
  <tableColumns count="5">
    <tableColumn id="1" xr3:uid="{29A84723-4234-44C8-90AA-1EB1B45A0EE5}" name="Comparison entry no."/>
    <tableColumn id="2" xr3:uid="{EF75C55D-D03B-438F-8441-B87E47CE7DBF}" name="Propability Support point" dataDxfId="1266"/>
    <tableColumn id="3" xr3:uid="{4D6D35D2-8F52-40E6-A740-0669CFE1039E}" name="EBS self time" dataDxfId="1265"/>
    <tableColumn id="4" xr3:uid="{E07F28E2-7184-49D4-B6BF-CA61F2DE1132}" name="Total time">
      <calculatedColumnFormula>SUM(TimeEntries294304[Time delta in h])</calculatedColumnFormula>
    </tableColumn>
    <tableColumn id="5" xr3:uid="{7B89846A-CFFC-4ECF-B0C1-AEB5E126AFE0}" name="Total time / Your estimate" dataDxfId="1264">
      <calculatedColumnFormula>Tabelle7367295305[[#This Row],[EBS self time]]/Tabelle7367295305[[#This Row],[Total time]]</calculatedColumnFormula>
    </tableColumn>
  </tableColumns>
  <tableStyleInfo name="TableStyleDark1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5" xr:uid="{27248A08-D574-4C22-9CED-A16CE7898D46}" name="TimeEntries296306" displayName="TimeEntries296306" ref="A1338:G1339" totalsRowShown="0">
  <autoFilter ref="A1338:G1339" xr:uid="{C023ED57-1BDD-4FA7-BB5A-6461E68905BC}"/>
  <sortState xmlns:xlrd2="http://schemas.microsoft.com/office/spreadsheetml/2017/richdata2" ref="A1339:E1339">
    <sortCondition ref="A16:A17"/>
  </sortState>
  <tableColumns count="7">
    <tableColumn id="1" xr3:uid="{75B48299-8CD3-4837-A289-DDA1C29509C6}" name="Time entry no."/>
    <tableColumn id="2" xr3:uid="{104D61FB-D2B6-4A1D-B0FF-DFF67C0B1F5F}" name="Start time" dataDxfId="1263"/>
    <tableColumn id="3" xr3:uid="{6DD83840-958D-4ED9-9CDB-7B4A3C96C9C8}" name="End time" dataDxfId="1262"/>
    <tableColumn id="4" xr3:uid="{145DEDC4-8375-4BC2-B6A3-C030D0B50930}" name="Time delta in h" dataDxfId="1261">
      <calculatedColumnFormula>MAX((TimeEntries296306[[#This Row],[End time]]-TimeEntries296306[[#This Row],[Start time]])*24,0)</calculatedColumnFormula>
    </tableColumn>
    <tableColumn id="5" xr3:uid="{4B4C44B1-4AEF-4CFE-AF19-833D8C9A6496}" name="Now?"/>
    <tableColumn id="6" xr3:uid="{6F90D989-0A0B-4375-9C5D-42A2E112207D}" name="Action1" dataDxfId="1260" dataCellStyle="Hyperlink"/>
    <tableColumn id="7" xr3:uid="{B8A82509-2C3D-4EDF-99E4-5E71E95A43B0}" name="Action2" dataDxfId="1259" dataCellStyle="Hyperlink"/>
  </tableColumns>
  <tableStyleInfo name="TableStyleDark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6" xr:uid="{BFF64E92-7DA7-4F86-A216-FF2AAABAF3BA}" name="Tabelle7367297307" displayName="Tabelle7367297307" ref="I1338:M1345" totalsRowShown="0">
  <autoFilter ref="I1338:M1345" xr:uid="{A302B662-AEB7-4B88-B34F-32180F068935}"/>
  <tableColumns count="5">
    <tableColumn id="1" xr3:uid="{9ECB70A3-1718-42BA-BCBF-89A02CF1E961}" name="Comparison entry no."/>
    <tableColumn id="2" xr3:uid="{81563789-21DA-4DE7-A4DB-DED22CD6F0FC}" name="Propability Support point" dataDxfId="1258"/>
    <tableColumn id="3" xr3:uid="{BC2B3FF8-AB96-492E-B74B-8F4D014645D5}" name="EBS self time" dataDxfId="1257"/>
    <tableColumn id="4" xr3:uid="{F5B9E841-247E-42CC-82FC-0DFA8A9F9824}" name="Total time">
      <calculatedColumnFormula>SUM(TimeEntries296306[Time delta in h])</calculatedColumnFormula>
    </tableColumn>
    <tableColumn id="5" xr3:uid="{24636311-B042-4A50-991C-75A45D8538C2}" name="Total time / Your estimate" dataDxfId="1256">
      <calculatedColumnFormula>Tabelle7367297307[[#This Row],[EBS self time]]/Tabelle7367297307[[#This Row],[Total time]]</calculatedColumnFormula>
    </tableColumn>
  </tableColumns>
  <tableStyleInfo name="TableStyleDark1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7" xr:uid="{69AC63FF-6684-4318-817E-D4FBE75509E6}" name="TimeEntries298308" displayName="TimeEntries298308" ref="A1363:G1364" totalsRowShown="0">
  <autoFilter ref="A1363:G1364" xr:uid="{61CAAC9A-2303-431F-A00C-8AE5CFD10C60}"/>
  <sortState xmlns:xlrd2="http://schemas.microsoft.com/office/spreadsheetml/2017/richdata2" ref="A1364:E1364">
    <sortCondition ref="A16:A17"/>
  </sortState>
  <tableColumns count="7">
    <tableColumn id="1" xr3:uid="{E21D7A6B-A78C-4993-99EB-2A26C46B56B3}" name="Time entry no."/>
    <tableColumn id="2" xr3:uid="{2C45CC52-8FEA-4B77-ADE4-8DAD8D6E1C2A}" name="Start time" dataDxfId="1255"/>
    <tableColumn id="3" xr3:uid="{02007409-FCE3-4905-9C75-9FECCE16A2A7}" name="End time" dataDxfId="1254"/>
    <tableColumn id="4" xr3:uid="{66BE4568-C04D-4A77-9932-DFEF9817489F}" name="Time delta in h" dataDxfId="1253">
      <calculatedColumnFormula>MAX((TimeEntries298308[[#This Row],[End time]]-TimeEntries298308[[#This Row],[Start time]])*24,0)</calculatedColumnFormula>
    </tableColumn>
    <tableColumn id="5" xr3:uid="{6C1FF809-B5E8-4A2C-B967-B07D4C3854E7}" name="Now?"/>
    <tableColumn id="6" xr3:uid="{6E63EF8F-8F08-412A-9F04-5B21DF834536}" name="Action1" dataDxfId="1252" dataCellStyle="Hyperlink"/>
    <tableColumn id="7" xr3:uid="{4D169C73-4B7A-4D5A-970A-04979D159839}" name="Action2" dataDxfId="1251" dataCellStyle="Hyperlink"/>
  </tableColumns>
  <tableStyleInfo name="TableStyleDark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8" xr:uid="{9EEE9C9F-83A8-4DBA-960D-BA7C297CFFDB}" name="Tabelle7367299309" displayName="Tabelle7367299309" ref="I1363:M1370" totalsRowShown="0">
  <autoFilter ref="I1363:M1370" xr:uid="{2231945C-05E2-4113-AC05-79ADDDD017C9}"/>
  <tableColumns count="5">
    <tableColumn id="1" xr3:uid="{D2085382-FB5E-42F1-8246-54904268776F}" name="Comparison entry no."/>
    <tableColumn id="2" xr3:uid="{F3CA5D71-8B5A-4C87-9718-30348A77EF64}" name="Propability Support point" dataDxfId="1250"/>
    <tableColumn id="3" xr3:uid="{B7E26523-7EF8-4EE8-944B-7D98A0B4A6B5}" name="EBS self time" dataDxfId="1249"/>
    <tableColumn id="4" xr3:uid="{59749276-08C7-41C4-9A9D-6138EEA63714}" name="Total time">
      <calculatedColumnFormula>SUM(TimeEntries298308[Time delta in h])</calculatedColumnFormula>
    </tableColumn>
    <tableColumn id="5" xr3:uid="{F966ED0F-BAE0-4922-B3C1-106EB0EDFA6C}" name="Total time / Your estimate" dataDxfId="1248">
      <calculatedColumnFormula>Tabelle7367299309[[#This Row],[EBS self time]]/Tabelle7367299309[[#This Row],[Total time]]</calculatedColumnFormula>
    </tableColumn>
  </tableColumns>
  <tableStyleInfo name="TableStyleDark1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3" xr:uid="{EA917C9C-18B0-43F0-967C-6577382AA072}" name="TimeEntries300310314324" displayName="TimeEntries300310314324" ref="A1388:G1389" totalsRowShown="0">
  <autoFilter ref="A1388:G1389" xr:uid="{F3F5A99B-2041-4A72-8751-AAB74BD491C2}"/>
  <sortState xmlns:xlrd2="http://schemas.microsoft.com/office/spreadsheetml/2017/richdata2" ref="A1389:E1389">
    <sortCondition ref="A16:A17"/>
  </sortState>
  <tableColumns count="7">
    <tableColumn id="1" xr3:uid="{65E8E7EF-4557-4862-9D77-DFEE7A9CBD16}" name="Time entry no."/>
    <tableColumn id="2" xr3:uid="{7BBDC9EB-A6E2-4179-B4CA-E6C7D00ADC6A}" name="Start time" dataDxfId="1247"/>
    <tableColumn id="3" xr3:uid="{8CBD8C9F-E568-4154-86B1-AC3C536BC71B}" name="End time" dataDxfId="1246"/>
    <tableColumn id="4" xr3:uid="{8BA3F365-95D9-4BD0-BB9F-95171BF9CE30}" name="Time delta in h" dataDxfId="1245">
      <calculatedColumnFormula>MAX((TimeEntries300310314324[[#This Row],[End time]]-TimeEntries300310314324[[#This Row],[Start time]])*24,0)</calculatedColumnFormula>
    </tableColumn>
    <tableColumn id="5" xr3:uid="{C3EA3292-218E-469E-AC6F-08A89221482D}" name="Now?"/>
    <tableColumn id="6" xr3:uid="{CE0A28A7-43E4-416B-92FE-98EB98BEBB45}" name="Action1" dataDxfId="1244" dataCellStyle="Hyperlink"/>
    <tableColumn id="7" xr3:uid="{39CA56E1-D775-4A97-A7DE-0B115A4E89D6}" name="Action2" dataDxfId="1243" dataCellStyle="Hyperlink"/>
  </tableColumns>
  <tableStyleInfo name="TableStyleDark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4" xr:uid="{B6ACA833-2D07-4326-86D6-13849208BC09}" name="Tabelle7367301311315325" displayName="Tabelle7367301311315325" ref="I1388:M1389" totalsRowShown="0">
  <autoFilter ref="I1388:M1389" xr:uid="{32CD30AF-E892-4B68-9BC3-25531175B7BC}"/>
  <tableColumns count="5">
    <tableColumn id="1" xr3:uid="{54181773-CC33-41FD-8D6C-3CFAC4C5A414}" name="Comparison entry no."/>
    <tableColumn id="2" xr3:uid="{E166B271-776B-4B62-870E-F84C8E0D8E67}" name="Propability Support point" dataDxfId="1242"/>
    <tableColumn id="3" xr3:uid="{80606584-8825-4421-A73F-35B9FB667160}" name="EBS self time" dataDxfId="1241"/>
    <tableColumn id="4" xr3:uid="{DA7777C3-9F83-49D9-8AAC-22D385A9AB18}" name="Total time">
      <calculatedColumnFormula>SUM(TimeEntries300310314324[Time delta in h])</calculatedColumnFormula>
    </tableColumn>
    <tableColumn id="5" xr3:uid="{0B75A56A-BD40-4A7E-8376-C35D085E688C}" name="Total time / Your estimate" dataDxfId="1240">
      <calculatedColumnFormula>Tabelle7367301311315325[[#This Row],[EBS self time]]/Tabelle7367301311315325[[#This Row],[Total time]]</calculatedColumnFormula>
    </tableColumn>
  </tableColumns>
  <tableStyleInfo name="TableStyleDark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5" xr:uid="{C8FC2CCE-561C-47CB-884C-DE228C004916}" name="TimeEntries316326" displayName="TimeEntries316326" ref="A1408:G1409" totalsRowShown="0">
  <autoFilter ref="A1408:G1409" xr:uid="{90771B26-ED5B-450C-A13E-C19549FA78D7}"/>
  <sortState xmlns:xlrd2="http://schemas.microsoft.com/office/spreadsheetml/2017/richdata2" ref="A1409:E1409">
    <sortCondition ref="A16:A17"/>
  </sortState>
  <tableColumns count="7">
    <tableColumn id="1" xr3:uid="{4A25FFE8-38C2-4354-B176-0F0724CFAE04}" name="Time entry no."/>
    <tableColumn id="2" xr3:uid="{41F118F4-CBFD-4D84-A244-496763C54588}" name="Start time" dataDxfId="1239"/>
    <tableColumn id="3" xr3:uid="{0039D837-268C-488B-9300-E7116EE7A49D}" name="End time" dataDxfId="1238"/>
    <tableColumn id="4" xr3:uid="{344ADBAC-7FFC-41F8-A1FC-71CBEC6C00F2}" name="Time delta in h" dataDxfId="1237">
      <calculatedColumnFormula>MAX((TimeEntries316326[[#This Row],[End time]]-TimeEntries316326[[#This Row],[Start time]])*24,0)</calculatedColumnFormula>
    </tableColumn>
    <tableColumn id="5" xr3:uid="{7B21C16A-1D13-49B5-B34D-E0DAF9EE0D78}" name="Now?"/>
    <tableColumn id="6" xr3:uid="{1B051618-17C8-4865-BE06-373B364B3D2E}" name="Action1" dataDxfId="1236" dataCellStyle="Hyperlink"/>
    <tableColumn id="7" xr3:uid="{3D532570-3D30-45B8-84EB-0ECFB136D4FB}" name="Action2" dataDxfId="1235" dataCellStyle="Hyperlink"/>
  </tableColumns>
  <tableStyleInfo name="TableStyleDark1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6" xr:uid="{36A1F71C-B8B7-4FCA-BC52-16A32541C9C1}" name="Tabelle7367317327" displayName="Tabelle7367317327" ref="I1408:M1409" totalsRowShown="0">
  <autoFilter ref="I1408:M1409" xr:uid="{EBDFE529-8DDA-4A86-8D15-6A44CB12EFBD}"/>
  <tableColumns count="5">
    <tableColumn id="1" xr3:uid="{E8E0F598-44EC-4821-9B5E-9A5CB3191D16}" name="Comparison entry no."/>
    <tableColumn id="2" xr3:uid="{A6313060-BD19-47C1-AE56-2CDEBC61631F}" name="Propability Support point" dataDxfId="1234"/>
    <tableColumn id="3" xr3:uid="{4BC6ECC8-499E-4E01-B9FB-CEB4E7016293}" name="EBS self time" dataDxfId="1233"/>
    <tableColumn id="4" xr3:uid="{92ECFD00-9202-415C-BC45-7935852FFB3B}" name="Total time">
      <calculatedColumnFormula>SUM(TimeEntries316326[Time delta in h])</calculatedColumnFormula>
    </tableColumn>
    <tableColumn id="5" xr3:uid="{2E2B2458-7F8A-4D5E-818B-0D321956A7A4}" name="Total time / Your estimate" dataDxfId="1232">
      <calculatedColumnFormula>Tabelle7367317327[[#This Row],[EBS self time]]/Tabelle7367317327[[#This Row],[Total time]]</calculatedColumnFormula>
    </tableColumn>
  </tableColumns>
  <tableStyleInfo name="TableStyleDark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7" xr:uid="{400207CC-1583-4359-A1AA-9331A5141D2E}" name="TimeEntries318328" displayName="TimeEntries318328" ref="A1428:G1429" totalsRowShown="0">
  <autoFilter ref="A1428:G1429" xr:uid="{140941DD-F6D9-4E2D-9E32-FA478C6BBA2B}"/>
  <sortState xmlns:xlrd2="http://schemas.microsoft.com/office/spreadsheetml/2017/richdata2" ref="A1429:E1429">
    <sortCondition ref="A16:A17"/>
  </sortState>
  <tableColumns count="7">
    <tableColumn id="1" xr3:uid="{25ECCFB3-8BD7-40E3-9F9F-3498314B5951}" name="Time entry no."/>
    <tableColumn id="2" xr3:uid="{1D1FDF9D-48C9-4FB0-98C5-B3B742313743}" name="Start time" dataDxfId="1231"/>
    <tableColumn id="3" xr3:uid="{EAFD2DA0-9707-4649-AEFC-CFDB553E24A6}" name="End time" dataDxfId="1230"/>
    <tableColumn id="4" xr3:uid="{FDE2F59E-20B8-43E1-8A8B-70BB2A215BFE}" name="Time delta in h" dataDxfId="1229">
      <calculatedColumnFormula>MAX((TimeEntries318328[[#This Row],[End time]]-TimeEntries318328[[#This Row],[Start time]])*24,0)</calculatedColumnFormula>
    </tableColumn>
    <tableColumn id="5" xr3:uid="{3DF5BB4B-6992-45F4-9143-32E9DC7A73DD}" name="Now?"/>
    <tableColumn id="6" xr3:uid="{B8DDCAA6-CAB5-47AC-889A-DA212272D16B}" name="Action1" dataDxfId="1228" dataCellStyle="Hyperlink"/>
    <tableColumn id="7" xr3:uid="{3AC4C6DF-494A-47E9-BC80-3FEBF1AD487A}" name="Action2" dataDxfId="1227" dataCellStyle="Hyperlink"/>
  </tableColumns>
  <tableStyleInfo name="TableStyleDark1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8" xr:uid="{0318FBEE-7A3E-46E0-AFC8-5A3F2F3FA919}" name="Tabelle7367319329" displayName="Tabelle7367319329" ref="I1428:M1435" totalsRowShown="0">
  <autoFilter ref="I1428:M1435" xr:uid="{683CE0D1-0AF0-4036-970A-672720C04A9B}"/>
  <tableColumns count="5">
    <tableColumn id="1" xr3:uid="{77EC9165-E89B-403F-B35D-F17B72A1DC77}" name="Comparison entry no."/>
    <tableColumn id="2" xr3:uid="{7839C29D-50C3-4542-BDED-1A43A58BF646}" name="Propability Support point" dataDxfId="1226"/>
    <tableColumn id="3" xr3:uid="{831CC936-3296-4DE1-AD77-CA2C315B5BB6}" name="EBS self time" dataDxfId="1225"/>
    <tableColumn id="4" xr3:uid="{46B90E6A-0E24-4120-ABA2-49C7B6CE77E9}" name="Total time">
      <calculatedColumnFormula>SUM(TimeEntries318328[Time delta in h])</calculatedColumnFormula>
    </tableColumn>
    <tableColumn id="5" xr3:uid="{B4770FB9-3FEB-49DA-9B02-CF3AF7F900B0}" name="Total time / Your estimate" dataDxfId="1224">
      <calculatedColumnFormula>Tabelle7367319329[[#This Row],[EBS self time]]/Tabelle7367319329[[#This Row],[Total time]]</calculatedColumnFormula>
    </tableColumn>
  </tableColumns>
  <tableStyleInfo name="TableStyleDark1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9" xr:uid="{B654B881-594B-407F-B15A-A9983047ACB9}" name="TimeEntries320330" displayName="TimeEntries320330" ref="A1453:G1454" totalsRowShown="0">
  <autoFilter ref="A1453:G1454" xr:uid="{19196CCF-60C4-4001-B055-714EE821DBBC}"/>
  <sortState xmlns:xlrd2="http://schemas.microsoft.com/office/spreadsheetml/2017/richdata2" ref="A1454:E1454">
    <sortCondition ref="A16:A17"/>
  </sortState>
  <tableColumns count="7">
    <tableColumn id="1" xr3:uid="{8B489190-52BD-4DDA-9937-53F4D1E9F0EE}" name="Time entry no."/>
    <tableColumn id="2" xr3:uid="{A64AFD2C-6623-428B-98D3-D64E301939D0}" name="Start time" dataDxfId="1223"/>
    <tableColumn id="3" xr3:uid="{23FE634A-3D46-481A-B02F-D1DDD0EF4B63}" name="End time" dataDxfId="1222"/>
    <tableColumn id="4" xr3:uid="{212DCBBA-4877-43D3-A214-0BE3FD0FECF9}" name="Time delta in h" dataDxfId="1221">
      <calculatedColumnFormula>MAX((TimeEntries320330[[#This Row],[End time]]-TimeEntries320330[[#This Row],[Start time]])*24,0)</calculatedColumnFormula>
    </tableColumn>
    <tableColumn id="5" xr3:uid="{3566CF37-8CA1-470A-BF63-291006C01C26}" name="Now?"/>
    <tableColumn id="6" xr3:uid="{26BF0E40-76A0-4379-B5EE-EC141E15E224}" name="Action1" dataDxfId="1220" dataCellStyle="Hyperlink"/>
    <tableColumn id="7" xr3:uid="{C7D7BE6C-BD3C-4015-9D71-CD9C88971FE4}" name="Action2" dataDxfId="1219" dataCellStyle="Hyperlink"/>
  </tableColumns>
  <tableStyleInfo name="TableStyleDark1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0" xr:uid="{8C961F01-B5AA-4B65-9326-BC321A722397}" name="Tabelle7367321331" displayName="Tabelle7367321331" ref="I1453:M1460" totalsRowShown="0">
  <autoFilter ref="I1453:M1460" xr:uid="{FD37D336-4BCE-4E6C-9847-27DD9369FE90}"/>
  <tableColumns count="5">
    <tableColumn id="1" xr3:uid="{CE511A78-5246-4EC0-AD73-AD8935B17512}" name="Comparison entry no."/>
    <tableColumn id="2" xr3:uid="{CAA075B4-D288-4513-815C-4D15ECD54C5D}" name="Propability Support point" dataDxfId="1218"/>
    <tableColumn id="3" xr3:uid="{EEA88375-0700-4184-BCBF-589A18276607}" name="EBS self time" dataDxfId="1217"/>
    <tableColumn id="4" xr3:uid="{00C36789-29E7-4E33-97EE-7555004FF018}" name="Total time">
      <calculatedColumnFormula>SUM(TimeEntries320330[Time delta in h])</calculatedColumnFormula>
    </tableColumn>
    <tableColumn id="5" xr3:uid="{53AC6E38-BFC1-46EC-BD73-514B29A6CAF1}" name="Total time / Your estimate" dataDxfId="1216">
      <calculatedColumnFormula>Tabelle7367321331[[#This Row],[EBS self time]]/Tabelle7367321331[[#This Row],[Total time]]</calculatedColumnFormula>
    </tableColumn>
  </tableColumns>
  <tableStyleInfo name="TableStyleDark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5" xr:uid="{BBC5A4D6-6058-4721-A193-AC2650A95C0C}" name="TimeEntries322332336346" displayName="TimeEntries322332336346" ref="A1478:G1479" totalsRowShown="0">
  <autoFilter ref="A1478:G1479" xr:uid="{1ADF5659-7A03-4129-8C98-9E415FE23548}"/>
  <sortState xmlns:xlrd2="http://schemas.microsoft.com/office/spreadsheetml/2017/richdata2" ref="A1479:E1479">
    <sortCondition ref="A16:A17"/>
  </sortState>
  <tableColumns count="7">
    <tableColumn id="1" xr3:uid="{86B66570-DCB2-4532-A0B0-DA96BFBDB752}" name="Time entry no."/>
    <tableColumn id="2" xr3:uid="{2AE749F1-365C-4AB2-8C69-9858C46AC06D}" name="Start time" dataDxfId="1215"/>
    <tableColumn id="3" xr3:uid="{D3D95C48-5B8A-41C4-AC25-A41E23DE713B}" name="End time" dataDxfId="1214"/>
    <tableColumn id="4" xr3:uid="{2DB39533-79C9-4C4A-BCB0-EA3C8C341389}" name="Time delta in h" dataDxfId="1213">
      <calculatedColumnFormula>MAX((TimeEntries322332336346[[#This Row],[End time]]-TimeEntries322332336346[[#This Row],[Start time]])*24,0)</calculatedColumnFormula>
    </tableColumn>
    <tableColumn id="5" xr3:uid="{391F71B5-1A28-44E2-AF04-BC63DED57345}" name="Now?"/>
    <tableColumn id="6" xr3:uid="{F93B9434-E289-4DD5-9269-5FE7E328745C}" name="Action1" dataDxfId="1212" dataCellStyle="Hyperlink"/>
    <tableColumn id="7" xr3:uid="{EC7F5B8D-CAC5-4FD5-8A08-2993599461A2}" name="Action2" dataDxfId="1211" dataCellStyle="Hyperlink"/>
  </tableColumns>
  <tableStyleInfo name="TableStyleDark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6" xr:uid="{7648A00C-F035-4764-BA90-F621D8FD5660}" name="Tabelle7367323333337347" displayName="Tabelle7367323333337347" ref="I1478:M1485" totalsRowShown="0">
  <autoFilter ref="I1478:M1485" xr:uid="{6033B56F-2CFD-4109-9441-90A0C8D25629}"/>
  <tableColumns count="5">
    <tableColumn id="1" xr3:uid="{19245B15-B1EE-4115-9B15-C6B165FEBA4C}" name="Comparison entry no."/>
    <tableColumn id="2" xr3:uid="{DF93F814-EFFE-4CBA-A59B-5A3DA3EC34A2}" name="Propability Support point" dataDxfId="1210"/>
    <tableColumn id="3" xr3:uid="{D06427B8-161E-4D8F-B0D3-932491C01479}" name="EBS self time" dataDxfId="1209"/>
    <tableColumn id="4" xr3:uid="{65B96180-D5BB-4AC5-8F5F-2790A8B040C2}" name="Total time">
      <calculatedColumnFormula>SUM(TimeEntries322332336346[Time delta in h])</calculatedColumnFormula>
    </tableColumn>
    <tableColumn id="5" xr3:uid="{396A5E19-4425-4A1B-9F41-66F820ECAF89}" name="Total time / Your estimate" dataDxfId="1208">
      <calculatedColumnFormula>Tabelle7367323333337347[[#This Row],[EBS self time]]/Tabelle7367323333337347[[#This Row],[Total time]]</calculatedColumnFormula>
    </tableColumn>
  </tableColumns>
  <tableStyleInfo name="TableStyleDark1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7" xr:uid="{023DD86D-417F-41AA-B4C1-6CB7A5288C5A}" name="TimeEntries338348" displayName="TimeEntries338348" ref="A1503:G1504" totalsRowShown="0">
  <autoFilter ref="A1503:G1504" xr:uid="{9E8FD281-41FA-469C-9B5C-91F4A8F7258C}"/>
  <sortState xmlns:xlrd2="http://schemas.microsoft.com/office/spreadsheetml/2017/richdata2" ref="A1504:E1504">
    <sortCondition ref="A16:A17"/>
  </sortState>
  <tableColumns count="7">
    <tableColumn id="1" xr3:uid="{02521ED6-5826-44A9-B22F-48B1702D5DB6}" name="Time entry no."/>
    <tableColumn id="2" xr3:uid="{3A818B3C-DAD6-425C-8FE9-0743F7EA9646}" name="Start time" dataDxfId="1207"/>
    <tableColumn id="3" xr3:uid="{CF5C9BB2-238D-453E-B72D-91B95AE44A5B}" name="End time" dataDxfId="1206"/>
    <tableColumn id="4" xr3:uid="{23707472-6952-456D-BA25-8ECF70BE12C6}" name="Time delta in h" dataDxfId="1205">
      <calculatedColumnFormula>MAX((TimeEntries338348[[#This Row],[End time]]-TimeEntries338348[[#This Row],[Start time]])*24,0)</calculatedColumnFormula>
    </tableColumn>
    <tableColumn id="5" xr3:uid="{5F803D25-317D-4961-B26D-D678BB3E3AD7}" name="Now?"/>
    <tableColumn id="6" xr3:uid="{352AC488-94D5-4947-8B99-B4A2D06347AD}" name="Action1" dataDxfId="1204" dataCellStyle="Hyperlink"/>
    <tableColumn id="7" xr3:uid="{89F295A8-5477-44C6-9235-E86DE671F892}" name="Action2" dataDxfId="1203" dataCellStyle="Hyperlink"/>
  </tableColumns>
  <tableStyleInfo name="TableStyleDark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8" xr:uid="{60B02CF6-EF34-4C7E-ADFD-A829D4D9CE5F}" name="Tabelle7367339349" displayName="Tabelle7367339349" ref="I1503:M1510" totalsRowShown="0">
  <autoFilter ref="I1503:M1510" xr:uid="{C2AED29B-26E0-422D-A32C-20244734D7DB}"/>
  <tableColumns count="5">
    <tableColumn id="1" xr3:uid="{0ED4C90D-3CC3-4B1D-8EFC-C7A25B717BC6}" name="Comparison entry no."/>
    <tableColumn id="2" xr3:uid="{42310FFB-A8E5-45ED-B998-893EB1714340}" name="Propability Support point" dataDxfId="1202"/>
    <tableColumn id="3" xr3:uid="{B36C80CA-E912-4C3A-883C-1FB3F1574085}" name="EBS self time" dataDxfId="1201"/>
    <tableColumn id="4" xr3:uid="{F004738A-65CC-4FD6-A8B5-974AB8FE6C14}" name="Total time">
      <calculatedColumnFormula>SUM(TimeEntries338348[Time delta in h])</calculatedColumnFormula>
    </tableColumn>
    <tableColumn id="5" xr3:uid="{7BA09164-EDD4-4533-8CF8-0BD4E6FB5E61}" name="Total time / Your estimate" dataDxfId="1200">
      <calculatedColumnFormula>Tabelle7367339349[[#This Row],[EBS self time]]/Tabelle7367339349[[#This Row],[Total time]]</calculatedColumnFormula>
    </tableColumn>
  </tableColumns>
  <tableStyleInfo name="TableStyleDark1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9" xr:uid="{3FD70472-1C55-48B2-B85F-292E598B00C1}" name="TimeEntries340350" displayName="TimeEntries340350" ref="A1528:G1529" totalsRowShown="0">
  <autoFilter ref="A1528:G1529" xr:uid="{D75AC091-99AA-4417-8A06-EC6F21B8348F}"/>
  <sortState xmlns:xlrd2="http://schemas.microsoft.com/office/spreadsheetml/2017/richdata2" ref="A1529:E1529">
    <sortCondition ref="A16:A17"/>
  </sortState>
  <tableColumns count="7">
    <tableColumn id="1" xr3:uid="{F837093E-87FB-46B9-A7E3-CEB131FF11D9}" name="Time entry no."/>
    <tableColumn id="2" xr3:uid="{97CDB420-4670-4661-B82E-934BB67CEC37}" name="Start time" dataDxfId="1199"/>
    <tableColumn id="3" xr3:uid="{7CEE0802-071C-458D-80FA-3FD7ED6813AF}" name="End time" dataDxfId="1198"/>
    <tableColumn id="4" xr3:uid="{0363387A-E525-40B1-B479-B503B15D91A0}" name="Time delta in h" dataDxfId="1197">
      <calculatedColumnFormula>MAX((TimeEntries340350[[#This Row],[End time]]-TimeEntries340350[[#This Row],[Start time]])*24,0)</calculatedColumnFormula>
    </tableColumn>
    <tableColumn id="5" xr3:uid="{FC778FBC-C2A1-431E-AA1A-531665A9B7F4}" name="Now?"/>
    <tableColumn id="6" xr3:uid="{1C8FAB8B-13A4-4BF3-9798-E6A7729F03A6}" name="Action1" dataDxfId="1196" dataCellStyle="Hyperlink"/>
    <tableColumn id="7" xr3:uid="{8D553BED-8F52-4CB5-AB1B-D352DA32CB50}" name="Action2" dataDxfId="1195" dataCellStyle="Hyperlink"/>
  </tableColumns>
  <tableStyleInfo name="TableStyleDark1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0" xr:uid="{8F0A9D56-1F80-4603-87D2-8332ED3B5675}" name="Tabelle7367341351" displayName="Tabelle7367341351" ref="I1528:M1535" totalsRowShown="0">
  <autoFilter ref="I1528:M1535" xr:uid="{30446FC3-D36F-4A92-BD6D-1ABFD67CBC04}"/>
  <tableColumns count="5">
    <tableColumn id="1" xr3:uid="{AB93B72A-90A2-4514-BA12-C7D23E39A3B9}" name="Comparison entry no."/>
    <tableColumn id="2" xr3:uid="{B6CEC470-E59B-40EC-B864-C53E6704A46E}" name="Propability Support point" dataDxfId="1194"/>
    <tableColumn id="3" xr3:uid="{83A514AA-3508-430F-9A1B-0D80D57A2106}" name="EBS self time" dataDxfId="1193"/>
    <tableColumn id="4" xr3:uid="{D09B49B6-610B-4577-8678-C14E7373610E}" name="Total time">
      <calculatedColumnFormula>SUM(TimeEntries340350[Time delta in h])</calculatedColumnFormula>
    </tableColumn>
    <tableColumn id="5" xr3:uid="{07D80F88-AB22-45C3-9FC0-F08BE9939C9D}" name="Total time / Your estimate" dataDxfId="1192">
      <calculatedColumnFormula>Tabelle7367341351[[#This Row],[EBS self time]]/Tabelle7367341351[[#This Row],[Total time]]</calculatedColumnFormula>
    </tableColumn>
  </tableColumns>
  <tableStyleInfo name="TableStyleDark1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1" xr:uid="{C889C27C-B510-4CD7-A954-9BA70EE34BD8}" name="TimeEntries342352" displayName="TimeEntries342352" ref="A1553:G1554" totalsRowShown="0">
  <autoFilter ref="A1553:G1554" xr:uid="{07466C00-28B7-4D41-9D5D-037B267B709A}"/>
  <sortState xmlns:xlrd2="http://schemas.microsoft.com/office/spreadsheetml/2017/richdata2" ref="A1554:E1554">
    <sortCondition ref="A16:A17"/>
  </sortState>
  <tableColumns count="7">
    <tableColumn id="1" xr3:uid="{8D988064-CD37-4A40-8684-C406D81EB780}" name="Time entry no."/>
    <tableColumn id="2" xr3:uid="{AA060E61-0F2E-4F1D-A73A-821088333E1D}" name="Start time" dataDxfId="1191"/>
    <tableColumn id="3" xr3:uid="{B4811784-B778-459F-AB87-9C4A9F8B0A4E}" name="End time" dataDxfId="1190"/>
    <tableColumn id="4" xr3:uid="{46C1B3EC-CC8D-44D3-A236-8628CF3A58DA}" name="Time delta in h" dataDxfId="1189">
      <calculatedColumnFormula>MAX((TimeEntries342352[[#This Row],[End time]]-TimeEntries342352[[#This Row],[Start time]])*24,0)</calculatedColumnFormula>
    </tableColumn>
    <tableColumn id="5" xr3:uid="{2A3E6F3D-BD33-4138-85F6-F49931533D27}" name="Now?"/>
    <tableColumn id="6" xr3:uid="{CC7AF744-272E-4DDF-9662-E17247E95FCC}" name="Action1" dataDxfId="1188" dataCellStyle="Hyperlink"/>
    <tableColumn id="7" xr3:uid="{29C90DCC-4A07-44E1-81BA-B1E2F74E7839}" name="Action2" dataDxfId="1187" dataCellStyle="Hyperlink"/>
  </tableColumns>
  <tableStyleInfo name="TableStyleDark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2" xr:uid="{90D40C27-88D0-463A-9C30-6713EC976A56}" name="Tabelle7367343353" displayName="Tabelle7367343353" ref="I1553:M1560" totalsRowShown="0">
  <autoFilter ref="I1553:M1560" xr:uid="{EC29E21C-5247-4061-9137-76B3FC14DB41}"/>
  <tableColumns count="5">
    <tableColumn id="1" xr3:uid="{92F4193E-99A3-4A3E-B592-DBE91B76211C}" name="Comparison entry no."/>
    <tableColumn id="2" xr3:uid="{40D140D1-5C0F-429B-AD0B-D364CD8489A6}" name="Propability Support point" dataDxfId="1186"/>
    <tableColumn id="3" xr3:uid="{748519E7-9FEB-4288-BDF6-0E0894B8D50C}" name="EBS self time" dataDxfId="1185"/>
    <tableColumn id="4" xr3:uid="{64BFD2AF-3B72-49F5-B7F2-219D481AFCD6}" name="Total time">
      <calculatedColumnFormula>SUM(TimeEntries342352[Time delta in h])</calculatedColumnFormula>
    </tableColumn>
    <tableColumn id="5" xr3:uid="{14F98340-8E89-40BE-A846-E34EE68F1759}" name="Total time / Your estimate" dataDxfId="1184">
      <calculatedColumnFormula>Tabelle7367343353[[#This Row],[EBS self time]]/Tabelle7367343353[[#This Row],[Total time]]</calculatedColumnFormula>
    </tableColumn>
  </tableColumns>
  <tableStyleInfo name="TableStyleDark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7" xr:uid="{D86CC962-3083-4CA9-8B94-1A31D2B5CC05}" name="TimeEntries344354358368" displayName="TimeEntries344354358368" ref="A1578:G1579" totalsRowShown="0">
  <autoFilter ref="A1578:G1579" xr:uid="{C7A5E4CB-666C-47C7-9D06-A027DB27FB51}"/>
  <sortState xmlns:xlrd2="http://schemas.microsoft.com/office/spreadsheetml/2017/richdata2" ref="A1579:E1579">
    <sortCondition ref="A16:A17"/>
  </sortState>
  <tableColumns count="7">
    <tableColumn id="1" xr3:uid="{7AC3E164-E9A2-4575-9095-0F2EAD2BAB48}" name="Time entry no."/>
    <tableColumn id="2" xr3:uid="{001274F4-D16F-41F3-9BC0-5B93C7052EC0}" name="Start time" dataDxfId="1183"/>
    <tableColumn id="3" xr3:uid="{A4F224DB-4CA9-4D7D-95C2-B538D3E36795}" name="End time" dataDxfId="1182"/>
    <tableColumn id="4" xr3:uid="{B509D603-3721-43E3-B1FD-E602CA7A0230}" name="Time delta in h" dataDxfId="1181">
      <calculatedColumnFormula>MAX((TimeEntries344354358368[[#This Row],[End time]]-TimeEntries344354358368[[#This Row],[Start time]])*24,0)</calculatedColumnFormula>
    </tableColumn>
    <tableColumn id="5" xr3:uid="{5C2E7032-85CB-4891-9CEC-B5D385406C1C}" name="Now?"/>
    <tableColumn id="6" xr3:uid="{B34DDA08-DB11-4799-A098-5E08731042F4}" name="Action1" dataDxfId="1180" dataCellStyle="Hyperlink"/>
    <tableColumn id="7" xr3:uid="{DE8EC24E-2296-4C39-A22F-85DDF113F2D3}" name="Action2" dataDxfId="1179" dataCellStyle="Hyperlink"/>
  </tableColumns>
  <tableStyleInfo name="TableStyleDark1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8" xr:uid="{31FCFDE2-3DE3-4DA0-8AA2-B7AC22FC9508}" name="Tabelle7367345355359369" displayName="Tabelle7367345355359369" ref="I1578:M1585" totalsRowShown="0">
  <autoFilter ref="I1578:M1585" xr:uid="{03357526-F0EA-4DB8-BEBF-74B189284E4D}"/>
  <tableColumns count="5">
    <tableColumn id="1" xr3:uid="{41EA738A-B6B2-4248-B3C8-4DBC43F3529B}" name="Comparison entry no."/>
    <tableColumn id="2" xr3:uid="{037E26BF-24DD-468F-A5CA-56DE8D607735}" name="Propability Support point" dataDxfId="1178"/>
    <tableColumn id="3" xr3:uid="{8505C87E-234E-411F-A752-2EC52DE78758}" name="EBS self time" dataDxfId="1177"/>
    <tableColumn id="4" xr3:uid="{1F86F7C9-E905-450F-95BB-6DF3A75A3D76}" name="Total time">
      <calculatedColumnFormula>SUM(TimeEntries344354358368[Time delta in h])</calculatedColumnFormula>
    </tableColumn>
    <tableColumn id="5" xr3:uid="{3C2652AB-7E26-49FF-95DA-545347B01C15}" name="Total time / Your estimate" dataDxfId="1176">
      <calculatedColumnFormula>Tabelle7367345355359369[[#This Row],[EBS self time]]/Tabelle7367345355359369[[#This Row],[Total time]]</calculatedColumnFormula>
    </tableColumn>
  </tableColumns>
  <tableStyleInfo name="TableStyleDark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9" xr:uid="{BA2BC03A-A130-4417-ACEC-CAA6F2862EBF}" name="TimeEntries360370" displayName="TimeEntries360370" ref="A1603:G1604" totalsRowShown="0">
  <autoFilter ref="A1603:G1604" xr:uid="{C4CBE3B6-6E64-43F5-99CC-6AAF99B6E443}"/>
  <sortState xmlns:xlrd2="http://schemas.microsoft.com/office/spreadsheetml/2017/richdata2" ref="A1604:E1604">
    <sortCondition ref="A16:A17"/>
  </sortState>
  <tableColumns count="7">
    <tableColumn id="1" xr3:uid="{314B4601-8C4D-43D7-990B-0AAD9AA45CF7}" name="Time entry no."/>
    <tableColumn id="2" xr3:uid="{984E4728-1598-4189-8D34-92BDBC1AFE9A}" name="Start time" dataDxfId="1175"/>
    <tableColumn id="3" xr3:uid="{549C6282-4DF8-4A30-95F7-208385975417}" name="End time" dataDxfId="1174"/>
    <tableColumn id="4" xr3:uid="{1260578B-95D4-48E5-80B8-017D7FF0EBE6}" name="Time delta in h" dataDxfId="1173">
      <calculatedColumnFormula>MAX((TimeEntries360370[[#This Row],[End time]]-TimeEntries360370[[#This Row],[Start time]])*24,0)</calculatedColumnFormula>
    </tableColumn>
    <tableColumn id="5" xr3:uid="{7ED4413F-AE54-4457-A1B7-DD16829935AD}" name="Now?"/>
    <tableColumn id="6" xr3:uid="{65A8B0FD-267A-4FFE-BA70-4DA74F0E6149}" name="Action1" dataDxfId="1172" dataCellStyle="Hyperlink"/>
    <tableColumn id="7" xr3:uid="{30AD8A21-27F4-4A9F-A8CA-2CDE795FC0FD}" name="Action2" dataDxfId="1171" dataCellStyle="Hyperlink"/>
  </tableColumns>
  <tableStyleInfo name="TableStyleDark1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0" xr:uid="{5B2DAEF9-AA16-4DB1-91E9-793EE08DE713}" name="Tabelle7367361371" displayName="Tabelle7367361371" ref="I1603:M1610" totalsRowShown="0">
  <autoFilter ref="I1603:M1610" xr:uid="{4924CDC0-5F6D-4062-9C6A-3B26E7100F39}"/>
  <tableColumns count="5">
    <tableColumn id="1" xr3:uid="{3D908284-B50A-46AF-AE6C-3565F06FE2D0}" name="Comparison entry no."/>
    <tableColumn id="2" xr3:uid="{E39E8048-17DC-4A0B-9A5A-74E4996C5B62}" name="Propability Support point" dataDxfId="1170"/>
    <tableColumn id="3" xr3:uid="{6BB731D4-B8EE-490A-8888-E3EA2BD2BD10}" name="EBS self time" dataDxfId="1169"/>
    <tableColumn id="4" xr3:uid="{EE145EB2-C10C-4E2E-8397-0A0B30A9C488}" name="Total time">
      <calculatedColumnFormula>SUM(TimeEntries360370[Time delta in h])</calculatedColumnFormula>
    </tableColumn>
    <tableColumn id="5" xr3:uid="{6ADBB605-7E49-4268-9A83-0F5A0E4DD98B}" name="Total time / Your estimate" dataDxfId="1168">
      <calculatedColumnFormula>Tabelle7367361371[[#This Row],[EBS self time]]/Tabelle7367361371[[#This Row],[Total time]]</calculatedColumnFormula>
    </tableColumn>
  </tableColumns>
  <tableStyleInfo name="TableStyleDark1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1" xr:uid="{F3B1C3F4-E670-4B24-A7E1-2B80EC6D1017}" name="TimeEntries362372" displayName="TimeEntries362372" ref="A1628:G1629" totalsRowShown="0">
  <autoFilter ref="A1628:G1629" xr:uid="{4B30A555-CB51-4A00-9EC6-6F5A278864AE}"/>
  <sortState xmlns:xlrd2="http://schemas.microsoft.com/office/spreadsheetml/2017/richdata2" ref="A1629:E1629">
    <sortCondition ref="A16:A17"/>
  </sortState>
  <tableColumns count="7">
    <tableColumn id="1" xr3:uid="{A2996947-56AC-4993-A739-C24AB8BD5CC8}" name="Time entry no."/>
    <tableColumn id="2" xr3:uid="{E4AA3DFE-DDDD-47BA-91E8-566B88367969}" name="Start time" dataDxfId="1167"/>
    <tableColumn id="3" xr3:uid="{FFBE35E5-1CF3-4A9B-9049-0EBDE536FB4A}" name="End time" dataDxfId="1166"/>
    <tableColumn id="4" xr3:uid="{1323D6A9-1F5C-4358-9068-2B581A01ED94}" name="Time delta in h" dataDxfId="1165">
      <calculatedColumnFormula>MAX((TimeEntries362372[[#This Row],[End time]]-TimeEntries362372[[#This Row],[Start time]])*24,0)</calculatedColumnFormula>
    </tableColumn>
    <tableColumn id="5" xr3:uid="{0DEA696E-DC69-40E8-9C64-611748236F77}" name="Now?"/>
    <tableColumn id="6" xr3:uid="{295EEA77-1F9D-415B-873E-9E688BED22FE}" name="Action1" dataDxfId="1164" dataCellStyle="Hyperlink"/>
    <tableColumn id="7" xr3:uid="{280C71F5-704A-401C-A802-1D14030435CF}" name="Action2" dataDxfId="1163" dataCellStyle="Hyperlink"/>
  </tableColumns>
  <tableStyleInfo name="TableStyleDark1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2" xr:uid="{3EE50374-50EC-4FDD-A4DD-8F3CF01AF62E}" name="Tabelle7367363373" displayName="Tabelle7367363373" ref="I1628:M1635" totalsRowShown="0">
  <autoFilter ref="I1628:M1635" xr:uid="{88661FDD-4521-4325-B9AB-E87980C2EDB9}"/>
  <tableColumns count="5">
    <tableColumn id="1" xr3:uid="{910FB202-14D3-4E02-9850-831ED6F3C070}" name="Comparison entry no."/>
    <tableColumn id="2" xr3:uid="{05F0E1C0-CE89-4A26-A511-8D080489CF49}" name="Propability Support point" dataDxfId="1162"/>
    <tableColumn id="3" xr3:uid="{73808287-3202-49D9-A907-F31B32AE5975}" name="EBS self time" dataDxfId="1161"/>
    <tableColumn id="4" xr3:uid="{552BC6AD-332E-4B1F-96C8-0E8C0131D997}" name="Total time">
      <calculatedColumnFormula>SUM(TimeEntries362372[Time delta in h])</calculatedColumnFormula>
    </tableColumn>
    <tableColumn id="5" xr3:uid="{E8E4D564-68F8-4243-9069-94D1E5AAF3B4}" name="Total time / Your estimate" dataDxfId="1160">
      <calculatedColumnFormula>Tabelle7367363373[[#This Row],[EBS self time]]/Tabelle7367363373[[#This Row],[Total time]]</calculatedColumnFormula>
    </tableColumn>
  </tableColumns>
  <tableStyleInfo name="TableStyleDark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3" xr:uid="{3434EA13-F237-4690-9E1B-E87DB1A62CF4}" name="TimeEntries364374" displayName="TimeEntries364374" ref="A1653:G1654" totalsRowShown="0">
  <autoFilter ref="A1653:G1654" xr:uid="{E727DE19-F378-48EA-BA1C-425EF8BE3968}"/>
  <sortState xmlns:xlrd2="http://schemas.microsoft.com/office/spreadsheetml/2017/richdata2" ref="A1654:E1654">
    <sortCondition ref="A16:A17"/>
  </sortState>
  <tableColumns count="7">
    <tableColumn id="1" xr3:uid="{EAA31B69-BFDA-4679-ADBA-4B762982BEE7}" name="Time entry no."/>
    <tableColumn id="2" xr3:uid="{95444ED0-A9F8-4886-8B00-5D209DD5FD18}" name="Start time" dataDxfId="1159"/>
    <tableColumn id="3" xr3:uid="{23B11484-15C3-4192-A60D-5C649E709486}" name="End time" dataDxfId="1158"/>
    <tableColumn id="4" xr3:uid="{3B5290B4-10C1-4932-BDAC-79F4A0930A3D}" name="Time delta in h" dataDxfId="1157">
      <calculatedColumnFormula>MAX((TimeEntries364374[[#This Row],[End time]]-TimeEntries364374[[#This Row],[Start time]])*24,0)</calculatedColumnFormula>
    </tableColumn>
    <tableColumn id="5" xr3:uid="{FC64EFC8-AA4E-4D19-B1BC-3FB596AE8E9D}" name="Now?"/>
    <tableColumn id="6" xr3:uid="{04158451-4F4D-457C-B6C3-18468AD1FC39}" name="Action1" dataDxfId="1156" dataCellStyle="Hyperlink"/>
    <tableColumn id="7" xr3:uid="{B872FA05-DBD9-4A7B-BC98-CD5CA24AD597}" name="Action2" dataDxfId="1155" dataCellStyle="Hyperlink"/>
  </tableColumns>
  <tableStyleInfo name="TableStyleDark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4" xr:uid="{E7F122A2-C20F-4A77-B769-94B2E7BDBAAA}" name="Tabelle7367365375" displayName="Tabelle7367365375" ref="I1653:M1660" totalsRowShown="0">
  <autoFilter ref="I1653:M1660" xr:uid="{204D68EB-6D51-4111-A92F-55BA585DA63E}"/>
  <tableColumns count="5">
    <tableColumn id="1" xr3:uid="{108D0B45-4F68-46DB-BFC8-BD52BF13F016}" name="Comparison entry no."/>
    <tableColumn id="2" xr3:uid="{32104DED-DD87-49BC-BF11-460988D38236}" name="Propability Support point" dataDxfId="1154"/>
    <tableColumn id="3" xr3:uid="{4E9ABC18-70CA-4ABD-A77F-78955C9288F7}" name="EBS self time" dataDxfId="1153"/>
    <tableColumn id="4" xr3:uid="{4A42459B-B256-474F-B6BC-EA8228021761}" name="Total time">
      <calculatedColumnFormula>SUM(TimeEntries364374[Time delta in h])</calculatedColumnFormula>
    </tableColumn>
    <tableColumn id="5" xr3:uid="{644C7C26-CFAF-4FC4-A46D-265FDB864632}" name="Total time / Your estimate" dataDxfId="1152">
      <calculatedColumnFormula>Tabelle7367365375[[#This Row],[EBS self time]]/Tabelle7367365375[[#This Row],[Total time]]</calculatedColumnFormula>
    </tableColumn>
  </tableColumns>
  <tableStyleInfo name="TableStyleDark1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9" xr:uid="{235490A5-5FB3-4823-8721-2C7899E8D5AA}" name="TimeEntries366376380390" displayName="TimeEntries366376380390" ref="A1678:G1679" totalsRowShown="0">
  <autoFilter ref="A1678:G1679" xr:uid="{19B885E5-69C3-4BFA-908D-19172F69D9F8}"/>
  <sortState xmlns:xlrd2="http://schemas.microsoft.com/office/spreadsheetml/2017/richdata2" ref="A1679:E1679">
    <sortCondition ref="A16:A17"/>
  </sortState>
  <tableColumns count="7">
    <tableColumn id="1" xr3:uid="{9A8E5507-2ACC-4331-BE7A-D91E2BADAE1F}" name="Time entry no."/>
    <tableColumn id="2" xr3:uid="{04B1AB8E-8888-460E-B332-CD059E15BFA5}" name="Start time" dataDxfId="1151"/>
    <tableColumn id="3" xr3:uid="{0A613950-4756-40A0-8A97-96B12785036F}" name="End time" dataDxfId="1150"/>
    <tableColumn id="4" xr3:uid="{B14C994B-2883-4F38-99FC-BA43062E3520}" name="Time delta in h" dataDxfId="1149">
      <calculatedColumnFormula>MAX((TimeEntries366376380390[[#This Row],[End time]]-TimeEntries366376380390[[#This Row],[Start time]])*24,0)</calculatedColumnFormula>
    </tableColumn>
    <tableColumn id="5" xr3:uid="{F7E79935-6CB9-4A17-9AFA-FBEA1BC30233}" name="Now?"/>
    <tableColumn id="6" xr3:uid="{66EB1CB7-C8CF-42DD-BD10-D7A0D2B51FB5}" name="Action1" dataDxfId="1148" dataCellStyle="Hyperlink"/>
    <tableColumn id="7" xr3:uid="{799EB982-43A3-47ED-8D9D-01D7CBAB0556}" name="Action2" dataDxfId="1147" dataCellStyle="Hyperlink"/>
  </tableColumns>
  <tableStyleInfo name="TableStyleDark1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0" xr:uid="{085AD9C3-C641-4962-9487-D0F1F438CFC4}" name="Tabelle7367367377381391" displayName="Tabelle7367367377381391" ref="I1678:M1685" totalsRowShown="0">
  <autoFilter ref="I1678:M1685" xr:uid="{5286CF7E-022A-4B55-AD0A-A4990A1F9EAE}"/>
  <tableColumns count="5">
    <tableColumn id="1" xr3:uid="{FEEA3E4B-0F08-45D4-A5C8-D307E849E34A}" name="Comparison entry no."/>
    <tableColumn id="2" xr3:uid="{2ED5D51C-1C6E-44E3-80D1-33D80A8464D7}" name="Propability Support point" dataDxfId="1146"/>
    <tableColumn id="3" xr3:uid="{76E7A2D3-37AE-443A-91C4-5943793B6514}" name="EBS self time" dataDxfId="1145"/>
    <tableColumn id="4" xr3:uid="{B32D7B11-58D9-448B-9C93-3186D8AEB337}" name="Total time">
      <calculatedColumnFormula>SUM(TimeEntries366376380390[Time delta in h])</calculatedColumnFormula>
    </tableColumn>
    <tableColumn id="5" xr3:uid="{B2A5EAB5-5A63-46B0-8ECA-2238B51DF2F2}" name="Total time / Your estimate" dataDxfId="1144">
      <calculatedColumnFormula>Tabelle7367367377381391[[#This Row],[EBS self time]]/Tabelle7367367377381391[[#This Row],[Total time]]</calculatedColumnFormula>
    </tableColumn>
  </tableColumns>
  <tableStyleInfo name="TableStyleDark1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1" xr:uid="{56A1A42E-CE5E-4CC7-818E-10691A9E4968}" name="TimeEntries382392" displayName="TimeEntries382392" ref="A1703:G1704" totalsRowShown="0">
  <autoFilter ref="A1703:G1704" xr:uid="{4A8BB74F-0424-45D3-885C-42DDF9A4026B}"/>
  <sortState xmlns:xlrd2="http://schemas.microsoft.com/office/spreadsheetml/2017/richdata2" ref="A1704:E1704">
    <sortCondition ref="A16:A17"/>
  </sortState>
  <tableColumns count="7">
    <tableColumn id="1" xr3:uid="{A54FA85D-AB97-4DCF-B239-BCE394149AC2}" name="Time entry no."/>
    <tableColumn id="2" xr3:uid="{5DA9F8BE-8B25-4522-B22A-C93BEA566FB6}" name="Start time" dataDxfId="1143"/>
    <tableColumn id="3" xr3:uid="{9F3EE936-1805-4723-803F-3DEF1DF41C68}" name="End time" dataDxfId="1142"/>
    <tableColumn id="4" xr3:uid="{8EE26E4A-2447-49F8-89E8-63FBF40A14C5}" name="Time delta in h" dataDxfId="1141">
      <calculatedColumnFormula>MAX((TimeEntries382392[[#This Row],[End time]]-TimeEntries382392[[#This Row],[Start time]])*24,0)</calculatedColumnFormula>
    </tableColumn>
    <tableColumn id="5" xr3:uid="{6BCFF390-5BDE-45C5-B5AE-B739AF6DCC70}" name="Now?"/>
    <tableColumn id="6" xr3:uid="{4FD210B9-C166-4EF3-81DE-E8B6A44E2C87}" name="Action1" dataDxfId="1140" dataCellStyle="Hyperlink"/>
    <tableColumn id="7" xr3:uid="{E41D1E0A-B1E0-41DD-BD05-0EAD1E8799F8}" name="Action2" dataDxfId="1139" dataCellStyle="Hyperlink"/>
  </tableColumns>
  <tableStyleInfo name="TableStyleDark1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2" xr:uid="{500CF787-C6CC-436B-B6C5-EAD9C2368B79}" name="Tabelle7367383393" displayName="Tabelle7367383393" ref="I1703:M1710" totalsRowShown="0">
  <autoFilter ref="I1703:M1710" xr:uid="{F605D6B7-EABB-4F5F-83A9-113952DB21E8}"/>
  <tableColumns count="5">
    <tableColumn id="1" xr3:uid="{6679683E-2F8A-40EE-9B11-C400FA061366}" name="Comparison entry no."/>
    <tableColumn id="2" xr3:uid="{26772A21-7BAF-4DD4-8EDC-2B9365D7EE48}" name="Propability Support point" dataDxfId="1138"/>
    <tableColumn id="3" xr3:uid="{FCD17654-EBE0-451B-A806-5EB80B99A712}" name="EBS self time" dataDxfId="1137"/>
    <tableColumn id="4" xr3:uid="{16DA54ED-6D21-4CEC-92D2-4CA9640D7F0C}" name="Total time">
      <calculatedColumnFormula>SUM(TimeEntries382392[Time delta in h])</calculatedColumnFormula>
    </tableColumn>
    <tableColumn id="5" xr3:uid="{095CCF86-A296-4EC2-BA1A-A2A4E532D6E6}" name="Total time / Your estimate" dataDxfId="1136">
      <calculatedColumnFormula>Tabelle7367383393[[#This Row],[EBS self time]]/Tabelle7367383393[[#This Row],[Total time]]</calculatedColumnFormula>
    </tableColumn>
  </tableColumns>
  <tableStyleInfo name="TableStyleDark1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3" xr:uid="{2525D22B-5FD8-4A05-A991-98383D66284B}" name="TimeEntries384394" displayName="TimeEntries384394" ref="A1728:G1729" totalsRowShown="0">
  <autoFilter ref="A1728:G1729" xr:uid="{C1AB90BD-33C9-46DB-ABBE-FFBA4B6841EB}"/>
  <sortState xmlns:xlrd2="http://schemas.microsoft.com/office/spreadsheetml/2017/richdata2" ref="A1729:E1729">
    <sortCondition ref="A16:A17"/>
  </sortState>
  <tableColumns count="7">
    <tableColumn id="1" xr3:uid="{1A078C46-BBAA-4CE3-B78E-EB32C6E5556A}" name="Time entry no."/>
    <tableColumn id="2" xr3:uid="{0E40E621-14D8-42A3-8B84-F59F41A84D08}" name="Start time" dataDxfId="1135"/>
    <tableColumn id="3" xr3:uid="{CFD419F9-05BA-40D6-BCE6-3271A3741978}" name="End time" dataDxfId="1134"/>
    <tableColumn id="4" xr3:uid="{559ABE86-73A2-4BC7-AC38-7F1F05DA7E51}" name="Time delta in h" dataDxfId="1133">
      <calculatedColumnFormula>MAX((TimeEntries384394[[#This Row],[End time]]-TimeEntries384394[[#This Row],[Start time]])*24,0)</calculatedColumnFormula>
    </tableColumn>
    <tableColumn id="5" xr3:uid="{11E98191-0D03-4955-BFBA-0CB0F16B84F0}" name="Now?"/>
    <tableColumn id="6" xr3:uid="{83DE3DE1-D63E-423F-AF1D-9A56886B085D}" name="Action1" dataDxfId="1132" dataCellStyle="Hyperlink"/>
    <tableColumn id="7" xr3:uid="{2506E5AC-B341-45F1-9FB7-92D774919236}" name="Action2" dataDxfId="1131" dataCellStyle="Hyperlink"/>
  </tableColumns>
  <tableStyleInfo name="TableStyleDark1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4" xr:uid="{1D6FD2F0-7D46-43C6-B7C8-9155AE7DC117}" name="Tabelle7367385395" displayName="Tabelle7367385395" ref="I1728:M1735" totalsRowShown="0">
  <autoFilter ref="I1728:M1735" xr:uid="{0C02AD36-F032-49FE-B7A2-468DBE3BCFBB}"/>
  <tableColumns count="5">
    <tableColumn id="1" xr3:uid="{9C17D19B-A70A-4A9F-9A40-87259ADA8656}" name="Comparison entry no."/>
    <tableColumn id="2" xr3:uid="{29D2493D-2B41-4B3B-9D99-03835EB241A7}" name="Propability Support point" dataDxfId="1130"/>
    <tableColumn id="3" xr3:uid="{B8F3D9F5-5852-4A98-9D5A-A27FD743BEE3}" name="EBS self time" dataDxfId="1129"/>
    <tableColumn id="4" xr3:uid="{9282F421-2526-4A74-982D-A35681EDB2A0}" name="Total time">
      <calculatedColumnFormula>SUM(TimeEntries384394[Time delta in h])</calculatedColumnFormula>
    </tableColumn>
    <tableColumn id="5" xr3:uid="{907580DC-8544-4712-85F0-8425907208F3}" name="Total time / Your estimate" dataDxfId="1128">
      <calculatedColumnFormula>Tabelle7367385395[[#This Row],[EBS self time]]/Tabelle7367385395[[#This Row],[Total time]]</calculatedColumnFormula>
    </tableColumn>
  </tableColumns>
  <tableStyleInfo name="TableStyleDark1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5" xr:uid="{057DF669-8E3A-4DB8-88E1-DEE015C4AE15}" name="TimeEntries386396" displayName="TimeEntries386396" ref="A1753:G1754" totalsRowShown="0">
  <autoFilter ref="A1753:G1754" xr:uid="{005AB637-F9EE-422D-B6C8-BB001C2BCE6F}"/>
  <sortState xmlns:xlrd2="http://schemas.microsoft.com/office/spreadsheetml/2017/richdata2" ref="A1754:E1754">
    <sortCondition ref="A16:A17"/>
  </sortState>
  <tableColumns count="7">
    <tableColumn id="1" xr3:uid="{597FA0BF-303E-4E86-9AFB-4B3070495C61}" name="Time entry no."/>
    <tableColumn id="2" xr3:uid="{9877A615-AED4-4506-BF10-1B965CF89B4E}" name="Start time" dataDxfId="1127"/>
    <tableColumn id="3" xr3:uid="{B8064C62-7278-42A7-A79C-B6A5FD03D535}" name="End time" dataDxfId="1126"/>
    <tableColumn id="4" xr3:uid="{9E8F595B-6778-40F3-8B13-368F5F0CE8D4}" name="Time delta in h" dataDxfId="1125">
      <calculatedColumnFormula>MAX((TimeEntries386396[[#This Row],[End time]]-TimeEntries386396[[#This Row],[Start time]])*24,0)</calculatedColumnFormula>
    </tableColumn>
    <tableColumn id="5" xr3:uid="{8CBC3582-0DF8-49A6-9CE4-2331FF393112}" name="Now?"/>
    <tableColumn id="6" xr3:uid="{C1E006A3-A951-4825-BCF8-16F01C6B696E}" name="Action1" dataDxfId="1124" dataCellStyle="Hyperlink"/>
    <tableColumn id="7" xr3:uid="{374ED9AD-77B5-436E-B841-CCB3DF24C426}" name="Action2" dataDxfId="1123" dataCellStyle="Hyperlink"/>
  </tableColumns>
  <tableStyleInfo name="TableStyleDark1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6" xr:uid="{08791FC9-EA95-424F-9380-BCD8E80D5FF5}" name="Tabelle7367387397" displayName="Tabelle7367387397" ref="I1753:M1760" totalsRowShown="0">
  <autoFilter ref="I1753:M1760" xr:uid="{68C9BEF7-55DE-43ED-A419-B6C8353C1966}"/>
  <tableColumns count="5">
    <tableColumn id="1" xr3:uid="{C512F45A-5E6F-4B83-9C42-59D341EC23D9}" name="Comparison entry no."/>
    <tableColumn id="2" xr3:uid="{37FADF62-9531-4A89-B226-B9E6F91B3D84}" name="Propability Support point" dataDxfId="1122"/>
    <tableColumn id="3" xr3:uid="{C619CDD3-E5CD-4647-B86A-C0350A1DAFD0}" name="EBS self time" dataDxfId="1121"/>
    <tableColumn id="4" xr3:uid="{B0201856-4947-47CB-A965-9AF86FED98DE}" name="Total time">
      <calculatedColumnFormula>SUM(TimeEntries386396[Time delta in h])</calculatedColumnFormula>
    </tableColumn>
    <tableColumn id="5" xr3:uid="{A9EEDE44-AFC6-4C44-BEAC-F24CC9A5F573}" name="Total time / Your estimate" dataDxfId="1120">
      <calculatedColumnFormula>Tabelle7367387397[[#This Row],[EBS self time]]/Tabelle7367387397[[#This Row],[Total time]]</calculatedColumnFormula>
    </tableColumn>
  </tableColumns>
  <tableStyleInfo name="TableStyleDark1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1" xr:uid="{76719DC6-2722-42E3-910C-8412568A0588}" name="TimeEntries388398402412" displayName="TimeEntries388398402412" ref="A1778:G1779" totalsRowShown="0">
  <autoFilter ref="A1778:G1779" xr:uid="{1D7C053A-0189-4531-8948-2054B74370E5}"/>
  <sortState xmlns:xlrd2="http://schemas.microsoft.com/office/spreadsheetml/2017/richdata2" ref="A1779:E1779">
    <sortCondition ref="A16:A17"/>
  </sortState>
  <tableColumns count="7">
    <tableColumn id="1" xr3:uid="{7972C9FA-EEF7-4FF5-AE8B-D2544A78FFB3}" name="Time entry no."/>
    <tableColumn id="2" xr3:uid="{040EF8E2-368B-4A3F-BA8C-D8BF045CD04C}" name="Start time" dataDxfId="1119"/>
    <tableColumn id="3" xr3:uid="{9528137F-1A6F-4B7E-9756-F3A011C793A8}" name="End time" dataDxfId="1118"/>
    <tableColumn id="4" xr3:uid="{86D93068-C710-42E7-B60C-3F76CCD3104C}" name="Time delta in h" dataDxfId="1117">
      <calculatedColumnFormula>MAX((TimeEntries388398402412[[#This Row],[End time]]-TimeEntries388398402412[[#This Row],[Start time]])*24,0)</calculatedColumnFormula>
    </tableColumn>
    <tableColumn id="5" xr3:uid="{868B15A0-5204-48F7-B1AF-1F6F61932E87}" name="Now?"/>
    <tableColumn id="6" xr3:uid="{4CE367CD-6FE0-4801-8175-234F5990E1F5}" name="Action1" dataDxfId="1116" dataCellStyle="Hyperlink"/>
    <tableColumn id="7" xr3:uid="{5D46F3F4-9717-4745-A60C-094A23F215C8}" name="Action2" dataDxfId="1115" dataCellStyle="Hyperlink"/>
  </tableColumns>
  <tableStyleInfo name="TableStyleDark1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2" xr:uid="{1B78F54B-2BA0-46E4-BC84-A5FF37CCD6A7}" name="Tabelle7367389399403413" displayName="Tabelle7367389399403413" ref="I1778:M1779" totalsRowShown="0">
  <autoFilter ref="I1778:M1779" xr:uid="{928BC675-2224-4007-8962-BC1F5B264A97}"/>
  <tableColumns count="5">
    <tableColumn id="1" xr3:uid="{8B52EAA9-62EC-4B5A-8B3C-EEFAD6E83468}" name="Comparison entry no."/>
    <tableColumn id="2" xr3:uid="{E256159C-1A5B-4FEC-97F7-C7718559EA3F}" name="Propability Support point" dataDxfId="1114"/>
    <tableColumn id="3" xr3:uid="{5BC31C76-2229-43D7-92A0-A088BD0AFDC4}" name="EBS self time" dataDxfId="1113"/>
    <tableColumn id="4" xr3:uid="{77416600-557B-4E21-8125-3D1D12425FC7}" name="Total time">
      <calculatedColumnFormula>SUM(TimeEntries388398402412[Time delta in h])</calculatedColumnFormula>
    </tableColumn>
    <tableColumn id="5" xr3:uid="{7E161A5F-974B-4880-9809-2C0640ECEEE4}" name="Total time / Your estimate" dataDxfId="1112">
      <calculatedColumnFormula>Tabelle7367389399403413[[#This Row],[EBS self time]]/Tabelle7367389399403413[[#This Row],[Total time]]</calculatedColumnFormula>
    </tableColumn>
  </tableColumns>
  <tableStyleInfo name="TableStyleDark1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3" xr:uid="{660A58F2-0365-423C-B1D3-7EB883D0D4A6}" name="TimeEntries404414" displayName="TimeEntries404414" ref="A1798:G1799" totalsRowShown="0">
  <autoFilter ref="A1798:G1799" xr:uid="{1534BA5A-CE18-4E85-A1FF-95A44375649B}"/>
  <sortState xmlns:xlrd2="http://schemas.microsoft.com/office/spreadsheetml/2017/richdata2" ref="A1799:E1799">
    <sortCondition ref="A16:A17"/>
  </sortState>
  <tableColumns count="7">
    <tableColumn id="1" xr3:uid="{F0598114-DE5C-45CA-815B-834418ECEBD4}" name="Time entry no."/>
    <tableColumn id="2" xr3:uid="{94F59767-7BFD-443E-8C92-3753E5B7A1EB}" name="Start time" dataDxfId="1111"/>
    <tableColumn id="3" xr3:uid="{BFA7E6E8-386B-48FB-8FBD-7F9F0576F471}" name="End time" dataDxfId="1110"/>
    <tableColumn id="4" xr3:uid="{9A818F5C-96D3-4DE0-BD4D-5822CCE8DD4F}" name="Time delta in h" dataDxfId="1109">
      <calculatedColumnFormula>MAX((TimeEntries404414[[#This Row],[End time]]-TimeEntries404414[[#This Row],[Start time]])*24,0)</calculatedColumnFormula>
    </tableColumn>
    <tableColumn id="5" xr3:uid="{D5B96077-D90F-4EF7-91CA-9CA4A30841AB}" name="Now?"/>
    <tableColumn id="6" xr3:uid="{AF1D089F-B8DF-477A-B45C-CC024D8C4B4C}" name="Action1" dataDxfId="1108" dataCellStyle="Hyperlink"/>
    <tableColumn id="7" xr3:uid="{7FAA6F30-7F63-43C8-A02B-C98088AA8846}" name="Action2" dataDxfId="1107" dataCellStyle="Hyperlink"/>
  </tableColumns>
  <tableStyleInfo name="TableStyleDark1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4" xr:uid="{7EAF0016-B29B-4D2E-86B0-7D23FE5D4E38}" name="Tabelle7367405415" displayName="Tabelle7367405415" ref="I1798:M1805" totalsRowShown="0">
  <autoFilter ref="I1798:M1805" xr:uid="{BD224787-A719-4EA2-BD5A-536C267AFEF9}"/>
  <tableColumns count="5">
    <tableColumn id="1" xr3:uid="{17387085-8D79-4A72-AC8C-6556F02209C7}" name="Comparison entry no."/>
    <tableColumn id="2" xr3:uid="{428A018A-9A2D-463D-85FE-98D1444BA10D}" name="Propability Support point" dataDxfId="1106"/>
    <tableColumn id="3" xr3:uid="{9781A300-9B82-4149-B0ED-1EA8CDCB967A}" name="EBS self time" dataDxfId="1105"/>
    <tableColumn id="4" xr3:uid="{5FEBF66B-570D-48A4-9008-DA31EF116D10}" name="Total time">
      <calculatedColumnFormula>SUM(TimeEntries404414[Time delta in h])</calculatedColumnFormula>
    </tableColumn>
    <tableColumn id="5" xr3:uid="{7487DE01-1951-472E-B9F7-945D929C1CBD}" name="Total time / Your estimate" dataDxfId="1104">
      <calculatedColumnFormula>Tabelle7367405415[[#This Row],[EBS self time]]/Tabelle7367405415[[#This Row],[Total time]]</calculatedColumnFormula>
    </tableColumn>
  </tableColumns>
  <tableStyleInfo name="TableStyleDark1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5" xr:uid="{F6598D8E-46C8-468D-A079-ADEF4922043C}" name="TimeEntries406416" displayName="TimeEntries406416" ref="A1823:G1824" totalsRowShown="0">
  <autoFilter ref="A1823:G1824" xr:uid="{7B5BBD65-AA27-49C2-9901-BE527CBDFB08}"/>
  <sortState xmlns:xlrd2="http://schemas.microsoft.com/office/spreadsheetml/2017/richdata2" ref="A1824:E1824">
    <sortCondition ref="A16:A17"/>
  </sortState>
  <tableColumns count="7">
    <tableColumn id="1" xr3:uid="{B1A99007-7EC2-4AF7-903A-43A587954C62}" name="Time entry no."/>
    <tableColumn id="2" xr3:uid="{1877A498-F7E7-4DF3-82E6-30E14EBC5E40}" name="Start time" dataDxfId="1103"/>
    <tableColumn id="3" xr3:uid="{AEE7A315-95C3-4A8B-9B63-8748594607AA}" name="End time" dataDxfId="1102"/>
    <tableColumn id="4" xr3:uid="{CAA82E47-F87F-4AAE-99C5-1C7DB34F5E00}" name="Time delta in h" dataDxfId="1101">
      <calculatedColumnFormula>MAX((TimeEntries406416[[#This Row],[End time]]-TimeEntries406416[[#This Row],[Start time]])*24,0)</calculatedColumnFormula>
    </tableColumn>
    <tableColumn id="5" xr3:uid="{1E999F49-CC32-4B05-A14F-BF7441DFE006}" name="Now?"/>
    <tableColumn id="6" xr3:uid="{0A40354B-A0F6-43D2-99C1-292EF10B5750}" name="Action1" dataDxfId="1100" dataCellStyle="Hyperlink"/>
    <tableColumn id="7" xr3:uid="{888CD174-AF3D-487F-B440-93A57F90B094}" name="Action2" dataDxfId="1099" dataCellStyle="Hyperlink"/>
  </tableColumns>
  <tableStyleInfo name="TableStyleDark1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6" xr:uid="{26A4D049-754A-49FC-A0A4-8004C87CCC43}" name="Tabelle7367407417" displayName="Tabelle7367407417" ref="I1823:M1824" totalsRowShown="0">
  <autoFilter ref="I1823:M1824" xr:uid="{1B92BCBB-1B15-4449-A3E6-5F0C3DEB9534}"/>
  <tableColumns count="5">
    <tableColumn id="1" xr3:uid="{35EFBDD3-E75A-4E7B-AB9F-EF907D5596FB}" name="Comparison entry no."/>
    <tableColumn id="2" xr3:uid="{8DBCE65B-A026-40C6-8C53-46577523D76A}" name="Propability Support point" dataDxfId="1098"/>
    <tableColumn id="3" xr3:uid="{BB575FED-FF50-41CA-B69C-FEA0C89C6B7F}" name="EBS self time" dataDxfId="1097"/>
    <tableColumn id="4" xr3:uid="{3B6C718F-6C65-4430-A9A9-59A157BE5119}" name="Total time">
      <calculatedColumnFormula>SUM(TimeEntries406416[Time delta in h])</calculatedColumnFormula>
    </tableColumn>
    <tableColumn id="5" xr3:uid="{9EA3ABCB-F0FC-422E-B5E2-24BC0B40F682}" name="Total time / Your estimate" dataDxfId="1096">
      <calculatedColumnFormula>Tabelle7367407417[[#This Row],[EBS self time]]/Tabelle7367407417[[#This Row],[Total time]]</calculatedColumnFormula>
    </tableColumn>
  </tableColumns>
  <tableStyleInfo name="TableStyleDark1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7" xr:uid="{D3449E31-C4E4-4EE5-9AFF-D5C335EEA79E}" name="TimeEntries408418" displayName="TimeEntries408418" ref="A1843:G1844" totalsRowShown="0">
  <autoFilter ref="A1843:G1844" xr:uid="{B8D9F8FF-ECB1-4427-882D-06755C59A995}"/>
  <sortState xmlns:xlrd2="http://schemas.microsoft.com/office/spreadsheetml/2017/richdata2" ref="A1844:E1844">
    <sortCondition ref="A16:A17"/>
  </sortState>
  <tableColumns count="7">
    <tableColumn id="1" xr3:uid="{F15EAA02-9DAC-4298-8798-40DB35900923}" name="Time entry no."/>
    <tableColumn id="2" xr3:uid="{28A2846A-E597-4FCD-87D7-CB0ED63E5026}" name="Start time" dataDxfId="1095"/>
    <tableColumn id="3" xr3:uid="{87BBEE73-F226-41DE-BB93-90A8D3DD60AC}" name="End time" dataDxfId="1094"/>
    <tableColumn id="4" xr3:uid="{A134E3D6-D5E1-418B-BD4B-F2E89F1BAE6F}" name="Time delta in h" dataDxfId="1093">
      <calculatedColumnFormula>MAX((TimeEntries408418[[#This Row],[End time]]-TimeEntries408418[[#This Row],[Start time]])*24,0)</calculatedColumnFormula>
    </tableColumn>
    <tableColumn id="5" xr3:uid="{45A6D2D5-BD2C-43FE-8C5A-72691E920BE3}" name="Now?"/>
    <tableColumn id="6" xr3:uid="{94EFE541-CA7E-4118-8009-72C11075BCDF}" name="Action1" dataDxfId="1092" dataCellStyle="Hyperlink"/>
    <tableColumn id="7" xr3:uid="{357416F6-3A73-4C50-A803-1B7ADDD6D143}" name="Action2" dataDxfId="1091" dataCellStyle="Hyperlink"/>
  </tableColumns>
  <tableStyleInfo name="TableStyleDark1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8" xr:uid="{67361B78-15CB-4AF1-AD38-C9407C9006AC}" name="Tabelle7367409419" displayName="Tabelle7367409419" ref="I1843:M1850" totalsRowShown="0">
  <autoFilter ref="I1843:M1850" xr:uid="{B72F5564-BAC4-4E98-859F-DCBBCBB0779F}"/>
  <tableColumns count="5">
    <tableColumn id="1" xr3:uid="{39382849-B250-4D9E-9D6C-76C5F84BEC8E}" name="Comparison entry no."/>
    <tableColumn id="2" xr3:uid="{E744EF68-27E1-4A59-8AF9-B5D36769ED34}" name="Propability Support point" dataDxfId="1090"/>
    <tableColumn id="3" xr3:uid="{1F3AC2D2-D64B-4B77-A9B4-15CCDD149941}" name="EBS self time" dataDxfId="1089"/>
    <tableColumn id="4" xr3:uid="{1E66219E-8C52-48F0-BB62-E2FDB7C694E2}" name="Total time">
      <calculatedColumnFormula>SUM(TimeEntries408418[Time delta in h])</calculatedColumnFormula>
    </tableColumn>
    <tableColumn id="5" xr3:uid="{919363DD-5E29-48B5-B640-713E6CB3EC0C}" name="Total time / Your estimate" dataDxfId="1088">
      <calculatedColumnFormula>Tabelle7367409419[[#This Row],[EBS self time]]/Tabelle7367409419[[#This Row],[Total time]]</calculatedColumnFormula>
    </tableColumn>
  </tableColumns>
  <tableStyleInfo name="TableStyleDark1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3" xr:uid="{E1788900-0B3A-425E-9FE1-1DABA6871CAF}" name="TimeEntries410420424434" displayName="TimeEntries410420424434" ref="A1868:G1869" totalsRowShown="0">
  <autoFilter ref="A1868:G1869" xr:uid="{6296F72A-B512-42E1-A4F1-5F0F885E2BC6}"/>
  <sortState xmlns:xlrd2="http://schemas.microsoft.com/office/spreadsheetml/2017/richdata2" ref="A1869:E1869">
    <sortCondition ref="A16:A17"/>
  </sortState>
  <tableColumns count="7">
    <tableColumn id="1" xr3:uid="{17B63BF3-E70E-4726-9ED7-13013179355B}" name="Time entry no."/>
    <tableColumn id="2" xr3:uid="{5A98E30A-7B9E-4C41-AADA-900BE6313C0D}" name="Start time" dataDxfId="1087"/>
    <tableColumn id="3" xr3:uid="{4976F8F5-4388-4C45-AE4E-BE15FAFAA64D}" name="End time" dataDxfId="1086"/>
    <tableColumn id="4" xr3:uid="{14CEE145-4F20-4D8D-B98C-51EA0A2C5AA7}" name="Time delta in h" dataDxfId="1085">
      <calculatedColumnFormula>MAX((TimeEntries410420424434[[#This Row],[End time]]-TimeEntries410420424434[[#This Row],[Start time]])*24,0)</calculatedColumnFormula>
    </tableColumn>
    <tableColumn id="5" xr3:uid="{8901422B-B1CF-4D49-A4FF-5890AA0027B5}" name="Now?"/>
    <tableColumn id="6" xr3:uid="{A7978EF7-AD94-4731-ADA4-B59CA85A960D}" name="Action1" dataDxfId="1084" dataCellStyle="Hyperlink"/>
    <tableColumn id="7" xr3:uid="{5E5C73FD-B699-44EC-AD74-7E7353BDA7E7}" name="Action2" dataDxfId="1083" dataCellStyle="Hyperlink"/>
  </tableColumns>
  <tableStyleInfo name="TableStyleDark1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4" xr:uid="{6052578D-9BDE-4B5C-B379-F43625BD93D2}" name="Tabelle7367411421425435" displayName="Tabelle7367411421425435" ref="I1868:M1869" totalsRowShown="0">
  <autoFilter ref="I1868:M1869" xr:uid="{05B44AB0-7613-4975-9E3C-D39AF1202A78}"/>
  <tableColumns count="5">
    <tableColumn id="1" xr3:uid="{314E71B6-A7AF-4184-8CAB-ABBA445EC346}" name="Comparison entry no."/>
    <tableColumn id="2" xr3:uid="{AEE2E058-A6B6-47E1-ABF5-527B3767C180}" name="Propability Support point" dataDxfId="1082"/>
    <tableColumn id="3" xr3:uid="{564D9ED2-1A5B-4420-89D7-CAB2103EA937}" name="EBS self time" dataDxfId="1081"/>
    <tableColumn id="4" xr3:uid="{DF0B3152-8960-4659-98FF-122FC5029B7F}" name="Total time">
      <calculatedColumnFormula>SUM(TimeEntries410420424434[Time delta in h])</calculatedColumnFormula>
    </tableColumn>
    <tableColumn id="5" xr3:uid="{9D245EA5-6C90-48AF-A85E-1718292AA010}" name="Total time / Your estimate" dataDxfId="1080">
      <calculatedColumnFormula>Tabelle7367411421425435[[#This Row],[EBS self time]]/Tabelle7367411421425435[[#This Row],[Total time]]</calculatedColumnFormula>
    </tableColumn>
  </tableColumns>
  <tableStyleInfo name="TableStyleDark1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5" xr:uid="{DAA5DDB0-7D34-4280-8F40-79CAEB4EBB36}" name="TimeEntries426436" displayName="TimeEntries426436" ref="A1888:G1889" totalsRowShown="0">
  <autoFilter ref="A1888:G1889" xr:uid="{A65DC9CA-6E72-4576-9F2D-9F1519FBD4F8}"/>
  <sortState xmlns:xlrd2="http://schemas.microsoft.com/office/spreadsheetml/2017/richdata2" ref="A1889:E1889">
    <sortCondition ref="A16:A17"/>
  </sortState>
  <tableColumns count="7">
    <tableColumn id="1" xr3:uid="{5721C21C-597E-4B6B-A2CC-05A13ED2AF38}" name="Time entry no."/>
    <tableColumn id="2" xr3:uid="{1A26AB1D-A942-4D74-A4D6-8E2F90A64B6B}" name="Start time" dataDxfId="1079"/>
    <tableColumn id="3" xr3:uid="{15BB0FEA-87B0-4C9F-9E2A-6E3F56287CEB}" name="End time" dataDxfId="1078"/>
    <tableColumn id="4" xr3:uid="{D1E7AED9-E8A0-47A4-8147-2801F28E3375}" name="Time delta in h" dataDxfId="1077">
      <calculatedColumnFormula>MAX((TimeEntries426436[[#This Row],[End time]]-TimeEntries426436[[#This Row],[Start time]])*24,0)</calculatedColumnFormula>
    </tableColumn>
    <tableColumn id="5" xr3:uid="{8FD43234-3A36-4FE2-96C6-D16CE5C9F4FF}" name="Now?"/>
    <tableColumn id="6" xr3:uid="{3C81D007-8191-4FAC-870F-1D251F96EB28}" name="Action1" dataDxfId="1076" dataCellStyle="Hyperlink"/>
    <tableColumn id="7" xr3:uid="{4A4901FF-555D-42D6-83E1-E6422B5DE738}" name="Action2" dataDxfId="1075" dataCellStyle="Hyperlink"/>
  </tableColumns>
  <tableStyleInfo name="TableStyleDark1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6" xr:uid="{B6ABAD57-85F0-4E79-BB09-1E044DDFA9DC}" name="Tabelle7367427437" displayName="Tabelle7367427437" ref="I1888:M1895" totalsRowShown="0">
  <autoFilter ref="I1888:M1895" xr:uid="{C08C15D6-06D2-4951-B560-99C9C2F6C35A}"/>
  <tableColumns count="5">
    <tableColumn id="1" xr3:uid="{46E696F6-452C-479B-A294-ADDA6994887F}" name="Comparison entry no."/>
    <tableColumn id="2" xr3:uid="{C5ED3ACC-96D5-4C1F-8A16-64714FF383ED}" name="Propability Support point" dataDxfId="1074"/>
    <tableColumn id="3" xr3:uid="{2B5B7027-78D2-4027-828F-6FEBAEC3A5E4}" name="EBS self time" dataDxfId="1073"/>
    <tableColumn id="4" xr3:uid="{B97B6BE9-2341-4E9B-834D-37C00BF572A9}" name="Total time">
      <calculatedColumnFormula>SUM(TimeEntries426436[Time delta in h])</calculatedColumnFormula>
    </tableColumn>
    <tableColumn id="5" xr3:uid="{EB3272CF-A7BE-4462-95E8-13CC6EACC111}" name="Total time / Your estimate" dataDxfId="1072">
      <calculatedColumnFormula>Tabelle7367427437[[#This Row],[EBS self time]]/Tabelle7367427437[[#This Row],[Total time]]</calculatedColumnFormula>
    </tableColumn>
  </tableColumns>
  <tableStyleInfo name="TableStyleDark1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7" xr:uid="{BBF00BA0-37A7-4697-A03E-93B93D78A0C9}" name="TimeEntries428438" displayName="TimeEntries428438" ref="A1913:G1914" totalsRowShown="0">
  <autoFilter ref="A1913:G1914" xr:uid="{1FA17F0B-3556-4F98-AE5B-00824F3673E9}"/>
  <sortState xmlns:xlrd2="http://schemas.microsoft.com/office/spreadsheetml/2017/richdata2" ref="A1914:E1914">
    <sortCondition ref="A16:A17"/>
  </sortState>
  <tableColumns count="7">
    <tableColumn id="1" xr3:uid="{43994140-FA44-4E23-9C67-8EC8DDB71851}" name="Time entry no."/>
    <tableColumn id="2" xr3:uid="{D3FBBC64-5670-40E5-9752-61CFC6B985D4}" name="Start time" dataDxfId="1071"/>
    <tableColumn id="3" xr3:uid="{FE69F848-3C53-4FDB-B725-E1E91C1C3F8F}" name="End time" dataDxfId="1070"/>
    <tableColumn id="4" xr3:uid="{38769631-3BCE-43FD-80CB-6FF0D4BB548C}" name="Time delta in h" dataDxfId="1069">
      <calculatedColumnFormula>MAX((TimeEntries428438[[#This Row],[End time]]-TimeEntries428438[[#This Row],[Start time]])*24,0)</calculatedColumnFormula>
    </tableColumn>
    <tableColumn id="5" xr3:uid="{88280F68-1640-4572-ABEA-9A2BB2BC66ED}" name="Now?"/>
    <tableColumn id="6" xr3:uid="{6DD22F1A-96DC-421A-A243-C245E402FFF4}" name="Action1" dataDxfId="1068" dataCellStyle="Hyperlink"/>
    <tableColumn id="7" xr3:uid="{4FB06F83-2D2F-4E69-9C4F-E828CC4DE231}" name="Action2" dataDxfId="1067" dataCellStyle="Hyperlink"/>
  </tableColumns>
  <tableStyleInfo name="TableStyleDark1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8" xr:uid="{4119780B-3CF4-4189-8159-0136CB255838}" name="Tabelle7367429439" displayName="Tabelle7367429439" ref="I1913:M1920" totalsRowShown="0">
  <autoFilter ref="I1913:M1920" xr:uid="{57FB1099-69CC-43F7-A4E5-988B92D3034B}"/>
  <tableColumns count="5">
    <tableColumn id="1" xr3:uid="{E702FB50-F44E-4BC5-B420-63B5FABF8EE2}" name="Comparison entry no."/>
    <tableColumn id="2" xr3:uid="{6B639A96-B2B6-4A3D-B076-A7421C57B45A}" name="Propability Support point" dataDxfId="1066"/>
    <tableColumn id="3" xr3:uid="{5ABD6E41-539A-4735-8F7E-BA72582DE762}" name="EBS self time" dataDxfId="1065"/>
    <tableColumn id="4" xr3:uid="{91B0410C-27DF-4BE6-A56C-F590047098E5}" name="Total time">
      <calculatedColumnFormula>SUM(TimeEntries428438[Time delta in h])</calculatedColumnFormula>
    </tableColumn>
    <tableColumn id="5" xr3:uid="{2D102847-18FD-4066-98F3-3D05580411A8}" name="Total time / Your estimate" dataDxfId="1064">
      <calculatedColumnFormula>Tabelle7367429439[[#This Row],[EBS self time]]/Tabelle7367429439[[#This Row],[Total time]]</calculatedColumnFormula>
    </tableColumn>
  </tableColumns>
  <tableStyleInfo name="TableStyleDark1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9" xr:uid="{50B5682A-17BE-4288-A414-32905B4A571F}" name="TimeEntries430440" displayName="TimeEntries430440" ref="A1938:G1939" totalsRowShown="0">
  <autoFilter ref="A1938:G1939" xr:uid="{E1C51D20-E3D5-498A-BB2F-3F9B7A8E5811}"/>
  <sortState xmlns:xlrd2="http://schemas.microsoft.com/office/spreadsheetml/2017/richdata2" ref="A1939:E1939">
    <sortCondition ref="A16:A17"/>
  </sortState>
  <tableColumns count="7">
    <tableColumn id="1" xr3:uid="{0C2F14A7-960D-408F-BAD9-3B6165A3B038}" name="Time entry no."/>
    <tableColumn id="2" xr3:uid="{ECB179C2-89BD-4056-AF01-D9DCB089C5E7}" name="Start time" dataDxfId="1063"/>
    <tableColumn id="3" xr3:uid="{27B65606-5BA5-465B-B1A6-50E832A4500D}" name="End time" dataDxfId="1062"/>
    <tableColumn id="4" xr3:uid="{6027CC56-5DDF-4C99-9FEC-3F0EDDC27E85}" name="Time delta in h" dataDxfId="1061">
      <calculatedColumnFormula>MAX((TimeEntries430440[[#This Row],[End time]]-TimeEntries430440[[#This Row],[Start time]])*24,0)</calculatedColumnFormula>
    </tableColumn>
    <tableColumn id="5" xr3:uid="{3DAE00A3-6791-4ECB-AA0F-D63192FAECD7}" name="Now?"/>
    <tableColumn id="6" xr3:uid="{12318DBD-D2AE-4F15-A238-5C82AEF10647}" name="Action1" dataDxfId="1060" dataCellStyle="Hyperlink"/>
    <tableColumn id="7" xr3:uid="{B8F356C6-4F1D-44D4-9BAD-834DADC1203C}" name="Action2" dataDxfId="1059" dataCellStyle="Hyperlink"/>
  </tableColumns>
  <tableStyleInfo name="TableStyleDark1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0" xr:uid="{D08F0C86-43E2-47D8-B275-13C31CAEE6EE}" name="Tabelle7367431441" displayName="Tabelle7367431441" ref="I1938:M1939" totalsRowShown="0">
  <autoFilter ref="I1938:M1939" xr:uid="{FEB839E7-8DFA-456D-80F4-2C7F28816C1D}"/>
  <tableColumns count="5">
    <tableColumn id="1" xr3:uid="{CA07576B-3F0A-4100-8DAA-FC5624C30D4C}" name="Comparison entry no."/>
    <tableColumn id="2" xr3:uid="{4A53B3FC-5AB3-4648-90E6-36AD433CBF55}" name="Propability Support point" dataDxfId="1058"/>
    <tableColumn id="3" xr3:uid="{61104B62-7965-45E5-A013-4EEA98E9069C}" name="EBS self time" dataDxfId="1057"/>
    <tableColumn id="4" xr3:uid="{D3941EC2-6223-4410-83E0-4BF1F9ED3916}" name="Total time">
      <calculatedColumnFormula>SUM(TimeEntries430440[Time delta in h])</calculatedColumnFormula>
    </tableColumn>
    <tableColumn id="5" xr3:uid="{6DDB0350-51AC-465E-AAD7-1E253181E236}" name="Total time / Your estimate" dataDxfId="1056">
      <calculatedColumnFormula>Tabelle7367431441[[#This Row],[EBS self time]]/Tabelle7367431441[[#This Row],[Total time]]</calculatedColumnFormula>
    </tableColumn>
  </tableColumns>
  <tableStyleInfo name="TableStyleDark1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5" xr:uid="{4F57624A-433C-40FF-86A2-F58440C196F0}" name="TimeEntries432442446456" displayName="TimeEntries432442446456" ref="A1958:G1959" totalsRowShown="0">
  <autoFilter ref="A1958:G1959" xr:uid="{4AB1D1C6-BC03-41A1-A982-75DD190223A9}"/>
  <sortState xmlns:xlrd2="http://schemas.microsoft.com/office/spreadsheetml/2017/richdata2" ref="A1959:E1959">
    <sortCondition ref="A16:A17"/>
  </sortState>
  <tableColumns count="7">
    <tableColumn id="1" xr3:uid="{79DAE702-6A4F-48F8-8B81-6073005DB3F2}" name="Time entry no."/>
    <tableColumn id="2" xr3:uid="{22F919B0-8EE5-4390-A493-2B18671C92FC}" name="Start time" dataDxfId="1055"/>
    <tableColumn id="3" xr3:uid="{F109A393-CCAE-4E55-AEB8-B2621A485759}" name="End time" dataDxfId="1054"/>
    <tableColumn id="4" xr3:uid="{B4E4C37C-71B3-4F94-B463-EB545E95A10F}" name="Time delta in h" dataDxfId="1053">
      <calculatedColumnFormula>MAX((TimeEntries432442446456[[#This Row],[End time]]-TimeEntries432442446456[[#This Row],[Start time]])*24,0)</calculatedColumnFormula>
    </tableColumn>
    <tableColumn id="5" xr3:uid="{E5A8EB56-4F7C-4CCC-A5D7-446C08975BF8}" name="Now?"/>
    <tableColumn id="6" xr3:uid="{22842D5F-1407-4A10-9BAE-A1C7E782AECE}" name="Action1" dataDxfId="1052" dataCellStyle="Hyperlink"/>
    <tableColumn id="7" xr3:uid="{79CB5CD0-EE72-4BF2-80F2-4C7F6DF1BE7A}" name="Action2" dataDxfId="1051" dataCellStyle="Hyperlink"/>
  </tableColumns>
  <tableStyleInfo name="TableStyleDark1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6" xr:uid="{E30B5C3C-A3BC-4A0B-BB2C-8C1274260923}" name="Tabelle7367433443447457" displayName="Tabelle7367433443447457" ref="I1958:M1965" totalsRowShown="0">
  <autoFilter ref="I1958:M1965" xr:uid="{79C2819D-5A3C-4F0C-9458-C58A655193A8}"/>
  <tableColumns count="5">
    <tableColumn id="1" xr3:uid="{720DE0F1-FEDA-417C-BEE0-32F0F5E28F68}" name="Comparison entry no."/>
    <tableColumn id="2" xr3:uid="{68784354-8484-477B-AA41-F440B97C516A}" name="Propability Support point" dataDxfId="1050"/>
    <tableColumn id="3" xr3:uid="{5787E5B8-7E03-461E-A1FE-326E9403A15B}" name="EBS self time" dataDxfId="1049"/>
    <tableColumn id="4" xr3:uid="{83ED30C6-8971-4E87-A20E-3FBCAF4DE032}" name="Total time">
      <calculatedColumnFormula>SUM(TimeEntries432442446456[Time delta in h])</calculatedColumnFormula>
    </tableColumn>
    <tableColumn id="5" xr3:uid="{FC400794-7870-4139-8F13-5F995DA6207A}" name="Total time / Your estimate" dataDxfId="1048">
      <calculatedColumnFormula>Tabelle7367433443447457[[#This Row],[EBS self time]]/Tabelle7367433443447457[[#This Row],[Total time]]</calculatedColumnFormula>
    </tableColumn>
  </tableColumns>
  <tableStyleInfo name="TableStyleDark1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7" xr:uid="{61496898-66F1-44F4-9501-4F768D3801C2}" name="TimeEntries448458" displayName="TimeEntries448458" ref="A1983:G1984" totalsRowShown="0">
  <autoFilter ref="A1983:G1984" xr:uid="{95FAE064-3085-4CAA-8CFA-F2CEC8221F51}"/>
  <sortState xmlns:xlrd2="http://schemas.microsoft.com/office/spreadsheetml/2017/richdata2" ref="A1984:E1984">
    <sortCondition ref="A16:A17"/>
  </sortState>
  <tableColumns count="7">
    <tableColumn id="1" xr3:uid="{1658E181-5A41-4532-8A54-713308463386}" name="Time entry no."/>
    <tableColumn id="2" xr3:uid="{03A335A4-030B-4AE2-917E-398D40941246}" name="Start time" dataDxfId="1047"/>
    <tableColumn id="3" xr3:uid="{F2DA1BD2-24E4-4871-A568-F2696E4E5B63}" name="End time" dataDxfId="1046"/>
    <tableColumn id="4" xr3:uid="{6166E002-2AA2-494D-AF47-B93B5FB54F9C}" name="Time delta in h" dataDxfId="1045">
      <calculatedColumnFormula>MAX((TimeEntries448458[[#This Row],[End time]]-TimeEntries448458[[#This Row],[Start time]])*24,0)</calculatedColumnFormula>
    </tableColumn>
    <tableColumn id="5" xr3:uid="{4A65994F-F2AF-4AA7-9F01-C27FA0898FC8}" name="Now?"/>
    <tableColumn id="6" xr3:uid="{EA8D5278-EE24-4B72-B90D-B7547C9D8629}" name="Action1" dataDxfId="1044" dataCellStyle="Hyperlink"/>
    <tableColumn id="7" xr3:uid="{245B053D-EE53-4925-A7F2-48861821E882}" name="Action2" dataDxfId="1043" dataCellStyle="Hyperlink"/>
  </tableColumns>
  <tableStyleInfo name="TableStyleDark1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8" xr:uid="{DF470044-497F-484A-8765-D65E760ABF91}" name="Tabelle7367449459" displayName="Tabelle7367449459" ref="I1983:M1990" totalsRowShown="0">
  <autoFilter ref="I1983:M1990" xr:uid="{FCA2B219-1237-4FFD-B1DE-91F1180569AD}"/>
  <tableColumns count="5">
    <tableColumn id="1" xr3:uid="{89025790-5D85-4D9E-996B-D66E8CED17C7}" name="Comparison entry no."/>
    <tableColumn id="2" xr3:uid="{AD4C3840-6BD2-4BE7-AF2B-73EB19079C21}" name="Propability Support point" dataDxfId="1042"/>
    <tableColumn id="3" xr3:uid="{6FCF94C8-188B-4137-AA98-D094418E7FDA}" name="EBS self time" dataDxfId="1041"/>
    <tableColumn id="4" xr3:uid="{09C650D7-C2B1-44AF-9674-371D959FA76B}" name="Total time">
      <calculatedColumnFormula>SUM(TimeEntries448458[Time delta in h])</calculatedColumnFormula>
    </tableColumn>
    <tableColumn id="5" xr3:uid="{5D6E24A7-2353-448E-92D0-268A44EDFFA2}" name="Total time / Your estimate" dataDxfId="1040">
      <calculatedColumnFormula>Tabelle7367449459[[#This Row],[EBS self time]]/Tabelle7367449459[[#This Row],[Total time]]</calculatedColumnFormula>
    </tableColumn>
  </tableColumns>
  <tableStyleInfo name="TableStyleDark1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9" xr:uid="{E475BDE3-9B24-4352-8FCC-78F27AA39FE6}" name="TimeEntries450460" displayName="TimeEntries450460" ref="A2008:G2009" totalsRowShown="0">
  <autoFilter ref="A2008:G2009" xr:uid="{2F984EF5-E9C5-42E1-9BF8-FFFC929BCEE5}"/>
  <sortState xmlns:xlrd2="http://schemas.microsoft.com/office/spreadsheetml/2017/richdata2" ref="A2009:E2009">
    <sortCondition ref="A16:A17"/>
  </sortState>
  <tableColumns count="7">
    <tableColumn id="1" xr3:uid="{924DD8BF-C043-4D4B-9D50-533F1A765FC1}" name="Time entry no."/>
    <tableColumn id="2" xr3:uid="{AE63B128-F938-4CC1-92E2-0183850E9D30}" name="Start time" dataDxfId="1039"/>
    <tableColumn id="3" xr3:uid="{53FB48B1-6EBA-47C4-9F89-D9284D98ADB8}" name="End time" dataDxfId="1038"/>
    <tableColumn id="4" xr3:uid="{4D4044F6-292F-4004-A375-ED58300AAC72}" name="Time delta in h" dataDxfId="1037">
      <calculatedColumnFormula>MAX((TimeEntries450460[[#This Row],[End time]]-TimeEntries450460[[#This Row],[Start time]])*24,0)</calculatedColumnFormula>
    </tableColumn>
    <tableColumn id="5" xr3:uid="{E5666B6B-DF95-49B9-BE9B-1D53CB09FCB6}" name="Now?"/>
    <tableColumn id="6" xr3:uid="{A0405722-CB48-4C2D-A845-7CCC0928037A}" name="Action1" dataDxfId="1036" dataCellStyle="Hyperlink"/>
    <tableColumn id="7" xr3:uid="{CA078EF5-D2D7-4ACC-94EA-C18DE87A51CD}" name="Action2" dataDxfId="1035" dataCellStyle="Hyperlink"/>
  </tableColumns>
  <tableStyleInfo name="TableStyleDark1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0" xr:uid="{135EB13F-BFF6-4096-83AA-834A1211B998}" name="Tabelle7367451461" displayName="Tabelle7367451461" ref="I2008:M2015" totalsRowShown="0">
  <autoFilter ref="I2008:M2015" xr:uid="{BF5DE87D-8B2C-46E6-A5A3-F6CFA28EAE8A}"/>
  <tableColumns count="5">
    <tableColumn id="1" xr3:uid="{A2E9C799-0FBC-4AD9-A9F4-C5AF96AAFA9B}" name="Comparison entry no."/>
    <tableColumn id="2" xr3:uid="{4C7F6C4A-70FC-4ED9-94CA-AF634B1B2F08}" name="Propability Support point" dataDxfId="1034"/>
    <tableColumn id="3" xr3:uid="{9C36288C-9381-4622-AAE8-B3E44C7CCED4}" name="EBS self time" dataDxfId="1033"/>
    <tableColumn id="4" xr3:uid="{AE130723-EDB6-4D0B-9CD5-233A44D80EA3}" name="Total time">
      <calculatedColumnFormula>SUM(TimeEntries450460[Time delta in h])</calculatedColumnFormula>
    </tableColumn>
    <tableColumn id="5" xr3:uid="{054A685B-7C54-4250-BB0F-59DC308563C5}" name="Total time / Your estimate" dataDxfId="1032">
      <calculatedColumnFormula>Tabelle7367451461[[#This Row],[EBS self time]]/Tabelle7367451461[[#This Row],[Total time]]</calculatedColumnFormula>
    </tableColumn>
  </tableColumns>
  <tableStyleInfo name="TableStyleDark1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1" xr:uid="{2E978FB4-7B30-4959-A6D1-C22417F57BB6}" name="TimeEntries452462" displayName="TimeEntries452462" ref="A2033:G2034" totalsRowShown="0">
  <autoFilter ref="A2033:G2034" xr:uid="{DE4AA3AA-D295-45BE-BFA3-BD01EC3E1728}"/>
  <sortState xmlns:xlrd2="http://schemas.microsoft.com/office/spreadsheetml/2017/richdata2" ref="A2034:E2034">
    <sortCondition ref="A16:A17"/>
  </sortState>
  <tableColumns count="7">
    <tableColumn id="1" xr3:uid="{DED0BBB9-79BF-46DE-868D-166EE327F156}" name="Time entry no."/>
    <tableColumn id="2" xr3:uid="{A2F92EFC-A84F-4847-B5C0-131BB516C46E}" name="Start time" dataDxfId="1031"/>
    <tableColumn id="3" xr3:uid="{CE9DBD1A-B5F9-445A-84CF-05BDCA7FE307}" name="End time" dataDxfId="1030"/>
    <tableColumn id="4" xr3:uid="{36DFAA82-53C9-4F02-8B5A-94E28EB60904}" name="Time delta in h" dataDxfId="1029">
      <calculatedColumnFormula>MAX((TimeEntries452462[[#This Row],[End time]]-TimeEntries452462[[#This Row],[Start time]])*24,0)</calculatedColumnFormula>
    </tableColumn>
    <tableColumn id="5" xr3:uid="{E1D8C7DC-013F-4D18-B8C2-E98D02E0B3C9}" name="Now?"/>
    <tableColumn id="6" xr3:uid="{A2C86FD4-C3E8-4417-B83C-FB0976A157C8}" name="Action1" dataDxfId="1028" dataCellStyle="Hyperlink"/>
    <tableColumn id="7" xr3:uid="{B1BD736A-B340-49ED-9606-ED8DA000BA2B}" name="Action2" dataDxfId="1027" dataCellStyle="Hyperlink"/>
  </tableColumns>
  <tableStyleInfo name="TableStyleDark1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2" xr:uid="{D25D6E47-0A68-4A56-BF29-E5F71099AE95}" name="Tabelle7367453463" displayName="Tabelle7367453463" ref="I2033:M2040" totalsRowShown="0">
  <autoFilter ref="I2033:M2040" xr:uid="{08335A2B-F12A-48E8-ADC1-B377BF7EE376}"/>
  <tableColumns count="5">
    <tableColumn id="1" xr3:uid="{C83BEA1E-4BBE-448A-AD50-D41DFEE5087F}" name="Comparison entry no."/>
    <tableColumn id="2" xr3:uid="{5D3989A9-C4A4-4B6C-8662-00A7AF04AFC0}" name="Propability Support point" dataDxfId="1026"/>
    <tableColumn id="3" xr3:uid="{6BFDD722-8784-4AB8-B5BF-F383291741E2}" name="EBS self time" dataDxfId="1025"/>
    <tableColumn id="4" xr3:uid="{43AE7432-7E8A-4016-BF24-AB1772343A19}" name="Total time">
      <calculatedColumnFormula>SUM(TimeEntries452462[Time delta in h])</calculatedColumnFormula>
    </tableColumn>
    <tableColumn id="5" xr3:uid="{E073CFB3-7F78-4845-B8A3-A48FA4C19A48}" name="Total time / Your estimate" dataDxfId="1024">
      <calculatedColumnFormula>Tabelle7367453463[[#This Row],[EBS self time]]/Tabelle7367453463[[#This Row],[Total time]]</calculatedColumnFormula>
    </tableColumn>
  </tableColumns>
  <tableStyleInfo name="TableStyleDark1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7" xr:uid="{37E59BAE-8259-48B9-97BD-A30F1D317E70}" name="TimeEntries454464468478" displayName="TimeEntries454464468478" ref="A2058:G2059" totalsRowShown="0">
  <autoFilter ref="A2058:G2059" xr:uid="{A9CA3FE8-39E3-4A9B-B6AE-32D6ABF428EF}"/>
  <sortState xmlns:xlrd2="http://schemas.microsoft.com/office/spreadsheetml/2017/richdata2" ref="A2059:E2059">
    <sortCondition ref="A16:A17"/>
  </sortState>
  <tableColumns count="7">
    <tableColumn id="1" xr3:uid="{3FDDF0A6-1859-4CD0-9B85-44845BE02A5D}" name="Time entry no."/>
    <tableColumn id="2" xr3:uid="{4987B8B2-E2AD-4654-B478-56CF78B47BBE}" name="Start time" dataDxfId="1023"/>
    <tableColumn id="3" xr3:uid="{0226F727-DB75-461C-BA91-C257CF1F7798}" name="End time" dataDxfId="1022"/>
    <tableColumn id="4" xr3:uid="{D479C758-EE36-45E8-A36A-D1FE509C01D3}" name="Time delta in h" dataDxfId="1021">
      <calculatedColumnFormula>MAX((TimeEntries454464468478[[#This Row],[End time]]-TimeEntries454464468478[[#This Row],[Start time]])*24,0)</calculatedColumnFormula>
    </tableColumn>
    <tableColumn id="5" xr3:uid="{95F63F1B-A808-47F5-A5EE-488A137CAC48}" name="Now?"/>
    <tableColumn id="6" xr3:uid="{5952327B-688D-4D4F-854E-CEC567CE2249}" name="Action1" dataDxfId="1020" dataCellStyle="Hyperlink"/>
    <tableColumn id="7" xr3:uid="{461A45AB-90ED-4A3B-8FDE-330EBC6696CB}" name="Action2" dataDxfId="1019" dataCellStyle="Hyperlink"/>
  </tableColumns>
  <tableStyleInfo name="TableStyleDark1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8" xr:uid="{0487388C-9C51-4FEA-B82E-2361D0FEE154}" name="Tabelle7367455465469479" displayName="Tabelle7367455465469479" ref="I2058:M2065" totalsRowShown="0">
  <autoFilter ref="I2058:M2065" xr:uid="{707A1BFD-C707-4CDC-BD2D-B834DB775502}"/>
  <tableColumns count="5">
    <tableColumn id="1" xr3:uid="{D3024541-4311-46EA-9B43-131134C7B3FE}" name="Comparison entry no."/>
    <tableColumn id="2" xr3:uid="{E5D2ABB5-F24C-4FE6-ACD2-001C57C0E30E}" name="Propability Support point" dataDxfId="1018"/>
    <tableColumn id="3" xr3:uid="{6BDCC596-5BE0-4AA3-895E-DAD0BCD900D4}" name="EBS self time" dataDxfId="1017"/>
    <tableColumn id="4" xr3:uid="{3492475C-7372-4B7C-86C1-9B02E22256E7}" name="Total time">
      <calculatedColumnFormula>SUM(TimeEntries454464468478[Time delta in h])</calculatedColumnFormula>
    </tableColumn>
    <tableColumn id="5" xr3:uid="{DDED18F5-1697-48CA-A999-30142065BFA5}" name="Total time / Your estimate" dataDxfId="1016">
      <calculatedColumnFormula>Tabelle7367455465469479[[#This Row],[EBS self time]]/Tabelle7367455465469479[[#This Row],[Total time]]</calculatedColumnFormula>
    </tableColumn>
  </tableColumns>
  <tableStyleInfo name="TableStyleDark1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9" xr:uid="{D5F0232B-CB2E-4DC9-BA62-B8B245B38DBF}" name="TimeEntries470480" displayName="TimeEntries470480" ref="A2083:G2084" totalsRowShown="0">
  <autoFilter ref="A2083:G2084" xr:uid="{786AD48B-DCC6-43D1-9D84-7214FEB70C33}"/>
  <sortState xmlns:xlrd2="http://schemas.microsoft.com/office/spreadsheetml/2017/richdata2" ref="A2084:E2084">
    <sortCondition ref="A16:A17"/>
  </sortState>
  <tableColumns count="7">
    <tableColumn id="1" xr3:uid="{C04236FE-2CD3-4695-861A-87784F4E555E}" name="Time entry no."/>
    <tableColumn id="2" xr3:uid="{F75E5531-78EC-4855-AA8E-BB86217E1C76}" name="Start time" dataDxfId="1015"/>
    <tableColumn id="3" xr3:uid="{3F560AEA-18AE-47C4-8FDB-A894422645AC}" name="End time" dataDxfId="1014"/>
    <tableColumn id="4" xr3:uid="{6EEA0967-0143-4C16-A1B4-969FF9B48046}" name="Time delta in h" dataDxfId="1013">
      <calculatedColumnFormula>MAX((TimeEntries470480[[#This Row],[End time]]-TimeEntries470480[[#This Row],[Start time]])*24,0)</calculatedColumnFormula>
    </tableColumn>
    <tableColumn id="5" xr3:uid="{8C5F3541-1624-426E-9A42-64A992D6B490}" name="Now?"/>
    <tableColumn id="6" xr3:uid="{07A76B0E-C675-4FF4-AFD8-6938BE9AB40F}" name="Action1" dataDxfId="1012" dataCellStyle="Hyperlink"/>
    <tableColumn id="7" xr3:uid="{A1EB369E-C6C5-4212-B3FE-BDAD6A32336F}" name="Action2" dataDxfId="1011" dataCellStyle="Hyperlink"/>
  </tableColumns>
  <tableStyleInfo name="TableStyleDark1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0" xr:uid="{785EE46E-A76B-464E-96E2-BB10B51281F6}" name="Tabelle7367471481" displayName="Tabelle7367471481" ref="I2083:M2090" totalsRowShown="0">
  <autoFilter ref="I2083:M2090" xr:uid="{65802FBE-1464-4DBF-AFE7-D16EEFD23FFA}"/>
  <tableColumns count="5">
    <tableColumn id="1" xr3:uid="{AC34CF57-8D5C-4D7D-87CC-25DB59ACE5C2}" name="Comparison entry no."/>
    <tableColumn id="2" xr3:uid="{9D99A106-A4B5-43EB-B67D-3B77DD159EA6}" name="Propability Support point" dataDxfId="1010"/>
    <tableColumn id="3" xr3:uid="{71458BDE-5192-43AD-9445-0076886CFAEB}" name="EBS self time" dataDxfId="1009"/>
    <tableColumn id="4" xr3:uid="{3B116397-DE85-450F-B929-0492AF53ADFF}" name="Total time">
      <calculatedColumnFormula>SUM(TimeEntries470480[Time delta in h])</calculatedColumnFormula>
    </tableColumn>
    <tableColumn id="5" xr3:uid="{B0590B2A-A421-493D-9549-E5F9A0D29B80}" name="Total time / Your estimate" dataDxfId="1008">
      <calculatedColumnFormula>Tabelle7367471481[[#This Row],[EBS self time]]/Tabelle7367471481[[#This Row],[Total time]]</calculatedColumnFormula>
    </tableColumn>
  </tableColumns>
  <tableStyleInfo name="TableStyleDark1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1" xr:uid="{A46238A9-2BA8-4B70-9062-AEA8E07D3C60}" name="TimeEntries472482" displayName="TimeEntries472482" ref="A2108:G2109" totalsRowShown="0">
  <autoFilter ref="A2108:G2109" xr:uid="{A8FF50C8-FB18-4719-A735-79CB26C1AB4D}"/>
  <sortState xmlns:xlrd2="http://schemas.microsoft.com/office/spreadsheetml/2017/richdata2" ref="A2109:E2109">
    <sortCondition ref="A16:A17"/>
  </sortState>
  <tableColumns count="7">
    <tableColumn id="1" xr3:uid="{07142A2F-FC35-4EC6-B5A6-85B166DFCA35}" name="Time entry no."/>
    <tableColumn id="2" xr3:uid="{87CB76A1-B9AC-49DC-9872-EC246EDDE892}" name="Start time" dataDxfId="1007"/>
    <tableColumn id="3" xr3:uid="{7DF1A1A4-A316-4773-ABCE-EB421F9C65F2}" name="End time" dataDxfId="1006"/>
    <tableColumn id="4" xr3:uid="{97E2A6CC-EA9D-4702-A994-BF9E8A2D5419}" name="Time delta in h" dataDxfId="1005">
      <calculatedColumnFormula>MAX((TimeEntries472482[[#This Row],[End time]]-TimeEntries472482[[#This Row],[Start time]])*24,0)</calculatedColumnFormula>
    </tableColumn>
    <tableColumn id="5" xr3:uid="{3EBE6820-1532-404A-9D48-5A410823F1D7}" name="Now?"/>
    <tableColumn id="6" xr3:uid="{2ECF6D31-E050-4956-B31E-47286A6D4811}" name="Action1" dataDxfId="1004" dataCellStyle="Hyperlink"/>
    <tableColumn id="7" xr3:uid="{150B838A-CC03-495B-A6BD-5FB5B1178ABD}" name="Action2" dataDxfId="1003" dataCellStyle="Hyperlink"/>
  </tableColumns>
  <tableStyleInfo name="TableStyleDark1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2" xr:uid="{6B126A9F-7C36-46C0-B895-D52F986588C9}" name="Tabelle7367473483" displayName="Tabelle7367473483" ref="I2108:M2109" totalsRowShown="0">
  <autoFilter ref="I2108:M2109" xr:uid="{C6C58400-7E19-4DE3-8B5D-912484C534FE}"/>
  <tableColumns count="5">
    <tableColumn id="1" xr3:uid="{873EBBF9-4A7B-4B8A-B67B-7F392A85B08C}" name="Comparison entry no."/>
    <tableColumn id="2" xr3:uid="{29ADA315-F22D-43CF-9C2A-B0D89638A0D2}" name="Propability Support point" dataDxfId="1002"/>
    <tableColumn id="3" xr3:uid="{4B6D7519-329E-4A4B-BDFF-7BBC79F42F2B}" name="EBS self time" dataDxfId="1001"/>
    <tableColumn id="4" xr3:uid="{C8A718C5-DC95-47DC-9C82-DE5AD510097A}" name="Total time">
      <calculatedColumnFormula>SUM(TimeEntries472482[Time delta in h])</calculatedColumnFormula>
    </tableColumn>
    <tableColumn id="5" xr3:uid="{2ED17306-FB20-4575-BAFA-8C9B995056FE}" name="Total time / Your estimate" dataDxfId="1000">
      <calculatedColumnFormula>Tabelle7367473483[[#This Row],[EBS self time]]/Tabelle7367473483[[#This Row],[Total time]]</calculatedColumnFormula>
    </tableColumn>
  </tableColumns>
  <tableStyleInfo name="TableStyleDark1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3" xr:uid="{214F838B-D8B4-4BB1-9546-FCBF61888D1E}" name="TimeEntries474484" displayName="TimeEntries474484" ref="A2128:G2129" totalsRowShown="0">
  <autoFilter ref="A2128:G2129" xr:uid="{0995A283-1604-470F-9373-9E2477C17913}"/>
  <sortState xmlns:xlrd2="http://schemas.microsoft.com/office/spreadsheetml/2017/richdata2" ref="A2129:E2129">
    <sortCondition ref="A16:A17"/>
  </sortState>
  <tableColumns count="7">
    <tableColumn id="1" xr3:uid="{7D09471D-628B-4E94-84CD-97F5ADD82097}" name="Time entry no."/>
    <tableColumn id="2" xr3:uid="{EFCE579D-D3E2-458A-9C4F-B50D5E022D88}" name="Start time" dataDxfId="999"/>
    <tableColumn id="3" xr3:uid="{BC3BD78C-392C-4832-9B36-ECDC3288BF3C}" name="End time" dataDxfId="998"/>
    <tableColumn id="4" xr3:uid="{BBC263F2-B415-48CF-BF8D-3A1243AD24B6}" name="Time delta in h" dataDxfId="997">
      <calculatedColumnFormula>MAX((TimeEntries474484[[#This Row],[End time]]-TimeEntries474484[[#This Row],[Start time]])*24,0)</calculatedColumnFormula>
    </tableColumn>
    <tableColumn id="5" xr3:uid="{48073076-9417-4A06-93E5-7AB91D456AC3}" name="Now?"/>
    <tableColumn id="6" xr3:uid="{A5759F30-C6C6-4B1C-B743-8D36EAC20EFD}" name="Action1" dataDxfId="996" dataCellStyle="Hyperlink"/>
    <tableColumn id="7" xr3:uid="{18044EBE-9521-4856-97E1-847C239256A1}" name="Action2" dataDxfId="995" dataCellStyle="Hyperlink"/>
  </tableColumns>
  <tableStyleInfo name="TableStyleDark1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4" xr:uid="{CBCC6D18-0574-4CF0-AEC0-B18D16BF06E2}" name="Tabelle7367475485" displayName="Tabelle7367475485" ref="I2128:M2135" totalsRowShown="0">
  <autoFilter ref="I2128:M2135" xr:uid="{AC01A52D-83FF-4E91-921F-0CFD1BAF98D9}"/>
  <tableColumns count="5">
    <tableColumn id="1" xr3:uid="{0B78C41B-B82B-479B-B560-F92469E0B9B9}" name="Comparison entry no."/>
    <tableColumn id="2" xr3:uid="{ECBF189D-5DD2-4F8D-B001-A60DC84F43D7}" name="Propability Support point" dataDxfId="994"/>
    <tableColumn id="3" xr3:uid="{AFFE87A9-29EF-4480-AF52-1D18E04CAD23}" name="EBS self time" dataDxfId="993"/>
    <tableColumn id="4" xr3:uid="{10608FE1-CECE-47BD-8E74-80F983EF8A36}" name="Total time">
      <calculatedColumnFormula>SUM(TimeEntries474484[Time delta in h])</calculatedColumnFormula>
    </tableColumn>
    <tableColumn id="5" xr3:uid="{B1656482-ABC3-4861-93BE-93EEAA03161C}" name="Total time / Your estimate" dataDxfId="992">
      <calculatedColumnFormula>Tabelle7367475485[[#This Row],[EBS self time]]/Tabelle7367475485[[#This Row],[Total time]]</calculatedColumnFormula>
    </tableColumn>
  </tableColumns>
  <tableStyleInfo name="TableStyleDark1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9" xr:uid="{83612B28-52DF-4471-9DA2-B26108D1A788}" name="TimeEntries476486490500" displayName="TimeEntries476486490500" ref="A2153:G2154" totalsRowShown="0">
  <autoFilter ref="A2153:G2154" xr:uid="{EC43990E-6C03-4ABC-B7D2-580D5764E84E}"/>
  <sortState xmlns:xlrd2="http://schemas.microsoft.com/office/spreadsheetml/2017/richdata2" ref="A2154:E2154">
    <sortCondition ref="A16:A17"/>
  </sortState>
  <tableColumns count="7">
    <tableColumn id="1" xr3:uid="{9C38896D-7193-4BA2-9897-6B492FED6381}" name="Time entry no."/>
    <tableColumn id="2" xr3:uid="{20CE2018-9932-4093-BD96-56BE33A50814}" name="Start time" dataDxfId="991"/>
    <tableColumn id="3" xr3:uid="{FAD96ED9-E78A-43DA-AAC0-521D68AB5262}" name="End time" dataDxfId="990"/>
    <tableColumn id="4" xr3:uid="{C14DF2B7-B6BB-45EE-9C9E-EA1815770AA8}" name="Time delta in h" dataDxfId="989">
      <calculatedColumnFormula>MAX((TimeEntries476486490500[[#This Row],[End time]]-TimeEntries476486490500[[#This Row],[Start time]])*24,0)</calculatedColumnFormula>
    </tableColumn>
    <tableColumn id="5" xr3:uid="{0A8BAC19-6D34-43AA-B891-1A75F224D1AC}" name="Now?"/>
    <tableColumn id="6" xr3:uid="{AC8A945F-9D70-4173-9262-B61BFD5C88F8}" name="Action1" dataDxfId="988" dataCellStyle="Hyperlink"/>
    <tableColumn id="7" xr3:uid="{21160E6F-E22D-480E-BD1A-A1E403E7076E}" name="Action2" dataDxfId="987" dataCellStyle="Hyperlink"/>
  </tableColumns>
  <tableStyleInfo name="TableStyleDark1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0" xr:uid="{4BF8DEE8-C8F1-4129-A89D-5E50C59F4D12}" name="Tabelle7367477487491501" displayName="Tabelle7367477487491501" ref="I2153:M2160" totalsRowShown="0">
  <autoFilter ref="I2153:M2160" xr:uid="{1BC50C71-C62A-4F06-8F5F-F5BB38B88A9A}"/>
  <tableColumns count="5">
    <tableColumn id="1" xr3:uid="{C2AF6A74-9EB1-461E-83E6-5A0D0A3F872F}" name="Comparison entry no."/>
    <tableColumn id="2" xr3:uid="{E7BF396E-3E6A-4230-AE3F-52E920360D49}" name="Propability Support point" dataDxfId="986"/>
    <tableColumn id="3" xr3:uid="{1EBF3134-9642-459A-BC8B-C63FA76CEFF6}" name="EBS self time" dataDxfId="985"/>
    <tableColumn id="4" xr3:uid="{3E089DA2-6F62-4A50-A5AF-C15F5377965B}" name="Total time">
      <calculatedColumnFormula>SUM(TimeEntries476486490500[Time delta in h])</calculatedColumnFormula>
    </tableColumn>
    <tableColumn id="5" xr3:uid="{D2F58550-7656-4A38-B316-A437B4D15712}" name="Total time / Your estimate" dataDxfId="984">
      <calculatedColumnFormula>Tabelle7367477487491501[[#This Row],[EBS self time]]/Tabelle7367477487491501[[#This Row],[Total time]]</calculatedColumnFormula>
    </tableColumn>
  </tableColumns>
  <tableStyleInfo name="TableStyleDark1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1" xr:uid="{C6B842FA-23F9-4975-8C6C-83B31542FC11}" name="TimeEntries492502" displayName="TimeEntries492502" ref="A2178:G2179" totalsRowShown="0">
  <autoFilter ref="A2178:G2179" xr:uid="{1910EFA9-BF7A-4311-9271-2FBA61E63DC7}"/>
  <sortState xmlns:xlrd2="http://schemas.microsoft.com/office/spreadsheetml/2017/richdata2" ref="A2179:E2179">
    <sortCondition ref="A16:A17"/>
  </sortState>
  <tableColumns count="7">
    <tableColumn id="1" xr3:uid="{234D7996-D660-44D1-9AEF-256FC9F88192}" name="Time entry no."/>
    <tableColumn id="2" xr3:uid="{A950E9C7-1A13-4189-8794-2B2645C1F2C5}" name="Start time" dataDxfId="983"/>
    <tableColumn id="3" xr3:uid="{24CAF1A7-678C-405A-BD3D-0212862532FA}" name="End time" dataDxfId="982"/>
    <tableColumn id="4" xr3:uid="{29672954-EE2E-4D25-8C3A-EDB5EE5D44E4}" name="Time delta in h" dataDxfId="981">
      <calculatedColumnFormula>MAX((TimeEntries492502[[#This Row],[End time]]-TimeEntries492502[[#This Row],[Start time]])*24,0)</calculatedColumnFormula>
    </tableColumn>
    <tableColumn id="5" xr3:uid="{70762BD2-E971-43E8-ADB5-8C5A79D9F863}" name="Now?"/>
    <tableColumn id="6" xr3:uid="{D46FBBDB-6DE3-408C-96FA-7D5C66D5FA71}" name="Action1" dataDxfId="980" dataCellStyle="Hyperlink"/>
    <tableColumn id="7" xr3:uid="{D27B0016-C93B-4891-A955-1C1A59F9F415}" name="Action2" dataDxfId="979" dataCellStyle="Hyperlink"/>
  </tableColumns>
  <tableStyleInfo name="TableStyleDark1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2" xr:uid="{DA457C68-B54F-4BF1-BDB3-4FC57636D8A4}" name="Tabelle7367493503" displayName="Tabelle7367493503" ref="I2178:M2179" totalsRowShown="0">
  <autoFilter ref="I2178:M2179" xr:uid="{EFC79FFF-0F58-4816-B3B4-08B8C4765013}"/>
  <tableColumns count="5">
    <tableColumn id="1" xr3:uid="{15238FEC-FD37-48EA-A970-79652FA1C9C2}" name="Comparison entry no."/>
    <tableColumn id="2" xr3:uid="{2759C639-5025-4DC1-BEB4-D0E5F33C4C84}" name="Propability Support point" dataDxfId="978"/>
    <tableColumn id="3" xr3:uid="{6D24B305-7DB6-458F-80B1-A935EBA86EFF}" name="EBS self time" dataDxfId="977"/>
    <tableColumn id="4" xr3:uid="{8CF04997-59F8-4BA2-9590-17204BF7BBE0}" name="Total time">
      <calculatedColumnFormula>SUM(TimeEntries492502[Time delta in h])</calculatedColumnFormula>
    </tableColumn>
    <tableColumn id="5" xr3:uid="{D6659642-9A47-442D-AE1A-D294B7890F0A}" name="Total time / Your estimate" dataDxfId="976">
      <calculatedColumnFormula>Tabelle7367493503[[#This Row],[EBS self time]]/Tabelle7367493503[[#This Row],[Total time]]</calculatedColumnFormula>
    </tableColumn>
  </tableColumns>
  <tableStyleInfo name="TableStyleDark1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3" xr:uid="{75141955-9EFC-4B60-9FDE-0D64E5FD6D7A}" name="TimeEntries494504" displayName="TimeEntries494504" ref="A2198:G2199" totalsRowShown="0">
  <autoFilter ref="A2198:G2199" xr:uid="{A6056E91-9714-467B-9C35-DB9A0991F7AD}"/>
  <sortState xmlns:xlrd2="http://schemas.microsoft.com/office/spreadsheetml/2017/richdata2" ref="A2199:E2199">
    <sortCondition ref="A16:A17"/>
  </sortState>
  <tableColumns count="7">
    <tableColumn id="1" xr3:uid="{344DFF51-E8ED-422A-BBCF-F6BE58E54E22}" name="Time entry no."/>
    <tableColumn id="2" xr3:uid="{7E1467B9-9474-412A-B2B4-94534434EA16}" name="Start time" dataDxfId="975"/>
    <tableColumn id="3" xr3:uid="{18BB4AA7-6067-4F34-AE57-F24504F0DE6B}" name="End time" dataDxfId="974"/>
    <tableColumn id="4" xr3:uid="{6604ED2C-D791-41DD-B453-61C196A01BA7}" name="Time delta in h" dataDxfId="973">
      <calculatedColumnFormula>MAX((TimeEntries494504[[#This Row],[End time]]-TimeEntries494504[[#This Row],[Start time]])*24,0)</calculatedColumnFormula>
    </tableColumn>
    <tableColumn id="5" xr3:uid="{47E7FA6B-1F37-4752-8E93-FA68ED07DEB5}" name="Now?"/>
    <tableColumn id="6" xr3:uid="{221A4A64-6CBA-4216-B0F9-E619F5B2DD39}" name="Action1" dataDxfId="972" dataCellStyle="Hyperlink"/>
    <tableColumn id="7" xr3:uid="{76731F65-746F-4745-BA8F-2A16343D4EE1}" name="Action2" dataDxfId="971" dataCellStyle="Hyperlink"/>
  </tableColumns>
  <tableStyleInfo name="TableStyleDark1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4" xr:uid="{CAADFA9D-D868-4B2F-A5B4-184DF626A875}" name="Tabelle7367495505" displayName="Tabelle7367495505" ref="I2198:M2199" totalsRowShown="0">
  <autoFilter ref="I2198:M2199" xr:uid="{D2AA308D-3290-4521-87BD-380BABF080B9}"/>
  <tableColumns count="5">
    <tableColumn id="1" xr3:uid="{80A40CB9-EB3E-44DA-A53D-6852E3E05EAC}" name="Comparison entry no."/>
    <tableColumn id="2" xr3:uid="{C87B41D7-14E4-4CA3-80CC-295C7D38E0C5}" name="Propability Support point" dataDxfId="970"/>
    <tableColumn id="3" xr3:uid="{8EE7831C-51F8-48A7-A090-679A5FEE0A16}" name="EBS self time" dataDxfId="969"/>
    <tableColumn id="4" xr3:uid="{3A76B291-CF0C-4B24-B40B-5E85B6A98F8C}" name="Total time">
      <calculatedColumnFormula>SUM(TimeEntries494504[Time delta in h])</calculatedColumnFormula>
    </tableColumn>
    <tableColumn id="5" xr3:uid="{BDC8BC1F-E2EA-46EC-BAEA-65EC340E32D9}" name="Total time / Your estimate" dataDxfId="968">
      <calculatedColumnFormula>Tabelle7367495505[[#This Row],[EBS self time]]/Tabelle7367495505[[#This Row],[Total time]]</calculatedColumnFormula>
    </tableColumn>
  </tableColumns>
  <tableStyleInfo name="TableStyleDark1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5" xr:uid="{7F10CCEC-1464-4166-8922-3DD6C993CEFD}" name="TimeEntries496506" displayName="TimeEntries496506" ref="A2218:G2219" totalsRowShown="0">
  <autoFilter ref="A2218:G2219" xr:uid="{E1E565E5-6137-44E2-BD39-53AE2A161C16}"/>
  <sortState xmlns:xlrd2="http://schemas.microsoft.com/office/spreadsheetml/2017/richdata2" ref="A2219:E2219">
    <sortCondition ref="A16:A17"/>
  </sortState>
  <tableColumns count="7">
    <tableColumn id="1" xr3:uid="{7A88998B-7A1C-4B34-91B3-66A64293607A}" name="Time entry no."/>
    <tableColumn id="2" xr3:uid="{BCC688DE-D842-458B-B283-DE8D6349D932}" name="Start time" dataDxfId="967"/>
    <tableColumn id="3" xr3:uid="{66CBA82E-A80C-4AC2-8341-EBA147933814}" name="End time" dataDxfId="966"/>
    <tableColumn id="4" xr3:uid="{D1AD3424-2537-4054-838C-71024F6822E0}" name="Time delta in h" dataDxfId="965">
      <calculatedColumnFormula>MAX((TimeEntries496506[[#This Row],[End time]]-TimeEntries496506[[#This Row],[Start time]])*24,0)</calculatedColumnFormula>
    </tableColumn>
    <tableColumn id="5" xr3:uid="{7A26EEF7-C83D-40D2-84E4-A88F7A26D342}" name="Now?"/>
    <tableColumn id="6" xr3:uid="{5C54AB82-FA77-4ED4-A750-6424AC1A89C2}" name="Action1" dataDxfId="964" dataCellStyle="Hyperlink"/>
    <tableColumn id="7" xr3:uid="{7830C960-D15D-4A58-962B-B75D90DD8777}" name="Action2" dataDxfId="963" dataCellStyle="Hyperlink"/>
  </tableColumns>
  <tableStyleInfo name="TableStyleDark1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6" xr:uid="{643C448A-F5B7-4860-B59C-64B5B81F4D47}" name="Tabelle7367497507" displayName="Tabelle7367497507" ref="I2218:M2219" totalsRowShown="0">
  <autoFilter ref="I2218:M2219" xr:uid="{EA8F276E-96A2-495D-90A1-D4F33A214B59}"/>
  <tableColumns count="5">
    <tableColumn id="1" xr3:uid="{755DC655-1BB8-43D0-8FCB-992CC1CB24CF}" name="Comparison entry no."/>
    <tableColumn id="2" xr3:uid="{4EB1A19C-2A68-4211-8286-8900267FC19C}" name="Propability Support point" dataDxfId="962"/>
    <tableColumn id="3" xr3:uid="{758C4498-675D-4902-98D6-86B04E81B3C1}" name="EBS self time" dataDxfId="961"/>
    <tableColumn id="4" xr3:uid="{893598A8-8983-4870-A31A-5CABC959AACD}" name="Total time">
      <calculatedColumnFormula>SUM(TimeEntries496506[Time delta in h])</calculatedColumnFormula>
    </tableColumn>
    <tableColumn id="5" xr3:uid="{9338B03B-447F-442C-89FC-C70401770FB6}" name="Total time / Your estimate" dataDxfId="960">
      <calculatedColumnFormula>Tabelle7367497507[[#This Row],[EBS self time]]/Tabelle7367497507[[#This Row],[Total time]]</calculatedColumnFormula>
    </tableColumn>
  </tableColumns>
  <tableStyleInfo name="TableStyleDark1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1" xr:uid="{4DB06CA1-B82B-46C3-B258-39ED34E58AAC}" name="TimeEntries498508512522" displayName="TimeEntries498508512522" ref="A2238:G2239" totalsRowShown="0">
  <autoFilter ref="A2238:G2239" xr:uid="{6A2D8268-7AB6-4002-82A5-22CC1D5B3490}"/>
  <sortState xmlns:xlrd2="http://schemas.microsoft.com/office/spreadsheetml/2017/richdata2" ref="A2239:E2239">
    <sortCondition ref="A16:A17"/>
  </sortState>
  <tableColumns count="7">
    <tableColumn id="1" xr3:uid="{DC2B5B94-123B-433D-B51A-7776409CA9D5}" name="Time entry no."/>
    <tableColumn id="2" xr3:uid="{0B5E379B-6BF7-4A20-B9F1-1E5A4092F97D}" name="Start time" dataDxfId="959"/>
    <tableColumn id="3" xr3:uid="{886D004A-3A9E-4599-8BC9-DEAB850307B4}" name="End time" dataDxfId="958"/>
    <tableColumn id="4" xr3:uid="{0DEE7B2C-723E-4B65-8D2C-BB5870D744C4}" name="Time delta in h" dataDxfId="957">
      <calculatedColumnFormula>MAX((TimeEntries498508512522[[#This Row],[End time]]-TimeEntries498508512522[[#This Row],[Start time]])*24,0)</calculatedColumnFormula>
    </tableColumn>
    <tableColumn id="5" xr3:uid="{2D09F3F5-2DAD-4C69-9BEB-A0AB41A5D2B5}" name="Now?"/>
    <tableColumn id="6" xr3:uid="{4102FF5C-408C-4A59-9DB3-259618A7B3D2}" name="Action1" dataDxfId="956" dataCellStyle="Hyperlink"/>
    <tableColumn id="7" xr3:uid="{995F7C9D-75BE-4240-8294-F1199F686DB5}" name="Action2" dataDxfId="955" dataCellStyle="Hyperlink"/>
  </tableColumns>
  <tableStyleInfo name="TableStyleDark1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2" xr:uid="{5C8D622A-BD5E-415A-BE86-BB6574B5D9DC}" name="Tabelle7367499509513523" displayName="Tabelle7367499509513523" ref="I2238:M2245" totalsRowShown="0">
  <autoFilter ref="I2238:M2245" xr:uid="{4260AC2C-FD3D-46F1-8EE6-5424FDD5B98C}"/>
  <tableColumns count="5">
    <tableColumn id="1" xr3:uid="{7BA4892D-2589-44BF-94E6-9E8D46E0DE0A}" name="Comparison entry no."/>
    <tableColumn id="2" xr3:uid="{5DA5A25D-73EB-4766-88DF-B5DFA608BC40}" name="Propability Support point" dataDxfId="954"/>
    <tableColumn id="3" xr3:uid="{3A340C67-3181-4397-86C4-8C2EE7A91821}" name="EBS self time" dataDxfId="953"/>
    <tableColumn id="4" xr3:uid="{FA49D6B8-5EC9-4857-9308-3B7758463F74}" name="Total time">
      <calculatedColumnFormula>SUM(TimeEntries498508512522[Time delta in h])</calculatedColumnFormula>
    </tableColumn>
    <tableColumn id="5" xr3:uid="{E4ED85B1-1C7E-4FE2-9621-EE05BA8BFF82}" name="Total time / Your estimate" dataDxfId="952">
      <calculatedColumnFormula>Tabelle7367499509513523[[#This Row],[EBS self time]]/Tabelle7367499509513523[[#This Row],[Total time]]</calculatedColumnFormula>
    </tableColumn>
  </tableColumns>
  <tableStyleInfo name="TableStyleDark1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3" xr:uid="{A3159CDB-9F60-4FF7-98F0-446F24BB4563}" name="TimeEntries514524" displayName="TimeEntries514524" ref="A2263:G2264" totalsRowShown="0">
  <autoFilter ref="A2263:G2264" xr:uid="{E982B556-EDEB-4AFD-B43A-A666667FA9AC}"/>
  <sortState xmlns:xlrd2="http://schemas.microsoft.com/office/spreadsheetml/2017/richdata2" ref="A2264:E2264">
    <sortCondition ref="A16:A17"/>
  </sortState>
  <tableColumns count="7">
    <tableColumn id="1" xr3:uid="{7343BD99-FDC8-4E5E-80C9-3A9AA8541071}" name="Time entry no."/>
    <tableColumn id="2" xr3:uid="{9632AD92-4FF3-49CC-B67D-4EB01F230ACD}" name="Start time" dataDxfId="951"/>
    <tableColumn id="3" xr3:uid="{6D6A7F61-B3FC-490D-9082-992FED7C4F92}" name="End time" dataDxfId="950"/>
    <tableColumn id="4" xr3:uid="{04E30872-B63E-4E68-AB2B-E8A1E4465076}" name="Time delta in h" dataDxfId="949">
      <calculatedColumnFormula>MAX((TimeEntries514524[[#This Row],[End time]]-TimeEntries514524[[#This Row],[Start time]])*24,0)</calculatedColumnFormula>
    </tableColumn>
    <tableColumn id="5" xr3:uid="{335BB977-69D0-4EFB-8B53-76053D75556A}" name="Now?"/>
    <tableColumn id="6" xr3:uid="{F4EB7FED-C963-44DB-B050-63C4DEDA9627}" name="Action1" dataDxfId="948" dataCellStyle="Hyperlink"/>
    <tableColumn id="7" xr3:uid="{4B93B00A-AD01-4E62-A059-A41A3E2590C8}" name="Action2" dataDxfId="947" dataCellStyle="Hyperlink"/>
  </tableColumns>
  <tableStyleInfo name="TableStyleDark1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4" xr:uid="{03EFEA4B-233F-440A-AB6D-07DA71BF5055}" name="Tabelle7367515525" displayName="Tabelle7367515525" ref="I2263:M2270" totalsRowShown="0">
  <autoFilter ref="I2263:M2270" xr:uid="{8C5F2C56-4596-42C1-A2DB-EBC3D999D792}"/>
  <tableColumns count="5">
    <tableColumn id="1" xr3:uid="{53E234C9-A39C-4B12-BEBA-70D7E6B4750B}" name="Comparison entry no."/>
    <tableColumn id="2" xr3:uid="{A721DD86-DA77-461B-8E41-90D50BDAE1F7}" name="Propability Support point" dataDxfId="946"/>
    <tableColumn id="3" xr3:uid="{F0F7F1E3-61BC-49A9-A30C-B7ABD9CDE7C5}" name="EBS self time" dataDxfId="945"/>
    <tableColumn id="4" xr3:uid="{CFF496E4-DC88-4227-A64D-9C614F58B891}" name="Total time">
      <calculatedColumnFormula>SUM(TimeEntries514524[Time delta in h])</calculatedColumnFormula>
    </tableColumn>
    <tableColumn id="5" xr3:uid="{A76EC650-C948-4555-9357-CD0CB09EC265}" name="Total time / Your estimate" dataDxfId="944">
      <calculatedColumnFormula>Tabelle7367515525[[#This Row],[EBS self time]]/Tabelle7367515525[[#This Row],[Total time]]</calculatedColumnFormula>
    </tableColumn>
  </tableColumns>
  <tableStyleInfo name="TableStyleDark1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5" xr:uid="{02974D36-64BB-4AF3-BD20-04A08A6D1E9D}" name="TimeEntries516526" displayName="TimeEntries516526" ref="A2288:G2289" totalsRowShown="0">
  <autoFilter ref="A2288:G2289" xr:uid="{BF1C81EE-0B16-402E-B886-7D046148EF7B}"/>
  <sortState xmlns:xlrd2="http://schemas.microsoft.com/office/spreadsheetml/2017/richdata2" ref="A2289:E2289">
    <sortCondition ref="A16:A17"/>
  </sortState>
  <tableColumns count="7">
    <tableColumn id="1" xr3:uid="{14E1F21D-E05E-4674-9457-1709DC314672}" name="Time entry no."/>
    <tableColumn id="2" xr3:uid="{AC01BCB9-73A7-47BD-9193-E32BE30390E5}" name="Start time" dataDxfId="943"/>
    <tableColumn id="3" xr3:uid="{4147F81D-B369-4091-BB49-65CD616615FF}" name="End time" dataDxfId="942"/>
    <tableColumn id="4" xr3:uid="{040E8B1A-C1A0-4FBB-9682-F9531C775A7F}" name="Time delta in h" dataDxfId="941">
      <calculatedColumnFormula>MAX((TimeEntries516526[[#This Row],[End time]]-TimeEntries516526[[#This Row],[Start time]])*24,0)</calculatedColumnFormula>
    </tableColumn>
    <tableColumn id="5" xr3:uid="{02222D81-3CAD-444A-A496-2DCAD3652C19}" name="Now?"/>
    <tableColumn id="6" xr3:uid="{54982C80-ECDA-4834-95EA-7C5E60CCD37C}" name="Action1" dataDxfId="940" dataCellStyle="Hyperlink"/>
    <tableColumn id="7" xr3:uid="{07125605-9CDF-46AE-AF28-4F7275335226}" name="Action2" dataDxfId="939" dataCellStyle="Hyperlink"/>
  </tableColumns>
  <tableStyleInfo name="TableStyleDark1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6" xr:uid="{6917FE3D-EFE6-4B2C-A767-CB8A5C10AA17}" name="Tabelle7367517527" displayName="Tabelle7367517527" ref="I2288:M2289" totalsRowShown="0">
  <autoFilter ref="I2288:M2289" xr:uid="{245BFAB6-C4CA-443B-A246-A0FABBE1C540}"/>
  <tableColumns count="5">
    <tableColumn id="1" xr3:uid="{A78EFB32-65E0-427A-A574-973F30DFC626}" name="Comparison entry no."/>
    <tableColumn id="2" xr3:uid="{0F83A5C3-F188-4B83-924F-E878BD0DC570}" name="Propability Support point" dataDxfId="938"/>
    <tableColumn id="3" xr3:uid="{D56C4B28-8712-4F54-B528-0E5DB375949B}" name="EBS self time" dataDxfId="937"/>
    <tableColumn id="4" xr3:uid="{25422334-C55B-4934-B8F8-DC7C4A02A3F7}" name="Total time">
      <calculatedColumnFormula>SUM(TimeEntries516526[Time delta in h])</calculatedColumnFormula>
    </tableColumn>
    <tableColumn id="5" xr3:uid="{6EBB615B-4861-46F4-9C14-A9E0DC8D06EF}" name="Total time / Your estimate" dataDxfId="936">
      <calculatedColumnFormula>Tabelle7367517527[[#This Row],[EBS self time]]/Tabelle7367517527[[#This Row],[Total time]]</calculatedColumnFormula>
    </tableColumn>
  </tableColumns>
  <tableStyleInfo name="TableStyleDark1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7" xr:uid="{C0287E52-3ACB-4F44-8CAA-F9C7009C700F}" name="TimeEntries518528" displayName="TimeEntries518528" ref="A2308:G2309" totalsRowShown="0">
  <autoFilter ref="A2308:G2309" xr:uid="{D033E474-68AB-4598-B2C1-BE325BF8B297}"/>
  <sortState xmlns:xlrd2="http://schemas.microsoft.com/office/spreadsheetml/2017/richdata2" ref="A2309:E2309">
    <sortCondition ref="A16:A17"/>
  </sortState>
  <tableColumns count="7">
    <tableColumn id="1" xr3:uid="{6DA8B051-06A4-4510-AEA2-87AE44398B6E}" name="Time entry no."/>
    <tableColumn id="2" xr3:uid="{9D700549-4C4B-4F5C-975C-8500FD81055F}" name="Start time" dataDxfId="935"/>
    <tableColumn id="3" xr3:uid="{C63BB786-99F3-4EA2-BD6E-B971E4FAF68F}" name="End time" dataDxfId="934"/>
    <tableColumn id="4" xr3:uid="{9A9A8ED0-E835-4302-8A84-D9FEDCCF7B59}" name="Time delta in h" dataDxfId="933">
      <calculatedColumnFormula>MAX((TimeEntries518528[[#This Row],[End time]]-TimeEntries518528[[#This Row],[Start time]])*24,0)</calculatedColumnFormula>
    </tableColumn>
    <tableColumn id="5" xr3:uid="{FB2914FF-E2E0-4955-9BB6-C50A38255294}" name="Now?"/>
    <tableColumn id="6" xr3:uid="{9D0C9A77-B655-49C2-90E1-24F844CEE943}" name="Action1" dataDxfId="932" dataCellStyle="Hyperlink"/>
    <tableColumn id="7" xr3:uid="{E3A1BC95-7447-4FB3-AB1D-D7EF3B037E39}" name="Action2" dataDxfId="931" dataCellStyle="Hyperlink"/>
  </tableColumns>
  <tableStyleInfo name="TableStyleDark1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8" xr:uid="{EA06D2B5-C4BF-4769-A3D7-FD7ECE722E29}" name="Tabelle7367519529" displayName="Tabelle7367519529" ref="I2308:M2315" totalsRowShown="0">
  <autoFilter ref="I2308:M2315" xr:uid="{005E7A8A-F4D4-4BC6-982A-124FF1F6E137}"/>
  <tableColumns count="5">
    <tableColumn id="1" xr3:uid="{EE2ED3AC-1912-45AC-98DC-74376D7ADE1D}" name="Comparison entry no."/>
    <tableColumn id="2" xr3:uid="{BEC66D99-85D6-4975-8C98-CC174C10F951}" name="Propability Support point" dataDxfId="930"/>
    <tableColumn id="3" xr3:uid="{477BC299-E5B5-46C3-8F09-AE2233C142AA}" name="EBS self time" dataDxfId="929"/>
    <tableColumn id="4" xr3:uid="{5C23D842-5985-4E29-B3FB-419B840797C1}" name="Total time">
      <calculatedColumnFormula>SUM(TimeEntries518528[Time delta in h])</calculatedColumnFormula>
    </tableColumn>
    <tableColumn id="5" xr3:uid="{1BCB0FAE-A80E-47FF-8BC4-058540FE2935}" name="Total time / Your estimate" dataDxfId="928">
      <calculatedColumnFormula>Tabelle7367519529[[#This Row],[EBS self time]]/Tabelle7367519529[[#This Row],[Total time]]</calculatedColumnFormula>
    </tableColumn>
  </tableColumns>
  <tableStyleInfo name="TableStyleDark1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3" xr:uid="{92A3A810-ECDA-4B2F-82A9-22F5C2965604}" name="TimeEntries520530534544" displayName="TimeEntries520530534544" ref="A2333:G2334" totalsRowShown="0">
  <autoFilter ref="A2333:G2334" xr:uid="{F8C2DBD3-2C06-4CC5-8222-1F19D3EDC2CE}"/>
  <sortState xmlns:xlrd2="http://schemas.microsoft.com/office/spreadsheetml/2017/richdata2" ref="A2334:E2334">
    <sortCondition ref="A16:A17"/>
  </sortState>
  <tableColumns count="7">
    <tableColumn id="1" xr3:uid="{89A634AA-305C-4B13-8CDA-161301CA1F6A}" name="Time entry no."/>
    <tableColumn id="2" xr3:uid="{0405F3BC-87D7-4A85-A513-DADFC75BB947}" name="Start time" dataDxfId="927"/>
    <tableColumn id="3" xr3:uid="{097229F7-DFC0-4EA2-A190-BD431C27A8C1}" name="End time" dataDxfId="926"/>
    <tableColumn id="4" xr3:uid="{415BDEF2-199D-401A-9000-E21BBF75E8CE}" name="Time delta in h" dataDxfId="925">
      <calculatedColumnFormula>MAX((TimeEntries520530534544[[#This Row],[End time]]-TimeEntries520530534544[[#This Row],[Start time]])*24,0)</calculatedColumnFormula>
    </tableColumn>
    <tableColumn id="5" xr3:uid="{CF91F9DF-6D87-4561-B2C9-84015BF10466}" name="Now?"/>
    <tableColumn id="6" xr3:uid="{2ED0A615-AB13-487D-80B3-D7E37ADA922E}" name="Action1" dataDxfId="924" dataCellStyle="Hyperlink"/>
    <tableColumn id="7" xr3:uid="{C2B86B6A-633C-41AC-A8A9-2938A0C6C950}" name="Action2" dataDxfId="923" dataCellStyle="Hyperlink"/>
  </tableColumns>
  <tableStyleInfo name="TableStyleDark1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4" xr:uid="{024BDA48-1712-4094-9A9D-7F67F665D61F}" name="Tabelle7367521531535545" displayName="Tabelle7367521531535545" ref="I2333:M2334" totalsRowShown="0">
  <autoFilter ref="I2333:M2334" xr:uid="{56341F7F-F6F9-46CC-BB99-36563D382B2D}"/>
  <tableColumns count="5">
    <tableColumn id="1" xr3:uid="{A45D9C2C-D674-49DD-A3AB-FFB6DAB1F214}" name="Comparison entry no."/>
    <tableColumn id="2" xr3:uid="{0EB9ACB6-6559-41E8-938D-A6DAD0773216}" name="Propability Support point" dataDxfId="922"/>
    <tableColumn id="3" xr3:uid="{8ADCFFDB-CEAF-4CD3-96A7-CC9324936520}" name="EBS self time" dataDxfId="921"/>
    <tableColumn id="4" xr3:uid="{1A8C0839-1252-4DE9-9D8A-DCEDB68E33FD}" name="Total time">
      <calculatedColumnFormula>SUM(TimeEntries520530534544[Time delta in h])</calculatedColumnFormula>
    </tableColumn>
    <tableColumn id="5" xr3:uid="{315BE469-C460-4FC9-AB08-72D0DB68F10E}" name="Total time / Your estimate" dataDxfId="920">
      <calculatedColumnFormula>Tabelle7367521531535545[[#This Row],[EBS self time]]/Tabelle7367521531535545[[#This Row],[Total time]]</calculatedColumnFormula>
    </tableColumn>
  </tableColumns>
  <tableStyleInfo name="TableStyleDark1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5" xr:uid="{4B327225-BC73-4F98-B38F-B58BF10E9330}" name="TimeEntries536546" displayName="TimeEntries536546" ref="A2353:G2354" totalsRowShown="0">
  <autoFilter ref="A2353:G2354" xr:uid="{A373E027-B664-443B-9027-48F56672C263}"/>
  <sortState xmlns:xlrd2="http://schemas.microsoft.com/office/spreadsheetml/2017/richdata2" ref="A2354:E2354">
    <sortCondition ref="A16:A17"/>
  </sortState>
  <tableColumns count="7">
    <tableColumn id="1" xr3:uid="{62FD37A9-84B3-421B-872D-568867758BF1}" name="Time entry no."/>
    <tableColumn id="2" xr3:uid="{AD60A504-92F3-4C4F-906F-533EB7FDE80A}" name="Start time" dataDxfId="919"/>
    <tableColumn id="3" xr3:uid="{D256327F-2F85-4112-857D-2AF3FE4D8B33}" name="End time" dataDxfId="918"/>
    <tableColumn id="4" xr3:uid="{3B2A1C44-F9CF-42F4-AA99-F892A9B6AF47}" name="Time delta in h" dataDxfId="917">
      <calculatedColumnFormula>MAX((TimeEntries536546[[#This Row],[End time]]-TimeEntries536546[[#This Row],[Start time]])*24,0)</calculatedColumnFormula>
    </tableColumn>
    <tableColumn id="5" xr3:uid="{4CC794E3-7F9D-48B8-8FEE-C5771D5F6747}" name="Now?"/>
    <tableColumn id="6" xr3:uid="{902D263A-E041-445E-B4A5-A7D610E45C97}" name="Action1" dataDxfId="916" dataCellStyle="Hyperlink"/>
    <tableColumn id="7" xr3:uid="{322E8B3A-025E-414F-9BAC-06E3AE526810}" name="Action2" dataDxfId="915" dataCellStyle="Hyperlink"/>
  </tableColumns>
  <tableStyleInfo name="TableStyleDark1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6" xr:uid="{70B3B47C-EAE9-49E2-BB03-7F0918E1A380}" name="Tabelle7367537547" displayName="Tabelle7367537547" ref="I2353:M2360" totalsRowShown="0">
  <autoFilter ref="I2353:M2360" xr:uid="{AE3D8DEC-8B1E-4398-977B-A6557A7EA419}"/>
  <tableColumns count="5">
    <tableColumn id="1" xr3:uid="{11AB601D-71E8-4993-965D-9CB02A7A27FE}" name="Comparison entry no."/>
    <tableColumn id="2" xr3:uid="{E36D7CE7-2F3D-42F6-BCC4-7BEF9D4E2FE9}" name="Propability Support point" dataDxfId="914"/>
    <tableColumn id="3" xr3:uid="{C2CBF1A2-1CE3-4FAA-8F17-0622F2B317A6}" name="EBS self time" dataDxfId="913"/>
    <tableColumn id="4" xr3:uid="{D75E1F23-F485-4AA9-B234-75DFA7F0F8B3}" name="Total time">
      <calculatedColumnFormula>SUM(TimeEntries536546[Time delta in h])</calculatedColumnFormula>
    </tableColumn>
    <tableColumn id="5" xr3:uid="{EA419695-CC14-442C-89D4-B522BA6C334E}" name="Total time / Your estimate" dataDxfId="912">
      <calculatedColumnFormula>Tabelle7367537547[[#This Row],[EBS self time]]/Tabelle7367537547[[#This Row],[Total time]]</calculatedColumnFormula>
    </tableColumn>
  </tableColumns>
  <tableStyleInfo name="TableStyleDark1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7" xr:uid="{5D5ED253-5C27-453B-AE1B-785210359111}" name="TimeEntries538548" displayName="TimeEntries538548" ref="A2378:G2379" totalsRowShown="0">
  <autoFilter ref="A2378:G2379" xr:uid="{37C47288-7E4E-476B-8D17-3E41F383CE4B}"/>
  <sortState xmlns:xlrd2="http://schemas.microsoft.com/office/spreadsheetml/2017/richdata2" ref="A2379:E2379">
    <sortCondition ref="A16:A17"/>
  </sortState>
  <tableColumns count="7">
    <tableColumn id="1" xr3:uid="{8997E8AE-3C1E-424E-9720-C2C3A39EDF82}" name="Time entry no."/>
    <tableColumn id="2" xr3:uid="{0368759F-D306-41EA-98B7-8E1E3F0E54C7}" name="Start time" dataDxfId="911"/>
    <tableColumn id="3" xr3:uid="{58D29D52-D33D-419A-A9C3-2D468E3B679A}" name="End time" dataDxfId="910"/>
    <tableColumn id="4" xr3:uid="{6B051F2B-9226-462D-B4E1-F44FBA5AE3CE}" name="Time delta in h" dataDxfId="909">
      <calculatedColumnFormula>MAX((TimeEntries538548[[#This Row],[End time]]-TimeEntries538548[[#This Row],[Start time]])*24,0)</calculatedColumnFormula>
    </tableColumn>
    <tableColumn id="5" xr3:uid="{4A8691DE-1FC4-44CA-85F4-1560DF236A89}" name="Now?"/>
    <tableColumn id="6" xr3:uid="{5E6D13CE-C81A-4171-8B3C-A0F820F4ACA4}" name="Action1" dataDxfId="908" dataCellStyle="Hyperlink"/>
    <tableColumn id="7" xr3:uid="{6857167D-6363-4C52-90C1-F19C8C23F1A3}" name="Action2" dataDxfId="907" dataCellStyle="Hyperlink"/>
  </tableColumns>
  <tableStyleInfo name="TableStyleDark1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8" xr:uid="{80845E37-F8E8-4E7C-A75B-EEA48CFB10D7}" name="Tabelle7367539549" displayName="Tabelle7367539549" ref="I2378:M2385" totalsRowShown="0">
  <autoFilter ref="I2378:M2385" xr:uid="{B1632929-3B9F-44AB-A92D-542B84C70AB0}"/>
  <tableColumns count="5">
    <tableColumn id="1" xr3:uid="{5B1A0CC0-E41F-4A4E-9A47-4070264E8D9E}" name="Comparison entry no."/>
    <tableColumn id="2" xr3:uid="{70E473AE-C08F-4A62-8A6E-B08742ABDB02}" name="Propability Support point" dataDxfId="906"/>
    <tableColumn id="3" xr3:uid="{B744AEDD-8EFB-42C1-A9A0-C437985810F2}" name="EBS self time" dataDxfId="905"/>
    <tableColumn id="4" xr3:uid="{25A449A3-AF90-475C-95D3-791227D82A69}" name="Total time">
      <calculatedColumnFormula>SUM(TimeEntries538548[Time delta in h])</calculatedColumnFormula>
    </tableColumn>
    <tableColumn id="5" xr3:uid="{FDC694AE-4475-4938-9C40-DAE6B28DF341}" name="Total time / Your estimate" dataDxfId="904">
      <calculatedColumnFormula>Tabelle7367539549[[#This Row],[EBS self time]]/Tabelle7367539549[[#This Row],[Total time]]</calculatedColumnFormula>
    </tableColumn>
  </tableColumns>
  <tableStyleInfo name="TableStyleDark1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9" xr:uid="{9AD0D802-1F7E-4201-92DB-A0BD12F74502}" name="TimeEntries540550" displayName="TimeEntries540550" ref="A2403:G2404" totalsRowShown="0">
  <autoFilter ref="A2403:G2404" xr:uid="{60A047A7-94D7-4F84-9B1A-4BDA953AEED8}"/>
  <sortState xmlns:xlrd2="http://schemas.microsoft.com/office/spreadsheetml/2017/richdata2" ref="A2404:E2404">
    <sortCondition ref="A16:A17"/>
  </sortState>
  <tableColumns count="7">
    <tableColumn id="1" xr3:uid="{45C34178-3948-493E-B4EC-24357CE505AB}" name="Time entry no."/>
    <tableColumn id="2" xr3:uid="{DFA91F42-1D5A-4061-908C-172A67480F77}" name="Start time" dataDxfId="903"/>
    <tableColumn id="3" xr3:uid="{92DCF985-1858-4164-8B87-B7EFDAB3D5A7}" name="End time" dataDxfId="902"/>
    <tableColumn id="4" xr3:uid="{90035AA5-5DD5-4DFF-814F-F626DE8249DD}" name="Time delta in h" dataDxfId="901">
      <calculatedColumnFormula>MAX((TimeEntries540550[[#This Row],[End time]]-TimeEntries540550[[#This Row],[Start time]])*24,0)</calculatedColumnFormula>
    </tableColumn>
    <tableColumn id="5" xr3:uid="{CA0C5E48-140D-434D-A148-BC98978723F9}" name="Now?"/>
    <tableColumn id="6" xr3:uid="{08FE226E-BE45-4CDB-922E-F7631771BD68}" name="Action1" dataDxfId="900" dataCellStyle="Hyperlink"/>
    <tableColumn id="7" xr3:uid="{83C92D41-2527-4573-86A3-867CA7DB200A}" name="Action2" dataDxfId="899" dataCellStyle="Hyperlink"/>
  </tableColumns>
  <tableStyleInfo name="TableStyleDark1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0" xr:uid="{CB896E08-AA66-4544-A261-624FA6F4BEF1}" name="Tabelle7367541551" displayName="Tabelle7367541551" ref="I2403:M2404" totalsRowShown="0">
  <autoFilter ref="I2403:M2404" xr:uid="{3DA892B8-A760-4DFD-8C8D-76CC1C6DA037}"/>
  <tableColumns count="5">
    <tableColumn id="1" xr3:uid="{3EBD4264-5255-4F63-9DA9-34B1E0D3B655}" name="Comparison entry no."/>
    <tableColumn id="2" xr3:uid="{972207A5-F13E-45E0-89FC-6C912EE8A20D}" name="Propability Support point" dataDxfId="898"/>
    <tableColumn id="3" xr3:uid="{5F6F98CE-6092-40A1-AFA2-7FB218E7A10F}" name="EBS self time" dataDxfId="897"/>
    <tableColumn id="4" xr3:uid="{C9DC3BC1-CA8F-48AD-B217-03796A163806}" name="Total time">
      <calculatedColumnFormula>SUM(TimeEntries540550[Time delta in h])</calculatedColumnFormula>
    </tableColumn>
    <tableColumn id="5" xr3:uid="{F09A239A-9B3E-4AA0-8B71-A5AF61AAA878}" name="Total time / Your estimate" dataDxfId="896">
      <calculatedColumnFormula>Tabelle7367541551[[#This Row],[EBS self time]]/Tabelle7367541551[[#This Row],[Total time]]</calculatedColumnFormula>
    </tableColumn>
  </tableColumns>
  <tableStyleInfo name="TableStyleDark1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5" xr:uid="{A47A081B-206A-443D-8487-AE143975BE6B}" name="TimeEntries542552556566" displayName="TimeEntries542552556566" ref="A2423:G2424" totalsRowShown="0">
  <autoFilter ref="A2423:G2424" xr:uid="{F19D9698-19B1-471F-B623-10AE4E2219C5}"/>
  <sortState xmlns:xlrd2="http://schemas.microsoft.com/office/spreadsheetml/2017/richdata2" ref="A2424:E2424">
    <sortCondition ref="A16:A17"/>
  </sortState>
  <tableColumns count="7">
    <tableColumn id="1" xr3:uid="{C0517CEA-0321-4A68-A7A8-A50AD30189EA}" name="Time entry no."/>
    <tableColumn id="2" xr3:uid="{1E040FCB-4449-41C3-A211-92FAF5DE1FC2}" name="Start time" dataDxfId="895"/>
    <tableColumn id="3" xr3:uid="{B6D4C320-6C3D-4076-A08F-450EA974B4A5}" name="End time" dataDxfId="894"/>
    <tableColumn id="4" xr3:uid="{2B6DE2B9-08AB-4080-8604-D6DA75B6A105}" name="Time delta in h" dataDxfId="893">
      <calculatedColumnFormula>MAX((TimeEntries542552556566[[#This Row],[End time]]-TimeEntries542552556566[[#This Row],[Start time]])*24,0)</calculatedColumnFormula>
    </tableColumn>
    <tableColumn id="5" xr3:uid="{CFDB01AC-AFD0-4113-9D4C-04A117A838CF}" name="Now?"/>
    <tableColumn id="6" xr3:uid="{7089FB95-DFAB-4A94-AAF3-1B0691EF110F}" name="Action1" dataDxfId="892" dataCellStyle="Hyperlink"/>
    <tableColumn id="7" xr3:uid="{65394092-1725-4DA8-BCFF-97EA6AFB07DD}" name="Action2" dataDxfId="891" dataCellStyle="Hyperlink"/>
  </tableColumns>
  <tableStyleInfo name="TableStyleDark1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6" xr:uid="{793A398C-B36F-4007-9DDD-9147223EBBD3}" name="Tabelle7367543553557567" displayName="Tabelle7367543553557567" ref="I2423:M2430" totalsRowShown="0">
  <autoFilter ref="I2423:M2430" xr:uid="{76D155B4-0613-4CCE-A129-100852AFADBC}"/>
  <tableColumns count="5">
    <tableColumn id="1" xr3:uid="{DB56DD14-9EFD-45EC-9B20-5C266C53E09C}" name="Comparison entry no."/>
    <tableColumn id="2" xr3:uid="{216CFC69-E560-4E4C-8AEB-793CD56CE7C0}" name="Propability Support point" dataDxfId="890"/>
    <tableColumn id="3" xr3:uid="{F4C5EC4E-D4BE-432F-884F-D7F22EA48D7E}" name="EBS self time" dataDxfId="889"/>
    <tableColumn id="4" xr3:uid="{8AB3D68C-AFCD-4C7E-9F68-3FE0752A6D01}" name="Total time">
      <calculatedColumnFormula>SUM(TimeEntries542552556566[Time delta in h])</calculatedColumnFormula>
    </tableColumn>
    <tableColumn id="5" xr3:uid="{6B4E2CB8-5996-4EDA-B401-6C16C3876FA3}" name="Total time / Your estimate" dataDxfId="888">
      <calculatedColumnFormula>Tabelle7367543553557567[[#This Row],[EBS self time]]/Tabelle7367543553557567[[#This Row],[Total time]]</calculatedColumnFormula>
    </tableColumn>
  </tableColumns>
  <tableStyleInfo name="TableStyleDark1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7" xr:uid="{AA6F9232-7F1A-4FB2-90E1-3A5BF9BDA8D1}" name="TimeEntries558568" displayName="TimeEntries558568" ref="A2448:G2449" totalsRowShown="0">
  <autoFilter ref="A2448:G2449" xr:uid="{FA1AB3AB-0D63-4523-A17D-AA8701703F3D}"/>
  <sortState xmlns:xlrd2="http://schemas.microsoft.com/office/spreadsheetml/2017/richdata2" ref="A2449:E2449">
    <sortCondition ref="A16:A17"/>
  </sortState>
  <tableColumns count="7">
    <tableColumn id="1" xr3:uid="{2F380468-7648-4A8A-BD7A-A2B74B12A149}" name="Time entry no."/>
    <tableColumn id="2" xr3:uid="{27145866-2211-4535-8D2A-3C7698920174}" name="Start time" dataDxfId="887"/>
    <tableColumn id="3" xr3:uid="{507721E0-D47E-44A3-889C-B43068965574}" name="End time" dataDxfId="886"/>
    <tableColumn id="4" xr3:uid="{31D1EDA2-E6FB-44DE-808E-219BCEEB575A}" name="Time delta in h" dataDxfId="885">
      <calculatedColumnFormula>MAX((TimeEntries558568[[#This Row],[End time]]-TimeEntries558568[[#This Row],[Start time]])*24,0)</calculatedColumnFormula>
    </tableColumn>
    <tableColumn id="5" xr3:uid="{7ED49CC4-A257-435E-B581-FAF734784EB2}" name="Now?"/>
    <tableColumn id="6" xr3:uid="{A20D1420-36B7-4546-94FC-BF4979D173EC}" name="Action1" dataDxfId="884" dataCellStyle="Hyperlink"/>
    <tableColumn id="7" xr3:uid="{506D456F-A5F1-4E00-8F67-1471818367D0}" name="Action2" dataDxfId="883" dataCellStyle="Hyperlink"/>
  </tableColumns>
  <tableStyleInfo name="TableStyleDark1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8" xr:uid="{03F6E871-AEC6-46CA-85D4-E71504DAA3CB}" name="Tabelle7367559569" displayName="Tabelle7367559569" ref="I2448:M2455" totalsRowShown="0">
  <autoFilter ref="I2448:M2455" xr:uid="{3453B2C3-31CD-433D-BC8B-588E77163330}"/>
  <tableColumns count="5">
    <tableColumn id="1" xr3:uid="{AE0230A8-D166-4C02-9B4A-D662B7DA50DE}" name="Comparison entry no."/>
    <tableColumn id="2" xr3:uid="{E8E3211F-29B6-4E66-ADC9-E5D6B2A73D4F}" name="Propability Support point" dataDxfId="882"/>
    <tableColumn id="3" xr3:uid="{7FBE0C3A-3235-462D-8103-0798C18301BB}" name="EBS self time" dataDxfId="881"/>
    <tableColumn id="4" xr3:uid="{2C81D30A-EC17-48F6-B09E-2CECF9B67F45}" name="Total time">
      <calculatedColumnFormula>SUM(TimeEntries558568[Time delta in h])</calculatedColumnFormula>
    </tableColumn>
    <tableColumn id="5" xr3:uid="{F67957D5-BC74-4967-B9FC-701E2E49870D}" name="Total time / Your estimate" dataDxfId="880">
      <calculatedColumnFormula>Tabelle7367559569[[#This Row],[EBS self time]]/Tabelle7367559569[[#This Row],[Total time]]</calculatedColumnFormula>
    </tableColumn>
  </tableColumns>
  <tableStyleInfo name="TableStyleDark1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9" xr:uid="{3CAD2DD4-5994-4DBB-A813-63DAA2BEE525}" name="TimeEntries560570" displayName="TimeEntries560570" ref="A2473:G2474" totalsRowShown="0">
  <autoFilter ref="A2473:G2474" xr:uid="{71946246-8D22-4165-8383-EB3431C6253B}"/>
  <sortState xmlns:xlrd2="http://schemas.microsoft.com/office/spreadsheetml/2017/richdata2" ref="A2474:E2474">
    <sortCondition ref="A16:A17"/>
  </sortState>
  <tableColumns count="7">
    <tableColumn id="1" xr3:uid="{F612B3E0-C98F-4E16-AC46-DE99A97248DB}" name="Time entry no."/>
    <tableColumn id="2" xr3:uid="{292ECF39-D346-4153-B1C4-76B2F7ACF0BC}" name="Start time" dataDxfId="879"/>
    <tableColumn id="3" xr3:uid="{C1863E0C-23E9-4B0E-83B0-BC429F3FBA1C}" name="End time" dataDxfId="878"/>
    <tableColumn id="4" xr3:uid="{75561B05-5FC6-4AD6-BAEB-CEE59391F96E}" name="Time delta in h" dataDxfId="877">
      <calculatedColumnFormula>MAX((TimeEntries560570[[#This Row],[End time]]-TimeEntries560570[[#This Row],[Start time]])*24,0)</calculatedColumnFormula>
    </tableColumn>
    <tableColumn id="5" xr3:uid="{F873F13C-5B8F-4D5C-8D82-C30C58C83813}" name="Now?"/>
    <tableColumn id="6" xr3:uid="{C7347086-90BD-4E26-90DE-D3976E4D4A82}" name="Action1" dataDxfId="876" dataCellStyle="Hyperlink"/>
    <tableColumn id="7" xr3:uid="{CEB34412-9DA0-4FDC-A348-E16EC621C996}" name="Action2" dataDxfId="875" dataCellStyle="Hyperlink"/>
  </tableColumns>
  <tableStyleInfo name="TableStyleDark1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0" xr:uid="{D1994F5C-FAF5-425C-853E-18638F5F2BBB}" name="Tabelle7367561571" displayName="Tabelle7367561571" ref="I2473:M2480" totalsRowShown="0">
  <autoFilter ref="I2473:M2480" xr:uid="{70507957-0024-493F-8E86-DA8364CE7542}"/>
  <tableColumns count="5">
    <tableColumn id="1" xr3:uid="{E3D17C65-BB7B-4407-8579-E89EFB8B20F5}" name="Comparison entry no."/>
    <tableColumn id="2" xr3:uid="{C96B9D7C-3243-4361-AB02-36E9E69B22C2}" name="Propability Support point" dataDxfId="874"/>
    <tableColumn id="3" xr3:uid="{BCA56977-60D0-421B-9102-7E7A34B24CC2}" name="EBS self time" dataDxfId="873"/>
    <tableColumn id="4" xr3:uid="{D5000479-A3F7-41FB-A1BD-54E92063D4F3}" name="Total time">
      <calculatedColumnFormula>SUM(TimeEntries560570[Time delta in h])</calculatedColumnFormula>
    </tableColumn>
    <tableColumn id="5" xr3:uid="{A0CDE6B6-62DF-4167-8A5A-32DBFEC6FA26}" name="Total time / Your estimate" dataDxfId="872">
      <calculatedColumnFormula>Tabelle7367561571[[#This Row],[EBS self time]]/Tabelle7367561571[[#This Row],[Total time]]</calculatedColumnFormula>
    </tableColumn>
  </tableColumns>
  <tableStyleInfo name="TableStyleDark1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1" xr:uid="{9D424298-C5A8-466B-AE03-BD176F12079F}" name="TimeEntries562572" displayName="TimeEntries562572" ref="A2498:G2499" totalsRowShown="0">
  <autoFilter ref="A2498:G2499" xr:uid="{D5EF6C56-4C54-4E97-A302-7B7C8F08F400}"/>
  <sortState xmlns:xlrd2="http://schemas.microsoft.com/office/spreadsheetml/2017/richdata2" ref="A2499:E2499">
    <sortCondition ref="A16:A17"/>
  </sortState>
  <tableColumns count="7">
    <tableColumn id="1" xr3:uid="{5045555F-118E-42D1-AF8E-D7DC7F2A4FB5}" name="Time entry no."/>
    <tableColumn id="2" xr3:uid="{37C04266-A4B2-4C22-A36E-370701E10A05}" name="Start time" dataDxfId="871"/>
    <tableColumn id="3" xr3:uid="{D4B1E7E2-F821-44E8-8B0C-B9438E946AA6}" name="End time" dataDxfId="870"/>
    <tableColumn id="4" xr3:uid="{ED155374-76E4-476E-857D-E2BA787FC977}" name="Time delta in h" dataDxfId="869">
      <calculatedColumnFormula>MAX((TimeEntries562572[[#This Row],[End time]]-TimeEntries562572[[#This Row],[Start time]])*24,0)</calculatedColumnFormula>
    </tableColumn>
    <tableColumn id="5" xr3:uid="{E30C27BA-3FC5-4976-927B-E22F8AA21F7B}" name="Now?"/>
    <tableColumn id="6" xr3:uid="{C4681E5F-25C1-4629-ACBA-93DF3E39F265}" name="Action1" dataDxfId="868" dataCellStyle="Hyperlink"/>
    <tableColumn id="7" xr3:uid="{25592425-9679-4643-93FB-93197715C521}" name="Action2" dataDxfId="867" dataCellStyle="Hyperlink"/>
  </tableColumns>
  <tableStyleInfo name="TableStyleDark1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2" xr:uid="{6F6C1988-412C-4288-87AA-398B6ADD7263}" name="Tabelle7367563573" displayName="Tabelle7367563573" ref="I2498:M2499" totalsRowShown="0">
  <autoFilter ref="I2498:M2499" xr:uid="{10F11DAC-F96E-4FF1-B52F-8CF4EBFDE846}"/>
  <tableColumns count="5">
    <tableColumn id="1" xr3:uid="{442E787F-F496-433C-B002-68AAC897C2FF}" name="Comparison entry no."/>
    <tableColumn id="2" xr3:uid="{028298B5-8D05-4AB4-BEAF-E5C04FBF31E2}" name="Propability Support point" dataDxfId="866"/>
    <tableColumn id="3" xr3:uid="{2C0B18A9-9CAA-4FA3-9D72-9EADA79410CF}" name="EBS self time" dataDxfId="865"/>
    <tableColumn id="4" xr3:uid="{E2E8572F-0B58-4AC2-9761-E1A0A396E300}" name="Total time">
      <calculatedColumnFormula>SUM(TimeEntries562572[Time delta in h])</calculatedColumnFormula>
    </tableColumn>
    <tableColumn id="5" xr3:uid="{5DEA1110-D9EB-482F-8829-49B0565AB67D}" name="Total time / Your estimate" dataDxfId="864">
      <calculatedColumnFormula>Tabelle7367563573[[#This Row],[EBS self time]]/Tabelle7367563573[[#This Row],[Total time]]</calculatedColumnFormula>
    </tableColumn>
  </tableColumns>
  <tableStyleInfo name="TableStyleDark1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7" xr:uid="{8BCFBD30-1058-463A-BA47-999EA8FE1D6D}" name="TimeEntries564574578588" displayName="TimeEntries564574578588" ref="A2518:G2519" totalsRowShown="0">
  <autoFilter ref="A2518:G2519" xr:uid="{E0665718-307E-4E4A-9BF2-EF0B3843CC2F}"/>
  <sortState xmlns:xlrd2="http://schemas.microsoft.com/office/spreadsheetml/2017/richdata2" ref="A2519:E2519">
    <sortCondition ref="A16:A17"/>
  </sortState>
  <tableColumns count="7">
    <tableColumn id="1" xr3:uid="{A8EA5528-7F3A-4D38-833A-E962BE8E8AD8}" name="Time entry no."/>
    <tableColumn id="2" xr3:uid="{CABDF96C-D218-493A-9D6E-C311FBE90347}" name="Start time" dataDxfId="863"/>
    <tableColumn id="3" xr3:uid="{70CEA19B-0BFF-40ED-9F27-DB5ABF881B8C}" name="End time" dataDxfId="862"/>
    <tableColumn id="4" xr3:uid="{6DB94CF0-6E71-4794-B678-833D7181D204}" name="Time delta in h" dataDxfId="861">
      <calculatedColumnFormula>MAX((TimeEntries564574578588[[#This Row],[End time]]-TimeEntries564574578588[[#This Row],[Start time]])*24,0)</calculatedColumnFormula>
    </tableColumn>
    <tableColumn id="5" xr3:uid="{3B24374D-CE5C-486E-8EC7-DECBCB1793AC}" name="Now?"/>
    <tableColumn id="6" xr3:uid="{85668172-4DEE-4854-AFBE-5FD558CA9B30}" name="Action1" dataDxfId="860" dataCellStyle="Hyperlink"/>
    <tableColumn id="7" xr3:uid="{6E667722-E163-4B82-BCF6-AEC27E570010}" name="Action2" dataDxfId="859" dataCellStyle="Hyperlink"/>
  </tableColumns>
  <tableStyleInfo name="TableStyleDark1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8" xr:uid="{5578A43B-FBC8-415F-809B-8A4B9C98F66E}" name="Tabelle7367565575579589" displayName="Tabelle7367565575579589" ref="I2518:M2525" totalsRowShown="0">
  <autoFilter ref="I2518:M2525" xr:uid="{C710B191-F7B9-47D7-AC39-07D5E8229316}"/>
  <tableColumns count="5">
    <tableColumn id="1" xr3:uid="{1F755965-21E2-4DB8-958B-14507A5F5A74}" name="Comparison entry no."/>
    <tableColumn id="2" xr3:uid="{5069BB6F-8250-48A3-BB05-5FC84A17F04E}" name="Propability Support point" dataDxfId="858"/>
    <tableColumn id="3" xr3:uid="{4ED57F6A-8D7E-4C60-9139-56ED6940DBDE}" name="EBS self time" dataDxfId="857"/>
    <tableColumn id="4" xr3:uid="{91F9B4E2-FE19-4C6A-AC75-5A01178405DB}" name="Total time">
      <calculatedColumnFormula>SUM(TimeEntries564574578588[Time delta in h])</calculatedColumnFormula>
    </tableColumn>
    <tableColumn id="5" xr3:uid="{B22544B1-1A10-4262-915E-E0C3A8A6C832}" name="Total time / Your estimate" dataDxfId="856">
      <calculatedColumnFormula>Tabelle7367565575579589[[#This Row],[EBS self time]]/Tabelle7367565575579589[[#This Row],[Total time]]</calculatedColumnFormula>
    </tableColumn>
  </tableColumns>
  <tableStyleInfo name="TableStyleDark1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9" xr:uid="{8BB126DC-CBCC-4BC3-AE32-6D9D8619B6AD}" name="TimeEntries580590" displayName="TimeEntries580590" ref="A2543:G2544" totalsRowShown="0">
  <autoFilter ref="A2543:G2544" xr:uid="{CAEE5782-1367-4F5E-9CBF-3ED07CA5910C}"/>
  <sortState xmlns:xlrd2="http://schemas.microsoft.com/office/spreadsheetml/2017/richdata2" ref="A2544:E2544">
    <sortCondition ref="A16:A17"/>
  </sortState>
  <tableColumns count="7">
    <tableColumn id="1" xr3:uid="{7E95A684-536F-437E-84C6-B3A4ABC58FD9}" name="Time entry no."/>
    <tableColumn id="2" xr3:uid="{BB9E7074-41D2-440B-8660-E97AF5A67D36}" name="Start time" dataDxfId="855"/>
    <tableColumn id="3" xr3:uid="{FECF25E7-E14C-4F2D-AF4B-0704F987A544}" name="End time" dataDxfId="854"/>
    <tableColumn id="4" xr3:uid="{13CFA03E-8E57-4DFC-BA8B-5913B1C6E0D2}" name="Time delta in h" dataDxfId="853">
      <calculatedColumnFormula>MAX((TimeEntries580590[[#This Row],[End time]]-TimeEntries580590[[#This Row],[Start time]])*24,0)</calculatedColumnFormula>
    </tableColumn>
    <tableColumn id="5" xr3:uid="{0626E3F2-BAF0-485D-A9B8-3C455CC4E736}" name="Now?"/>
    <tableColumn id="6" xr3:uid="{D51733AE-8A02-4F31-A5C0-CD7531B92884}" name="Action1" dataDxfId="852" dataCellStyle="Hyperlink"/>
    <tableColumn id="7" xr3:uid="{85F8E25B-316C-4AF0-8B37-150591486180}" name="Action2" dataDxfId="851" dataCellStyle="Hyperlink"/>
  </tableColumns>
  <tableStyleInfo name="TableStyleDark1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0" xr:uid="{AC9DC32F-20E6-4223-82D3-A619FC843414}" name="Tabelle7367581591" displayName="Tabelle7367581591" ref="I2543:M2550" totalsRowShown="0">
  <autoFilter ref="I2543:M2550" xr:uid="{5936A5AD-0431-46BD-BE80-420667499DB3}"/>
  <tableColumns count="5">
    <tableColumn id="1" xr3:uid="{0A7FC32E-4FF3-4406-A1C3-879FCB20B17E}" name="Comparison entry no."/>
    <tableColumn id="2" xr3:uid="{1E97EC49-38DA-4573-8F46-795D27F8374B}" name="Propability Support point" dataDxfId="850"/>
    <tableColumn id="3" xr3:uid="{96DDB68A-84FA-4256-B8A2-DF30C01C1E2C}" name="EBS self time" dataDxfId="849"/>
    <tableColumn id="4" xr3:uid="{904F2334-A7A5-44E5-A92F-06D776ABADAD}" name="Total time">
      <calculatedColumnFormula>SUM(TimeEntries580590[Time delta in h])</calculatedColumnFormula>
    </tableColumn>
    <tableColumn id="5" xr3:uid="{B5501151-3182-43B4-8BE9-25EDB55E50F9}" name="Total time / Your estimate" dataDxfId="848">
      <calculatedColumnFormula>Tabelle7367581591[[#This Row],[EBS self time]]/Tabelle7367581591[[#This Row],[Total time]]</calculatedColumnFormula>
    </tableColumn>
  </tableColumns>
  <tableStyleInfo name="TableStyleDark1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1" xr:uid="{230A1F1F-C540-4538-B673-B6A0BCA33F3B}" name="TimeEntries582592" displayName="TimeEntries582592" ref="A2568:G2569" totalsRowShown="0">
  <autoFilter ref="A2568:G2569" xr:uid="{523AC771-2731-4021-8B68-2E725BDDC5C8}"/>
  <sortState xmlns:xlrd2="http://schemas.microsoft.com/office/spreadsheetml/2017/richdata2" ref="A2569:E2569">
    <sortCondition ref="A16:A17"/>
  </sortState>
  <tableColumns count="7">
    <tableColumn id="1" xr3:uid="{D6F180BD-5335-468D-A14A-3559DCDD10C2}" name="Time entry no."/>
    <tableColumn id="2" xr3:uid="{FB484427-7E41-440A-8FE9-1269D6AB8EE5}" name="Start time" dataDxfId="847"/>
    <tableColumn id="3" xr3:uid="{32669068-CFD4-44C0-84AC-3D0E2BB4D743}" name="End time" dataDxfId="846"/>
    <tableColumn id="4" xr3:uid="{5D1280F0-98FC-4936-9965-498A11E8DF7E}" name="Time delta in h" dataDxfId="845">
      <calculatedColumnFormula>MAX((TimeEntries582592[[#This Row],[End time]]-TimeEntries582592[[#This Row],[Start time]])*24,0)</calculatedColumnFormula>
    </tableColumn>
    <tableColumn id="5" xr3:uid="{5753E631-502F-4C23-8B06-F0C20B589EDE}" name="Now?"/>
    <tableColumn id="6" xr3:uid="{C538A470-5132-4DEC-966D-7C3FE29CC0BF}" name="Action1" dataDxfId="844" dataCellStyle="Hyperlink"/>
    <tableColumn id="7" xr3:uid="{E791A2A1-5EAE-47F9-AB70-A80E8778D3FE}" name="Action2" dataDxfId="843" dataCellStyle="Hyperlink"/>
  </tableColumns>
  <tableStyleInfo name="TableStyleDark1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2" xr:uid="{6CC31ECC-909D-4736-9C0B-B02562A7FF8E}" name="Tabelle7367583593" displayName="Tabelle7367583593" ref="I2568:M2575" totalsRowShown="0">
  <autoFilter ref="I2568:M2575" xr:uid="{C813E575-5384-4F56-B330-A9D8D42D9757}"/>
  <tableColumns count="5">
    <tableColumn id="1" xr3:uid="{F13794F7-B9AD-4D9E-BB5D-401F449C58C3}" name="Comparison entry no."/>
    <tableColumn id="2" xr3:uid="{9E4126BF-B2CA-4AA0-89EB-A4FA1DF16C79}" name="Propability Support point" dataDxfId="842"/>
    <tableColumn id="3" xr3:uid="{6896DB93-B909-4DA7-8E48-F85F86F4A78D}" name="EBS self time" dataDxfId="841"/>
    <tableColumn id="4" xr3:uid="{5050469B-481B-42D2-89D0-80CB3984757E}" name="Total time">
      <calculatedColumnFormula>SUM(TimeEntries582592[Time delta in h])</calculatedColumnFormula>
    </tableColumn>
    <tableColumn id="5" xr3:uid="{1C153E09-5EF9-4A4F-B3C5-B20C43B3B33B}" name="Total time / Your estimate" dataDxfId="840">
      <calculatedColumnFormula>Tabelle7367583593[[#This Row],[EBS self time]]/Tabelle7367583593[[#This Row],[Total time]]</calculatedColumnFormula>
    </tableColumn>
  </tableColumns>
  <tableStyleInfo name="TableStyleDark1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3" xr:uid="{294B5292-91EE-4402-BEB2-465CA3340F2A}" name="TimeEntries584594" displayName="TimeEntries584594" ref="A2593:G2594" totalsRowShown="0">
  <autoFilter ref="A2593:G2594" xr:uid="{0EB4F665-04BC-44BF-B899-8FEAAE1ACFD4}"/>
  <sortState xmlns:xlrd2="http://schemas.microsoft.com/office/spreadsheetml/2017/richdata2" ref="A2594:E2594">
    <sortCondition ref="A16:A17"/>
  </sortState>
  <tableColumns count="7">
    <tableColumn id="1" xr3:uid="{3F607D2F-C72F-4E30-8179-497CF7978702}" name="Time entry no."/>
    <tableColumn id="2" xr3:uid="{1F60F4D0-F0DF-4FB0-A9FE-B90FCA675E75}" name="Start time" dataDxfId="839"/>
    <tableColumn id="3" xr3:uid="{A58E3C66-31C8-43FC-9E50-75304B59954B}" name="End time" dataDxfId="838"/>
    <tableColumn id="4" xr3:uid="{69376392-29F3-49E1-9D07-BED7EB6DCF27}" name="Time delta in h" dataDxfId="837">
      <calculatedColumnFormula>MAX((TimeEntries584594[[#This Row],[End time]]-TimeEntries584594[[#This Row],[Start time]])*24,0)</calculatedColumnFormula>
    </tableColumn>
    <tableColumn id="5" xr3:uid="{0525B044-6C37-4EE8-A27C-7633814B3720}" name="Now?"/>
    <tableColumn id="6" xr3:uid="{E3194D53-7986-445E-A586-48B402C2E274}" name="Action1" dataDxfId="836" dataCellStyle="Hyperlink"/>
    <tableColumn id="7" xr3:uid="{E171DCF6-5ADC-44E5-A75D-DE2CA22ECB7B}" name="Action2" dataDxfId="835" dataCellStyle="Hyperlink"/>
  </tableColumns>
  <tableStyleInfo name="TableStyleDark1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4" xr:uid="{695962C9-2AD8-4977-B0E2-9C2E0E02B23D}" name="Tabelle7367585595" displayName="Tabelle7367585595" ref="I2593:M2600" totalsRowShown="0">
  <autoFilter ref="I2593:M2600" xr:uid="{91790A52-FACB-491E-9C90-7AD0F96E3120}"/>
  <tableColumns count="5">
    <tableColumn id="1" xr3:uid="{7D2E9E74-D70C-4A33-8248-8EE95679EDBB}" name="Comparison entry no."/>
    <tableColumn id="2" xr3:uid="{15004A07-226A-432A-8603-F8C708443501}" name="Propability Support point" dataDxfId="834"/>
    <tableColumn id="3" xr3:uid="{C2C145BF-151E-4291-9227-06AA092B9807}" name="EBS self time" dataDxfId="833"/>
    <tableColumn id="4" xr3:uid="{9F44C713-B758-40B9-948B-D396C4DAAECD}" name="Total time">
      <calculatedColumnFormula>SUM(TimeEntries584594[Time delta in h])</calculatedColumnFormula>
    </tableColumn>
    <tableColumn id="5" xr3:uid="{5852F715-2685-479C-A451-3C7DE6FC674D}" name="Total time / Your estimate" dataDxfId="832">
      <calculatedColumnFormula>Tabelle7367585595[[#This Row],[EBS self time]]/Tabelle7367585595[[#This Row],[Total time]]</calculatedColumnFormula>
    </tableColumn>
  </tableColumns>
  <tableStyleInfo name="TableStyleDark1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9" xr:uid="{CD083FD4-234A-4756-AD4A-FE220EE5D2C5}" name="TimeEntries586596600610" displayName="TimeEntries586596600610" ref="A2618:G2619" totalsRowShown="0">
  <autoFilter ref="A2618:G2619" xr:uid="{6C8549C0-AEEB-4BB8-B292-61F554A394E8}"/>
  <sortState xmlns:xlrd2="http://schemas.microsoft.com/office/spreadsheetml/2017/richdata2" ref="A2619:E2619">
    <sortCondition ref="A16:A17"/>
  </sortState>
  <tableColumns count="7">
    <tableColumn id="1" xr3:uid="{B68F5C77-8087-46B1-BD50-AEFEDA6E8944}" name="Time entry no."/>
    <tableColumn id="2" xr3:uid="{7268F446-53FF-4575-86F9-93047D7E3AC8}" name="Start time" dataDxfId="831"/>
    <tableColumn id="3" xr3:uid="{842D19C3-BD18-492D-91E5-DEED8F323A6D}" name="End time" dataDxfId="830"/>
    <tableColumn id="4" xr3:uid="{C394AF51-880D-49F4-97B2-3E1851E937F1}" name="Time delta in h" dataDxfId="829">
      <calculatedColumnFormula>MAX((TimeEntries586596600610[[#This Row],[End time]]-TimeEntries586596600610[[#This Row],[Start time]])*24,0)</calculatedColumnFormula>
    </tableColumn>
    <tableColumn id="5" xr3:uid="{D946255D-B792-471D-A3B6-A20C3764F815}" name="Now?"/>
    <tableColumn id="6" xr3:uid="{434D8166-1E41-4E71-976E-70D50F4E6F73}" name="Action1" dataDxfId="828" dataCellStyle="Hyperlink"/>
    <tableColumn id="7" xr3:uid="{E5E68B06-91AB-43AF-A15B-383FCD9B347C}" name="Action2" dataDxfId="827" dataCellStyle="Hyperlink"/>
  </tableColumns>
  <tableStyleInfo name="TableStyleDark1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0" xr:uid="{874EE737-7C3D-4933-9524-B14D0A61CC7B}" name="Tabelle7367587597601611" displayName="Tabelle7367587597601611" ref="I2618:M2619" totalsRowShown="0">
  <autoFilter ref="I2618:M2619" xr:uid="{324B7291-A2DB-4070-B2D7-C0DE0ABF459C}"/>
  <tableColumns count="5">
    <tableColumn id="1" xr3:uid="{BA9238D7-8C00-4C2D-823A-BD4FC218CAF7}" name="Comparison entry no."/>
    <tableColumn id="2" xr3:uid="{E98DAB01-9BD4-45CB-9D64-D978B79BA87E}" name="Propability Support point" dataDxfId="826"/>
    <tableColumn id="3" xr3:uid="{FA700EB3-C2DE-49B7-9264-A50416C818FB}" name="EBS self time" dataDxfId="825"/>
    <tableColumn id="4" xr3:uid="{19A30584-B10B-4DA4-875D-69C932FA56FF}" name="Total time">
      <calculatedColumnFormula>SUM(TimeEntries586596600610[Time delta in h])</calculatedColumnFormula>
    </tableColumn>
    <tableColumn id="5" xr3:uid="{CD79F9FB-F8A6-4CF6-933F-4A935D8D5B9A}" name="Total time / Your estimate" dataDxfId="824">
      <calculatedColumnFormula>Tabelle7367587597601611[[#This Row],[EBS self time]]/Tabelle7367587597601611[[#This Row],[Total time]]</calculatedColumnFormula>
    </tableColumn>
  </tableColumns>
  <tableStyleInfo name="TableStyleDark1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1" xr:uid="{A4490005-82D1-4C1F-8AA4-78245F09295E}" name="TimeEntries602612" displayName="TimeEntries602612" ref="A2638:G2639" totalsRowShown="0">
  <autoFilter ref="A2638:G2639" xr:uid="{00D5570E-CCE2-425B-A887-C0B68996E26C}"/>
  <sortState xmlns:xlrd2="http://schemas.microsoft.com/office/spreadsheetml/2017/richdata2" ref="A2639:E2639">
    <sortCondition ref="A16:A17"/>
  </sortState>
  <tableColumns count="7">
    <tableColumn id="1" xr3:uid="{0DCF9A38-8C32-40B5-8390-3AC1689DF59E}" name="Time entry no."/>
    <tableColumn id="2" xr3:uid="{8F5DCA10-26D6-4336-A407-4AB57D69258B}" name="Start time" dataDxfId="823"/>
    <tableColumn id="3" xr3:uid="{B796B830-8F54-415A-82FD-7215FA6BC677}" name="End time" dataDxfId="822"/>
    <tableColumn id="4" xr3:uid="{E4EF4422-E1E2-49C8-9566-D945A5EE53FC}" name="Time delta in h" dataDxfId="821">
      <calculatedColumnFormula>MAX((TimeEntries602612[[#This Row],[End time]]-TimeEntries602612[[#This Row],[Start time]])*24,0)</calculatedColumnFormula>
    </tableColumn>
    <tableColumn id="5" xr3:uid="{9DFF3FB7-63B9-49D4-B2DE-46FAE28CD239}" name="Now?"/>
    <tableColumn id="6" xr3:uid="{24950392-20F4-46CA-849B-0A0CE2ABA46E}" name="Action1" dataDxfId="820" dataCellStyle="Hyperlink"/>
    <tableColumn id="7" xr3:uid="{0CE51DCA-6889-4DBF-8442-6603980854C3}" name="Action2" dataDxfId="819" dataCellStyle="Hyperlink"/>
  </tableColumns>
  <tableStyleInfo name="TableStyleDark1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2" xr:uid="{6E1076FE-0E11-43A1-BAAF-C25F0E52FBAE}" name="Tabelle7367603613" displayName="Tabelle7367603613" ref="I2638:M2639" totalsRowShown="0">
  <autoFilter ref="I2638:M2639" xr:uid="{73048B00-7399-455C-A9F6-B07D3C754666}"/>
  <tableColumns count="5">
    <tableColumn id="1" xr3:uid="{1F6662ED-4C19-4971-89C8-2BA1B002A945}" name="Comparison entry no."/>
    <tableColumn id="2" xr3:uid="{EFED5CB5-5564-44D7-A9D6-2FD98AF345AD}" name="Propability Support point" dataDxfId="818"/>
    <tableColumn id="3" xr3:uid="{DCEF0CFE-920E-46D1-A5D3-BD58E6FCD61E}" name="EBS self time" dataDxfId="817"/>
    <tableColumn id="4" xr3:uid="{DCCC2E05-BD60-40EE-8CC2-0DD5DCCAF0E6}" name="Total time">
      <calculatedColumnFormula>SUM(TimeEntries602612[Time delta in h])</calculatedColumnFormula>
    </tableColumn>
    <tableColumn id="5" xr3:uid="{61979A71-7700-40AF-B689-E08A253FB4BC}" name="Total time / Your estimate" dataDxfId="816">
      <calculatedColumnFormula>Tabelle7367603613[[#This Row],[EBS self time]]/Tabelle7367603613[[#This Row],[Total time]]</calculatedColumnFormula>
    </tableColumn>
  </tableColumns>
  <tableStyleInfo name="TableStyleDark1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3" xr:uid="{ED0B9DBE-1E3D-4963-987B-5020D81635E3}" name="TimeEntries604614" displayName="TimeEntries604614" ref="A2658:G2659" totalsRowShown="0">
  <autoFilter ref="A2658:G2659" xr:uid="{C0F195BA-874B-4E6D-B0B8-6BED48EDD59F}"/>
  <sortState xmlns:xlrd2="http://schemas.microsoft.com/office/spreadsheetml/2017/richdata2" ref="A2659:E2659">
    <sortCondition ref="A16:A17"/>
  </sortState>
  <tableColumns count="7">
    <tableColumn id="1" xr3:uid="{3D55A148-473A-43C7-921C-E4CC05205DAB}" name="Time entry no."/>
    <tableColumn id="2" xr3:uid="{0FA5C3A9-4428-468E-8EDF-1AAE4E491055}" name="Start time" dataDxfId="815"/>
    <tableColumn id="3" xr3:uid="{B4829B6E-2782-4D36-BB39-6B0D95214656}" name="End time" dataDxfId="814"/>
    <tableColumn id="4" xr3:uid="{62ED4E1E-377A-444C-B344-0B3C3F370434}" name="Time delta in h" dataDxfId="813">
      <calculatedColumnFormula>MAX((TimeEntries604614[[#This Row],[End time]]-TimeEntries604614[[#This Row],[Start time]])*24,0)</calculatedColumnFormula>
    </tableColumn>
    <tableColumn id="5" xr3:uid="{C9AF3D49-F1E3-402F-AD88-5244596CE0B7}" name="Now?"/>
    <tableColumn id="6" xr3:uid="{42618551-99AF-49F6-B3C1-85B22F899D9B}" name="Action1" dataDxfId="812" dataCellStyle="Hyperlink"/>
    <tableColumn id="7" xr3:uid="{29693CD4-4D72-4F7D-9F4E-371DCB1CBFE2}" name="Action2" dataDxfId="811" dataCellStyle="Hyperlink"/>
  </tableColumns>
  <tableStyleInfo name="TableStyleDark1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4" xr:uid="{37073831-A42A-4C14-894E-B074FB327B99}" name="Tabelle7367605615" displayName="Tabelle7367605615" ref="I2658:M2665" totalsRowShown="0">
  <autoFilter ref="I2658:M2665" xr:uid="{77339C60-A006-411E-86E0-6F48B3E104FD}"/>
  <tableColumns count="5">
    <tableColumn id="1" xr3:uid="{B15569DF-E311-478D-99C2-1ED30C73FA08}" name="Comparison entry no."/>
    <tableColumn id="2" xr3:uid="{A0995012-902B-40D5-9A2E-04B82DE5E7A9}" name="Propability Support point" dataDxfId="810"/>
    <tableColumn id="3" xr3:uid="{8E0D935B-C7FB-4FE9-9015-19D044A031DA}" name="EBS self time" dataDxfId="809"/>
    <tableColumn id="4" xr3:uid="{0CBBF179-1281-40D6-980D-F5EC859C4D1D}" name="Total time">
      <calculatedColumnFormula>SUM(TimeEntries604614[Time delta in h])</calculatedColumnFormula>
    </tableColumn>
    <tableColumn id="5" xr3:uid="{15F70904-80A6-42C8-8E9B-7F8DC7ACD385}" name="Total time / Your estimate" dataDxfId="808">
      <calculatedColumnFormula>Tabelle7367605615[[#This Row],[EBS self time]]/Tabelle7367605615[[#This Row],[Total time]]</calculatedColumnFormula>
    </tableColumn>
  </tableColumns>
  <tableStyleInfo name="TableStyleDark1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5" xr:uid="{64B587A0-E0E7-4BBC-B9D7-A53CDBDBB96F}" name="TimeEntries606616" displayName="TimeEntries606616" ref="A2683:G2684" totalsRowShown="0">
  <autoFilter ref="A2683:G2684" xr:uid="{81F6DA18-D2A8-4E79-9749-5C7C0582E320}"/>
  <sortState xmlns:xlrd2="http://schemas.microsoft.com/office/spreadsheetml/2017/richdata2" ref="A2684:E2684">
    <sortCondition ref="A16:A17"/>
  </sortState>
  <tableColumns count="7">
    <tableColumn id="1" xr3:uid="{ACC86B24-3B27-4E1F-9252-F165D8E397C4}" name="Time entry no."/>
    <tableColumn id="2" xr3:uid="{1704B9AA-0DAC-468D-B473-72DD138428F2}" name="Start time" dataDxfId="807"/>
    <tableColumn id="3" xr3:uid="{64FBDC44-DACC-4FF7-91D3-8DC82310D8B3}" name="End time" dataDxfId="806"/>
    <tableColumn id="4" xr3:uid="{18438341-F61A-4B06-BA5A-CB43DB8010F0}" name="Time delta in h" dataDxfId="805">
      <calculatedColumnFormula>MAX((TimeEntries606616[[#This Row],[End time]]-TimeEntries606616[[#This Row],[Start time]])*24,0)</calculatedColumnFormula>
    </tableColumn>
    <tableColumn id="5" xr3:uid="{BD4FF1B5-B631-4BD3-8970-B54940178BCF}" name="Now?"/>
    <tableColumn id="6" xr3:uid="{4128BE13-A877-4A9F-B63D-6B44618B8B91}" name="Action1" dataDxfId="804" dataCellStyle="Hyperlink"/>
    <tableColumn id="7" xr3:uid="{5E6C43F3-7BCA-4CBC-9251-7A3A286D226E}" name="Action2" dataDxfId="803" dataCellStyle="Hyperlink"/>
  </tableColumns>
  <tableStyleInfo name="TableStyleDark1" showFirstColumn="0" showLastColumn="0" showRowStripes="1" showColumnStripes="0"/>
</table>
</file>

<file path=xl/tables/table2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6" xr:uid="{3D78A3F1-B3E3-49B5-9BCF-4EC5302F500C}" name="Tabelle7367607617" displayName="Tabelle7367607617" ref="I2683:M2690" totalsRowShown="0">
  <autoFilter ref="I2683:M2690" xr:uid="{D9D80A66-CF70-4D1B-A3D4-BD617D9374D9}"/>
  <tableColumns count="5">
    <tableColumn id="1" xr3:uid="{E299B3EA-9AEA-496A-9797-177ED7F3F375}" name="Comparison entry no."/>
    <tableColumn id="2" xr3:uid="{F715D492-650F-4152-A4A7-99308E77528A}" name="Propability Support point" dataDxfId="802"/>
    <tableColumn id="3" xr3:uid="{819F466B-B028-4286-8D1A-28C6AB60486D}" name="EBS self time" dataDxfId="801"/>
    <tableColumn id="4" xr3:uid="{40973B9E-96EF-49F3-9683-20D645D9D060}" name="Total time">
      <calculatedColumnFormula>SUM(TimeEntries606616[Time delta in h])</calculatedColumnFormula>
    </tableColumn>
    <tableColumn id="5" xr3:uid="{F3F10C20-8A45-4F99-B2D8-515F12A551E4}" name="Total time / Your estimate" dataDxfId="800">
      <calculatedColumnFormula>Tabelle7367607617[[#This Row],[EBS self time]]/Tabelle7367607617[[#This Row],[Total time]]</calculatedColumnFormula>
    </tableColumn>
  </tableColumns>
  <tableStyleInfo name="TableStyleDark1" showFirstColumn="0" showLastColumn="0" showRowStripes="1" showColumnStripes="0"/>
</table>
</file>

<file path=xl/tables/table2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1" xr:uid="{16AB0213-81DE-427B-B4AC-77DACD1DCE5E}" name="TimeEntries608618622632" displayName="TimeEntries608618622632" ref="A2708:G2709" totalsRowShown="0">
  <autoFilter ref="A2708:G2709" xr:uid="{A29CA80F-71B8-4606-A4B1-666BFC65580F}"/>
  <sortState xmlns:xlrd2="http://schemas.microsoft.com/office/spreadsheetml/2017/richdata2" ref="A2709:E2709">
    <sortCondition ref="A16:A17"/>
  </sortState>
  <tableColumns count="7">
    <tableColumn id="1" xr3:uid="{BB8CFE14-E93D-4F46-B918-79D86D461B30}" name="Time entry no."/>
    <tableColumn id="2" xr3:uid="{3564100D-18C5-422C-B204-1B897D12FDFF}" name="Start time" dataDxfId="799"/>
    <tableColumn id="3" xr3:uid="{D8415D30-67F1-410A-9C08-73104DC3C006}" name="End time" dataDxfId="798"/>
    <tableColumn id="4" xr3:uid="{47463523-D551-44C9-85B2-FB408AA41805}" name="Time delta in h" dataDxfId="797">
      <calculatedColumnFormula>MAX((TimeEntries608618622632[[#This Row],[End time]]-TimeEntries608618622632[[#This Row],[Start time]])*24,0)</calculatedColumnFormula>
    </tableColumn>
    <tableColumn id="5" xr3:uid="{0FE32A2D-0F34-412C-B969-8B186A728465}" name="Now?"/>
    <tableColumn id="6" xr3:uid="{1C3CA947-C957-4FA4-9C37-434AC7AB0C10}" name="Action1" dataDxfId="796" dataCellStyle="Hyperlink"/>
    <tableColumn id="7" xr3:uid="{F1FEF15D-B9DC-49D7-BD91-AFE44D033007}" name="Action2" dataDxfId="795" dataCellStyle="Hyperlink"/>
  </tableColumns>
  <tableStyleInfo name="TableStyleDark1" showFirstColumn="0" showLastColumn="0" showRowStripes="1" showColumnStripes="0"/>
</table>
</file>

<file path=xl/tables/table2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2" xr:uid="{0593853A-E793-4F18-8443-DEC5D9FB823B}" name="Tabelle7367609619623633" displayName="Tabelle7367609619623633" ref="I2708:M2709" totalsRowShown="0">
  <autoFilter ref="I2708:M2709" xr:uid="{1E3C6D54-EB0A-486C-B079-D84486B1FCB1}"/>
  <tableColumns count="5">
    <tableColumn id="1" xr3:uid="{D510C64C-85DE-4D68-B68A-9211539BEF12}" name="Comparison entry no."/>
    <tableColumn id="2" xr3:uid="{BEC08B27-67DB-4025-B312-0D115F95F19E}" name="Propability Support point" dataDxfId="794"/>
    <tableColumn id="3" xr3:uid="{95E02223-B064-4085-987D-2817DB332D69}" name="EBS self time" dataDxfId="793"/>
    <tableColumn id="4" xr3:uid="{9EA3E053-2E69-4601-BB72-ED03E7D6D03D}" name="Total time">
      <calculatedColumnFormula>SUM(TimeEntries608618622632[Time delta in h])</calculatedColumnFormula>
    </tableColumn>
    <tableColumn id="5" xr3:uid="{412950B5-8EEA-4565-9FDF-2280D7D02722}" name="Total time / Your estimate" dataDxfId="792">
      <calculatedColumnFormula>Tabelle7367609619623633[[#This Row],[EBS self time]]/Tabelle7367609619623633[[#This Row],[Total time]]</calculatedColumnFormula>
    </tableColumn>
  </tableColumns>
  <tableStyleInfo name="TableStyleDark1" showFirstColumn="0" showLastColumn="0" showRowStripes="1" showColumnStripes="0"/>
</table>
</file>

<file path=xl/tables/table2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3" xr:uid="{03A3AC29-C51D-484A-B7DA-BA1E88577777}" name="TimeEntries624634" displayName="TimeEntries624634" ref="A2728:G2729" totalsRowShown="0">
  <autoFilter ref="A2728:G2729" xr:uid="{E4134FF7-DCB0-4A43-A1A8-5880BDBF1560}"/>
  <sortState xmlns:xlrd2="http://schemas.microsoft.com/office/spreadsheetml/2017/richdata2" ref="A2729:E2729">
    <sortCondition ref="A16:A17"/>
  </sortState>
  <tableColumns count="7">
    <tableColumn id="1" xr3:uid="{52E6330D-59F4-402D-B548-63B688955901}" name="Time entry no."/>
    <tableColumn id="2" xr3:uid="{FCDF0681-EAE4-4966-8362-221E88B71F16}" name="Start time" dataDxfId="791"/>
    <tableColumn id="3" xr3:uid="{8D9ACEFB-E75C-49B4-A9A7-94CACEBCC8F5}" name="End time" dataDxfId="790"/>
    <tableColumn id="4" xr3:uid="{FEFDC6A9-1363-4D60-92D1-E0B89914A702}" name="Time delta in h" dataDxfId="789">
      <calculatedColumnFormula>MAX((TimeEntries624634[[#This Row],[End time]]-TimeEntries624634[[#This Row],[Start time]])*24,0)</calculatedColumnFormula>
    </tableColumn>
    <tableColumn id="5" xr3:uid="{F60AA749-27D1-49D0-909B-9996D6CE9E53}" name="Now?"/>
    <tableColumn id="6" xr3:uid="{04A020F0-3927-4BB3-9AA9-DB1EFB7456AF}" name="Action1" dataDxfId="788" dataCellStyle="Hyperlink"/>
    <tableColumn id="7" xr3:uid="{8C529A0F-E96E-47A0-B14E-29C0AEF9A593}" name="Action2" dataDxfId="787" dataCellStyle="Hyperlink"/>
  </tableColumns>
  <tableStyleInfo name="TableStyleDark1" showFirstColumn="0" showLastColumn="0" showRowStripes="1" showColumnStripes="0"/>
</table>
</file>

<file path=xl/tables/table2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4" xr:uid="{017C5CB1-6A9B-49F1-8F56-B92319C578BD}" name="Tabelle7367625635" displayName="Tabelle7367625635" ref="I2728:M2729" totalsRowShown="0">
  <autoFilter ref="I2728:M2729" xr:uid="{4C7B37CD-2EB7-4D45-9C03-CCD22A1DA319}"/>
  <tableColumns count="5">
    <tableColumn id="1" xr3:uid="{E7EAB0CD-B5FD-4DCB-B8A7-97C7F2A6ABED}" name="Comparison entry no."/>
    <tableColumn id="2" xr3:uid="{5E468E0D-E3DD-4D3A-A817-9F750ACE1EFA}" name="Propability Support point" dataDxfId="786"/>
    <tableColumn id="3" xr3:uid="{95C59EE4-6068-4813-9DBD-DF690383B6B6}" name="EBS self time" dataDxfId="785"/>
    <tableColumn id="4" xr3:uid="{4209F579-C941-49BB-B56C-3ECCD08299D0}" name="Total time">
      <calculatedColumnFormula>SUM(TimeEntries624634[Time delta in h])</calculatedColumnFormula>
    </tableColumn>
    <tableColumn id="5" xr3:uid="{289341ED-F677-4FDB-AE04-8E20B5D13AAF}" name="Total time / Your estimate" dataDxfId="784">
      <calculatedColumnFormula>Tabelle7367625635[[#This Row],[EBS self time]]/Tabelle7367625635[[#This Row],[Total time]]</calculatedColumnFormula>
    </tableColumn>
  </tableColumns>
  <tableStyleInfo name="TableStyleDark1" showFirstColumn="0" showLastColumn="0" showRowStripes="1" showColumnStripes="0"/>
</table>
</file>

<file path=xl/tables/table2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5" xr:uid="{D375AEE1-9EF4-4B06-A44F-1FF06C0CB7AF}" name="TimeEntries626636" displayName="TimeEntries626636" ref="A2748:G2749" totalsRowShown="0">
  <autoFilter ref="A2748:G2749" xr:uid="{745F1805-F825-45A1-92E7-B501B733C949}"/>
  <sortState xmlns:xlrd2="http://schemas.microsoft.com/office/spreadsheetml/2017/richdata2" ref="A2749:E2749">
    <sortCondition ref="A16:A17"/>
  </sortState>
  <tableColumns count="7">
    <tableColumn id="1" xr3:uid="{3D18B040-F46A-40AF-89A1-918ED63BFFC8}" name="Time entry no."/>
    <tableColumn id="2" xr3:uid="{90253032-FCB7-403F-832E-D7E5C519AB39}" name="Start time" dataDxfId="783"/>
    <tableColumn id="3" xr3:uid="{FDC5CD49-00B0-411B-86FF-899505833C60}" name="End time" dataDxfId="782"/>
    <tableColumn id="4" xr3:uid="{1559723A-2C8D-476D-A90D-56952F0083C0}" name="Time delta in h" dataDxfId="781">
      <calculatedColumnFormula>MAX((TimeEntries626636[[#This Row],[End time]]-TimeEntries626636[[#This Row],[Start time]])*24,0)</calculatedColumnFormula>
    </tableColumn>
    <tableColumn id="5" xr3:uid="{6CBA55EA-9987-4CBA-8A61-D290EDA589F9}" name="Now?"/>
    <tableColumn id="6" xr3:uid="{DD75E827-F33E-4B3A-A898-59AE1E630392}" name="Action1" dataDxfId="780" dataCellStyle="Hyperlink"/>
    <tableColumn id="7" xr3:uid="{4F40EE7C-68C6-4A6C-BB38-109B2081BD23}" name="Action2" dataDxfId="779" dataCellStyle="Hyperlink"/>
  </tableColumns>
  <tableStyleInfo name="TableStyleDark1" showFirstColumn="0" showLastColumn="0" showRowStripes="1" showColumnStripes="0"/>
</table>
</file>

<file path=xl/tables/table2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6" xr:uid="{32C58358-9DC9-4C0E-9A29-28B1CFBFDD3D}" name="Tabelle7367627637" displayName="Tabelle7367627637" ref="I2748:M2749" totalsRowShown="0">
  <autoFilter ref="I2748:M2749" xr:uid="{2B3E189C-B1DF-4ED1-96CB-FA3CBB114484}"/>
  <tableColumns count="5">
    <tableColumn id="1" xr3:uid="{E1FF783C-99D8-4B45-8B31-C97BD13C1E93}" name="Comparison entry no."/>
    <tableColumn id="2" xr3:uid="{C4440A8D-5A29-4A8F-B0C7-87156463DD0E}" name="Propability Support point" dataDxfId="778"/>
    <tableColumn id="3" xr3:uid="{53BC018F-85AB-45F7-9427-1D353781257B}" name="EBS self time" dataDxfId="777"/>
    <tableColumn id="4" xr3:uid="{3337ADE8-23C3-41A6-AEB1-8DF962753F29}" name="Total time">
      <calculatedColumnFormula>SUM(TimeEntries626636[Time delta in h])</calculatedColumnFormula>
    </tableColumn>
    <tableColumn id="5" xr3:uid="{BF57090E-B339-4D1F-9FC7-69D2150243B4}" name="Total time / Your estimate" dataDxfId="776">
      <calculatedColumnFormula>Tabelle7367627637[[#This Row],[EBS self time]]/Tabelle7367627637[[#This Row],[Total time]]</calculatedColumnFormula>
    </tableColumn>
  </tableColumns>
  <tableStyleInfo name="TableStyleDark1" showFirstColumn="0" showLastColumn="0" showRowStripes="1" showColumnStripes="0"/>
</table>
</file>

<file path=xl/tables/table2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7" xr:uid="{EBCA59FD-D4FE-42DD-AE0F-7F775AC45DAF}" name="TimeEntries628638" displayName="TimeEntries628638" ref="A2768:G2769" totalsRowShown="0">
  <autoFilter ref="A2768:G2769" xr:uid="{60125EFD-F295-449B-8186-99089E2A053B}"/>
  <sortState xmlns:xlrd2="http://schemas.microsoft.com/office/spreadsheetml/2017/richdata2" ref="A2769:E2769">
    <sortCondition ref="A16:A17"/>
  </sortState>
  <tableColumns count="7">
    <tableColumn id="1" xr3:uid="{992A6A3A-3317-45C2-8F31-84A1E8565AB2}" name="Time entry no."/>
    <tableColumn id="2" xr3:uid="{D77678DF-DFE7-4FD6-A00F-3D0262CBA6F9}" name="Start time" dataDxfId="775"/>
    <tableColumn id="3" xr3:uid="{79ACB8A5-F8AF-403C-B331-1FFDB302B095}" name="End time" dataDxfId="774"/>
    <tableColumn id="4" xr3:uid="{A890D752-5D34-4130-858E-430C8B625307}" name="Time delta in h" dataDxfId="773">
      <calculatedColumnFormula>MAX((TimeEntries628638[[#This Row],[End time]]-TimeEntries628638[[#This Row],[Start time]])*24,0)</calculatedColumnFormula>
    </tableColumn>
    <tableColumn id="5" xr3:uid="{595DAAE6-E87C-49EA-B8CA-FBB3ED89017E}" name="Now?"/>
    <tableColumn id="6" xr3:uid="{66C334E6-247F-41D2-A84B-DAAB3F1B4F99}" name="Action1" dataDxfId="772" dataCellStyle="Hyperlink"/>
    <tableColumn id="7" xr3:uid="{D2B9CD76-D415-4018-82EA-1BB2FD375F34}" name="Action2" dataDxfId="771" dataCellStyle="Hyperlink"/>
  </tableColumns>
  <tableStyleInfo name="TableStyleDark1" showFirstColumn="0" showLastColumn="0" showRowStripes="1" showColumnStripes="0"/>
</table>
</file>

<file path=xl/tables/table2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8" xr:uid="{0647CD5E-2E88-49D8-BB4B-1C74BFC81C61}" name="Tabelle7367629639" displayName="Tabelle7367629639" ref="I2768:M2769" totalsRowShown="0">
  <autoFilter ref="I2768:M2769" xr:uid="{49508C00-0DAC-4503-BE57-CC0E434CED80}"/>
  <tableColumns count="5">
    <tableColumn id="1" xr3:uid="{4037F011-F8EA-4629-8C62-D616A034862C}" name="Comparison entry no."/>
    <tableColumn id="2" xr3:uid="{FAE1922C-2B97-4B1F-9C17-2C0F593CC663}" name="Propability Support point" dataDxfId="770"/>
    <tableColumn id="3" xr3:uid="{C1EED91A-EAE9-4DB6-B831-D25FF77CED0B}" name="EBS self time" dataDxfId="769"/>
    <tableColumn id="4" xr3:uid="{8D4FEA6C-2AAE-45FC-8264-7168EBACF876}" name="Total time">
      <calculatedColumnFormula>SUM(TimeEntries628638[Time delta in h])</calculatedColumnFormula>
    </tableColumn>
    <tableColumn id="5" xr3:uid="{58254307-4A6D-4D38-AD9E-03C45FAA8954}" name="Total time / Your estimate" dataDxfId="768">
      <calculatedColumnFormula>Tabelle7367629639[[#This Row],[EBS self time]]/Tabelle7367629639[[#This Row],[Total time]]</calculatedColumnFormula>
    </tableColumn>
  </tableColumns>
  <tableStyleInfo name="TableStyleDark1" showFirstColumn="0" showLastColumn="0" showRowStripes="1" showColumnStripes="0"/>
</table>
</file>

<file path=xl/tables/table2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3" xr:uid="{BCE85822-D763-448F-8043-43C7350D914B}" name="TimeEntries630640644654" displayName="TimeEntries630640644654" ref="A2788:G2789" totalsRowShown="0">
  <autoFilter ref="A2788:G2789" xr:uid="{8C2D2F52-FC5B-4D5A-8DB8-F8B1A973EDDA}"/>
  <sortState xmlns:xlrd2="http://schemas.microsoft.com/office/spreadsheetml/2017/richdata2" ref="A2789:E2789">
    <sortCondition ref="A16:A17"/>
  </sortState>
  <tableColumns count="7">
    <tableColumn id="1" xr3:uid="{ABCC9FA4-8550-4968-B3AD-19889CB95405}" name="Time entry no."/>
    <tableColumn id="2" xr3:uid="{C95406B3-764B-42BB-9B35-A953A42BD7D5}" name="Start time" dataDxfId="767"/>
    <tableColumn id="3" xr3:uid="{73F4E666-1036-4CDE-B86A-536ECCE3D67B}" name="End time" dataDxfId="766"/>
    <tableColumn id="4" xr3:uid="{6142097C-FFA1-48BF-9C5F-20F2A2FA01B1}" name="Time delta in h" dataDxfId="765">
      <calculatedColumnFormula>MAX((TimeEntries630640644654[[#This Row],[End time]]-TimeEntries630640644654[[#This Row],[Start time]])*24,0)</calculatedColumnFormula>
    </tableColumn>
    <tableColumn id="5" xr3:uid="{F366C599-D857-4E19-9DF3-F754571AEEAD}" name="Now?"/>
    <tableColumn id="6" xr3:uid="{A5853BDF-9A5E-4197-9348-3BD219D30C1C}" name="Action1" dataDxfId="764" dataCellStyle="Hyperlink"/>
    <tableColumn id="7" xr3:uid="{1D1FA64C-F0F1-47C5-AA5F-778C5B862365}" name="Action2" dataDxfId="763" dataCellStyle="Hyperlink"/>
  </tableColumns>
  <tableStyleInfo name="TableStyleDark1" showFirstColumn="0" showLastColumn="0" showRowStripes="1" showColumnStripes="0"/>
</table>
</file>

<file path=xl/tables/table2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4" xr:uid="{75C0B20D-6D63-44C6-BF87-139BE86AC275}" name="Tabelle7367631641645655" displayName="Tabelle7367631641645655" ref="I2788:M2795" totalsRowShown="0">
  <autoFilter ref="I2788:M2795" xr:uid="{5994BB59-33DB-4583-B4F1-9DA307290F3D}"/>
  <tableColumns count="5">
    <tableColumn id="1" xr3:uid="{639D70FC-34DB-4AF3-992A-1EAB0FE6B4A8}" name="Comparison entry no."/>
    <tableColumn id="2" xr3:uid="{0F7E73A3-D0C0-4A87-B059-C4F51448E1FE}" name="Propability Support point" dataDxfId="762"/>
    <tableColumn id="3" xr3:uid="{99AB17BA-75BA-421F-948A-FF9FE7CB8800}" name="EBS self time" dataDxfId="761"/>
    <tableColumn id="4" xr3:uid="{ADDD1F96-676D-42D7-985A-304288B38D05}" name="Total time">
      <calculatedColumnFormula>SUM(TimeEntries630640644654[Time delta in h])</calculatedColumnFormula>
    </tableColumn>
    <tableColumn id="5" xr3:uid="{3A6006EF-9E83-4EDC-9ACD-DBF8E3126633}" name="Total time / Your estimate" dataDxfId="760">
      <calculatedColumnFormula>Tabelle7367631641645655[[#This Row],[EBS self time]]/Tabelle7367631641645655[[#This Row],[Total time]]</calculatedColumnFormula>
    </tableColumn>
  </tableColumns>
  <tableStyleInfo name="TableStyleDark1" showFirstColumn="0" showLastColumn="0" showRowStripes="1" showColumnStripes="0"/>
</table>
</file>

<file path=xl/tables/table2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5" xr:uid="{E8B6148A-3DFC-46B3-8EBF-BF8742E57623}" name="TimeEntries646656" displayName="TimeEntries646656" ref="A2813:G2814" totalsRowShown="0">
  <autoFilter ref="A2813:G2814" xr:uid="{E2EE6A51-22CC-45D1-8CB5-62A02B4EC668}"/>
  <sortState xmlns:xlrd2="http://schemas.microsoft.com/office/spreadsheetml/2017/richdata2" ref="A2814:E2814">
    <sortCondition ref="A16:A17"/>
  </sortState>
  <tableColumns count="7">
    <tableColumn id="1" xr3:uid="{6C5D0844-9652-447D-86F8-DB3A3F5E730B}" name="Time entry no."/>
    <tableColumn id="2" xr3:uid="{47C1AA8B-045D-41BD-97F3-B2428BD4F1FE}" name="Start time" dataDxfId="759"/>
    <tableColumn id="3" xr3:uid="{39C632DC-204B-48C4-BBBD-CE92628659B6}" name="End time" dataDxfId="758"/>
    <tableColumn id="4" xr3:uid="{6E332331-E00F-46C3-B657-00D11F4FDAE3}" name="Time delta in h" dataDxfId="757">
      <calculatedColumnFormula>MAX((TimeEntries646656[[#This Row],[End time]]-TimeEntries646656[[#This Row],[Start time]])*24,0)</calculatedColumnFormula>
    </tableColumn>
    <tableColumn id="5" xr3:uid="{33C23D57-3AC9-45AF-B7DD-6A6491649BA0}" name="Now?"/>
    <tableColumn id="6" xr3:uid="{D9208460-D91B-4720-B534-47A9C04810D0}" name="Action1" dataDxfId="756" dataCellStyle="Hyperlink"/>
    <tableColumn id="7" xr3:uid="{B310C61A-21D2-4D29-B032-D244D98D0C6E}" name="Action2" dataDxfId="755" dataCellStyle="Hyperlink"/>
  </tableColumns>
  <tableStyleInfo name="TableStyleDark1" showFirstColumn="0" showLastColumn="0" showRowStripes="1" showColumnStripes="0"/>
</table>
</file>

<file path=xl/tables/table2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6" xr:uid="{5BA558EB-0960-4625-9D63-976CF6030406}" name="Tabelle7367647657" displayName="Tabelle7367647657" ref="I2813:M2814" totalsRowShown="0">
  <autoFilter ref="I2813:M2814" xr:uid="{BD929645-D33E-476B-8B68-C2072A3A4912}"/>
  <tableColumns count="5">
    <tableColumn id="1" xr3:uid="{6B9AA828-9DD1-4FA0-8503-4AD4DD362B03}" name="Comparison entry no."/>
    <tableColumn id="2" xr3:uid="{3AC5954C-0C90-46EB-8229-F6F1BCD25778}" name="Propability Support point" dataDxfId="754"/>
    <tableColumn id="3" xr3:uid="{3E91DBD5-9CAF-430C-8F4D-EA76537869E6}" name="EBS self time" dataDxfId="753"/>
    <tableColumn id="4" xr3:uid="{2F4FBD8F-8476-40FD-B09A-3EE1C3C7F567}" name="Total time">
      <calculatedColumnFormula>SUM(TimeEntries646656[Time delta in h])</calculatedColumnFormula>
    </tableColumn>
    <tableColumn id="5" xr3:uid="{A75B2A08-20EE-4AF2-98E4-870A2E7B5947}" name="Total time / Your estimate" dataDxfId="752">
      <calculatedColumnFormula>Tabelle7367647657[[#This Row],[EBS self time]]/Tabelle7367647657[[#This Row],[Total time]]</calculatedColumnFormula>
    </tableColumn>
  </tableColumns>
  <tableStyleInfo name="TableStyleDark1" showFirstColumn="0" showLastColumn="0" showRowStripes="1" showColumnStripes="0"/>
</table>
</file>

<file path=xl/tables/table2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7" xr:uid="{13DC6BB8-D6EC-49EB-B85A-BEEE3578365B}" name="TimeEntries648658" displayName="TimeEntries648658" ref="A2833:G2834" totalsRowShown="0">
  <autoFilter ref="A2833:G2834" xr:uid="{F25258FF-96CD-4502-9F0D-826DB39ED7BD}"/>
  <sortState xmlns:xlrd2="http://schemas.microsoft.com/office/spreadsheetml/2017/richdata2" ref="A2834:E2834">
    <sortCondition ref="A16:A17"/>
  </sortState>
  <tableColumns count="7">
    <tableColumn id="1" xr3:uid="{ECCE9431-0B84-4270-BD8D-F76ADA4DE2EC}" name="Time entry no."/>
    <tableColumn id="2" xr3:uid="{1C7F8E3E-499B-467C-BCE8-CB78048AF5ED}" name="Start time" dataDxfId="751"/>
    <tableColumn id="3" xr3:uid="{73295E85-1DF6-4AFB-B574-3FCA84C2F26F}" name="End time" dataDxfId="750"/>
    <tableColumn id="4" xr3:uid="{CC6453CE-C910-40B0-A16C-B8038C6201D7}" name="Time delta in h" dataDxfId="749">
      <calculatedColumnFormula>MAX((TimeEntries648658[[#This Row],[End time]]-TimeEntries648658[[#This Row],[Start time]])*24,0)</calculatedColumnFormula>
    </tableColumn>
    <tableColumn id="5" xr3:uid="{77FC4F69-E7CC-4BD1-92E9-FCF7C933486E}" name="Now?"/>
    <tableColumn id="6" xr3:uid="{9D2C9EB0-33E9-47A4-9398-B87CB96C2907}" name="Action1" dataDxfId="748" dataCellStyle="Hyperlink"/>
    <tableColumn id="7" xr3:uid="{51714E79-BF5D-48E3-A782-357E57BDCB0A}" name="Action2" dataDxfId="747" dataCellStyle="Hyperlink"/>
  </tableColumns>
  <tableStyleInfo name="TableStyleDark1" showFirstColumn="0" showLastColumn="0" showRowStripes="1" showColumnStripes="0"/>
</table>
</file>

<file path=xl/tables/table2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8" xr:uid="{F8B9CCCF-2CF3-448A-A823-C3D1227D43AA}" name="Tabelle7367649659" displayName="Tabelle7367649659" ref="I2833:M2834" totalsRowShown="0">
  <autoFilter ref="I2833:M2834" xr:uid="{35F5E485-A3CA-4831-8891-086DB1344972}"/>
  <tableColumns count="5">
    <tableColumn id="1" xr3:uid="{193271BE-C298-4456-B2A5-8D19731C7BF1}" name="Comparison entry no."/>
    <tableColumn id="2" xr3:uid="{F269B563-65EF-4BB0-A1E1-56BB9750D06D}" name="Propability Support point" dataDxfId="746"/>
    <tableColumn id="3" xr3:uid="{250F7C96-DF96-4CCC-A634-FCDE32B64F05}" name="EBS self time" dataDxfId="745"/>
    <tableColumn id="4" xr3:uid="{2F6A02E5-5F85-4DF5-A638-63EDD0F849B3}" name="Total time">
      <calculatedColumnFormula>SUM(TimeEntries648658[Time delta in h])</calculatedColumnFormula>
    </tableColumn>
    <tableColumn id="5" xr3:uid="{8FFA2A78-5914-41C7-BBFF-AEEFF8E3A570}" name="Total time / Your estimate" dataDxfId="744">
      <calculatedColumnFormula>Tabelle7367649659[[#This Row],[EBS self time]]/Tabelle7367649659[[#This Row],[Total time]]</calculatedColumnFormula>
    </tableColumn>
  </tableColumns>
  <tableStyleInfo name="TableStyleDark1" showFirstColumn="0" showLastColumn="0" showRowStripes="1" showColumnStripes="0"/>
</table>
</file>

<file path=xl/tables/table2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9" xr:uid="{15C7933E-54C8-450C-B15C-7F98DA799D79}" name="TimeEntries650660" displayName="TimeEntries650660" ref="A2853:G2854" totalsRowShown="0">
  <autoFilter ref="A2853:G2854" xr:uid="{F40FBB67-EACA-4324-80E7-6E60AA04FF4F}"/>
  <sortState xmlns:xlrd2="http://schemas.microsoft.com/office/spreadsheetml/2017/richdata2" ref="A2854:E2854">
    <sortCondition ref="A16:A17"/>
  </sortState>
  <tableColumns count="7">
    <tableColumn id="1" xr3:uid="{470FB798-15F9-4AF3-A6DF-24A45DDDD85D}" name="Time entry no."/>
    <tableColumn id="2" xr3:uid="{00341910-3CB2-489A-9445-BB3F2E208C5F}" name="Start time" dataDxfId="743"/>
    <tableColumn id="3" xr3:uid="{E25A9F99-A973-42E3-97A4-489983A3EAF6}" name="End time" dataDxfId="742"/>
    <tableColumn id="4" xr3:uid="{CD7B5A5A-DA63-4389-AF5B-65E3AB5D2354}" name="Time delta in h" dataDxfId="741">
      <calculatedColumnFormula>MAX((TimeEntries650660[[#This Row],[End time]]-TimeEntries650660[[#This Row],[Start time]])*24,0)</calculatedColumnFormula>
    </tableColumn>
    <tableColumn id="5" xr3:uid="{DB74A526-B9CA-4376-BD93-CCE13698FDFD}" name="Now?"/>
    <tableColumn id="6" xr3:uid="{D28AF944-13D4-4CA2-9303-262D09852E71}" name="Action1" dataDxfId="740" dataCellStyle="Hyperlink"/>
    <tableColumn id="7" xr3:uid="{87CCCCA3-F8BB-4466-A358-1845C0975489}" name="Action2" dataDxfId="739" dataCellStyle="Hyperlink"/>
  </tableColumns>
  <tableStyleInfo name="TableStyleDark1" showFirstColumn="0" showLastColumn="0" showRowStripes="1" showColumnStripes="0"/>
</table>
</file>

<file path=xl/tables/table2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0" xr:uid="{CA844DE6-FC9F-4705-A7EF-327A67D4B9BD}" name="Tabelle7367651661" displayName="Tabelle7367651661" ref="I2853:M2854" totalsRowShown="0">
  <autoFilter ref="I2853:M2854" xr:uid="{5EBBEBF4-AAD6-4211-A1B6-5A0BE554E9B9}"/>
  <tableColumns count="5">
    <tableColumn id="1" xr3:uid="{827116C0-9EF8-442D-985A-4F1D4A747422}" name="Comparison entry no."/>
    <tableColumn id="2" xr3:uid="{0CC1A88A-FD71-4128-998F-8C28A3269ED4}" name="Propability Support point" dataDxfId="738"/>
    <tableColumn id="3" xr3:uid="{BB7B69CB-21C0-4557-B36E-BBF460A5A7F4}" name="EBS self time" dataDxfId="737"/>
    <tableColumn id="4" xr3:uid="{D4894985-30F7-40AD-8CCC-6FCD4E66617C}" name="Total time">
      <calculatedColumnFormula>SUM(TimeEntries650660[Time delta in h])</calculatedColumnFormula>
    </tableColumn>
    <tableColumn id="5" xr3:uid="{037FD86D-080A-44CC-BC49-9D638D4CEAA2}" name="Total time / Your estimate" dataDxfId="736">
      <calculatedColumnFormula>Tabelle7367651661[[#This Row],[EBS self time]]/Tabelle7367651661[[#This Row],[Total time]]</calculatedColumnFormula>
    </tableColumn>
  </tableColumns>
  <tableStyleInfo name="TableStyleDark1" showFirstColumn="0" showLastColumn="0" showRowStripes="1" showColumnStripes="0"/>
</table>
</file>

<file path=xl/tables/table2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5" xr:uid="{6EC2379A-B5F0-4857-81D0-E2DAF63D8566}" name="TimeEntries652662666676" displayName="TimeEntries652662666676" ref="A2873:G2874" totalsRowShown="0">
  <autoFilter ref="A2873:G2874" xr:uid="{29D727B1-190E-4B8D-B344-F8DFEBEF265A}"/>
  <sortState xmlns:xlrd2="http://schemas.microsoft.com/office/spreadsheetml/2017/richdata2" ref="A2874:E2874">
    <sortCondition ref="A16:A17"/>
  </sortState>
  <tableColumns count="7">
    <tableColumn id="1" xr3:uid="{2855F1EA-84A9-4398-9AB3-D7DEFF217154}" name="Time entry no."/>
    <tableColumn id="2" xr3:uid="{E41169B5-166E-4339-9CBD-44EB9C7E3E75}" name="Start time" dataDxfId="735"/>
    <tableColumn id="3" xr3:uid="{A48B0781-165A-47C1-9274-ACBBFD75E166}" name="End time" dataDxfId="734"/>
    <tableColumn id="4" xr3:uid="{7B933DF5-B3C2-4E70-93C6-1E391DF4E264}" name="Time delta in h" dataDxfId="733">
      <calculatedColumnFormula>MAX((TimeEntries652662666676[[#This Row],[End time]]-TimeEntries652662666676[[#This Row],[Start time]])*24,0)</calculatedColumnFormula>
    </tableColumn>
    <tableColumn id="5" xr3:uid="{2F146B61-9BEC-465F-8D9D-A3B735C27972}" name="Now?"/>
    <tableColumn id="6" xr3:uid="{C0D771F1-6B10-48E6-A750-2CAB86B13B36}" name="Action1" dataDxfId="732" dataCellStyle="Hyperlink"/>
    <tableColumn id="7" xr3:uid="{29286C52-7402-483C-87B4-DE6BA8F5A329}" name="Action2" dataDxfId="731" dataCellStyle="Hyperlink"/>
  </tableColumns>
  <tableStyleInfo name="TableStyleDark1" showFirstColumn="0" showLastColumn="0" showRowStripes="1" showColumnStripes="0"/>
</table>
</file>

<file path=xl/tables/table2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6" xr:uid="{E4A5994E-375D-40F3-8605-1B020963F3E7}" name="Tabelle7367653663667677" displayName="Tabelle7367653663667677" ref="I2873:M2874" totalsRowShown="0">
  <autoFilter ref="I2873:M2874" xr:uid="{D3EF2E27-6C49-460B-93DB-80E654460E72}"/>
  <tableColumns count="5">
    <tableColumn id="1" xr3:uid="{5901F3D7-40AF-432D-AD11-030BDDC9B40D}" name="Comparison entry no."/>
    <tableColumn id="2" xr3:uid="{7D50516D-1138-48C5-A627-71F3359DF4ED}" name="Propability Support point" dataDxfId="730"/>
    <tableColumn id="3" xr3:uid="{8BF5905B-FF7F-4380-B9B9-186D2F22233B}" name="EBS self time" dataDxfId="729"/>
    <tableColumn id="4" xr3:uid="{8D6720A8-BA5A-4248-9E9E-504F166C1FCC}" name="Total time">
      <calculatedColumnFormula>SUM(TimeEntries652662666676[Time delta in h])</calculatedColumnFormula>
    </tableColumn>
    <tableColumn id="5" xr3:uid="{4AD16213-A26F-4B74-BDA7-4B983AE985BF}" name="Total time / Your estimate" dataDxfId="728">
      <calculatedColumnFormula>Tabelle7367653663667677[[#This Row],[EBS self time]]/Tabelle7367653663667677[[#This Row],[Total time]]</calculatedColumnFormula>
    </tableColumn>
  </tableColumns>
  <tableStyleInfo name="TableStyleDark1" showFirstColumn="0" showLastColumn="0" showRowStripes="1" showColumnStripes="0"/>
</table>
</file>

<file path=xl/tables/table2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7" xr:uid="{ED27121B-F718-46E2-A3FB-3A6E477007BD}" name="TimeEntries668678" displayName="TimeEntries668678" ref="A2893:G2894" totalsRowShown="0">
  <autoFilter ref="A2893:G2894" xr:uid="{14535034-EDF8-45FC-B84E-DCDF04C211A3}"/>
  <sortState xmlns:xlrd2="http://schemas.microsoft.com/office/spreadsheetml/2017/richdata2" ref="A2894:E2894">
    <sortCondition ref="A16:A17"/>
  </sortState>
  <tableColumns count="7">
    <tableColumn id="1" xr3:uid="{85D88292-189D-45A8-BBB3-BAE519309381}" name="Time entry no."/>
    <tableColumn id="2" xr3:uid="{E4F6CDB8-07FE-4DB9-AB7B-B972771EB371}" name="Start time" dataDxfId="727"/>
    <tableColumn id="3" xr3:uid="{D623A97B-09B7-491C-8114-18167B864CB9}" name="End time" dataDxfId="726"/>
    <tableColumn id="4" xr3:uid="{102D04DC-9879-4F56-AB09-778E65941496}" name="Time delta in h" dataDxfId="725">
      <calculatedColumnFormula>MAX((TimeEntries668678[[#This Row],[End time]]-TimeEntries668678[[#This Row],[Start time]])*24,0)</calculatedColumnFormula>
    </tableColumn>
    <tableColumn id="5" xr3:uid="{7F5C4191-D30B-43C1-A5B0-D639481EB20F}" name="Now?"/>
    <tableColumn id="6" xr3:uid="{5727EE3D-504A-414A-AF6F-5E9EEECF2EDA}" name="Action1" dataDxfId="724" dataCellStyle="Hyperlink"/>
    <tableColumn id="7" xr3:uid="{71B1D445-BFCE-402D-88B5-CB308AFD3D85}" name="Action2" dataDxfId="723" dataCellStyle="Hyperlink"/>
  </tableColumns>
  <tableStyleInfo name="TableStyleDark1" showFirstColumn="0" showLastColumn="0" showRowStripes="1" showColumnStripes="0"/>
</table>
</file>

<file path=xl/tables/table2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8" xr:uid="{480004D9-0DF9-4DD4-AFBB-85323FDAB5D3}" name="Tabelle7367669679" displayName="Tabelle7367669679" ref="I2893:M2900" totalsRowShown="0">
  <autoFilter ref="I2893:M2900" xr:uid="{BE82031E-D68D-445A-BE4F-F99F1FABC602}"/>
  <tableColumns count="5">
    <tableColumn id="1" xr3:uid="{62B2D9B3-7767-4FF9-A3B0-4C374EAA4B31}" name="Comparison entry no."/>
    <tableColumn id="2" xr3:uid="{AFC94634-E5D3-4E48-987D-9901CBDA94CC}" name="Propability Support point" dataDxfId="722"/>
    <tableColumn id="3" xr3:uid="{A0BB7151-D268-41F6-8F04-2906EC004747}" name="EBS self time" dataDxfId="721"/>
    <tableColumn id="4" xr3:uid="{9A0F3DBD-3E86-4226-A9F1-4CE0DF193555}" name="Total time">
      <calculatedColumnFormula>SUM(TimeEntries668678[Time delta in h])</calculatedColumnFormula>
    </tableColumn>
    <tableColumn id="5" xr3:uid="{E6E11AF6-4B1B-4719-8A3D-F1CF7E15AB7D}" name="Total time / Your estimate" dataDxfId="720">
      <calculatedColumnFormula>Tabelle7367669679[[#This Row],[EBS self time]]/Tabelle7367669679[[#This Row],[Total time]]</calculatedColumnFormula>
    </tableColumn>
  </tableColumns>
  <tableStyleInfo name="TableStyleDark1" showFirstColumn="0" showLastColumn="0" showRowStripes="1" showColumnStripes="0"/>
</table>
</file>

<file path=xl/tables/table2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9" xr:uid="{DACF7C01-A3E2-4D7C-B4DA-55BD86862984}" name="TimeEntries670680" displayName="TimeEntries670680" ref="A2918:G2919" totalsRowShown="0">
  <autoFilter ref="A2918:G2919" xr:uid="{B11F7B82-F84B-40FB-AAB6-ADCF2B9C031F}"/>
  <sortState xmlns:xlrd2="http://schemas.microsoft.com/office/spreadsheetml/2017/richdata2" ref="A2919:E2919">
    <sortCondition ref="A16:A17"/>
  </sortState>
  <tableColumns count="7">
    <tableColumn id="1" xr3:uid="{B66CB2D7-BDFE-4064-BE97-029F50D320D5}" name="Time entry no."/>
    <tableColumn id="2" xr3:uid="{8D9D6083-26F8-4428-93FA-1D47F4657862}" name="Start time" dataDxfId="719"/>
    <tableColumn id="3" xr3:uid="{645978AA-25BE-431C-A3F8-40794377A560}" name="End time" dataDxfId="718"/>
    <tableColumn id="4" xr3:uid="{BF839A86-0675-4A53-88B4-B5C8F3F8990B}" name="Time delta in h" dataDxfId="717">
      <calculatedColumnFormula>MAX((TimeEntries670680[[#This Row],[End time]]-TimeEntries670680[[#This Row],[Start time]])*24,0)</calculatedColumnFormula>
    </tableColumn>
    <tableColumn id="5" xr3:uid="{2D2BBEC3-48CB-4750-BCDF-653207D4C98C}" name="Now?"/>
    <tableColumn id="6" xr3:uid="{2E3D92FF-49D5-45DC-95CD-B1A4A279678C}" name="Action1" dataDxfId="716" dataCellStyle="Hyperlink"/>
    <tableColumn id="7" xr3:uid="{312279DD-5622-4E1E-96ED-CCA698AEAAA8}" name="Action2" dataDxfId="715" dataCellStyle="Hyperlink"/>
  </tableColumns>
  <tableStyleInfo name="TableStyleDark1" showFirstColumn="0" showLastColumn="0" showRowStripes="1" showColumnStripes="0"/>
</table>
</file>

<file path=xl/tables/table2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0" xr:uid="{0E5B94E8-C961-46C2-A5ED-133BABD9EDCF}" name="Tabelle7367671681" displayName="Tabelle7367671681" ref="I2918:M2925" totalsRowShown="0">
  <autoFilter ref="I2918:M2925" xr:uid="{75FBC741-78AF-4017-B7F9-8535AED5DDFA}"/>
  <tableColumns count="5">
    <tableColumn id="1" xr3:uid="{E4AEFC09-EBA0-4351-B581-60A8C91F489F}" name="Comparison entry no."/>
    <tableColumn id="2" xr3:uid="{6219DF80-E41A-4E23-9241-985F320AF634}" name="Propability Support point" dataDxfId="714"/>
    <tableColumn id="3" xr3:uid="{433F77CA-8C17-4895-AAA8-F9BE603DB014}" name="EBS self time" dataDxfId="713"/>
    <tableColumn id="4" xr3:uid="{E393214E-FD22-4392-838D-CF9AF11DEB43}" name="Total time">
      <calculatedColumnFormula>SUM(TimeEntries670680[Time delta in h])</calculatedColumnFormula>
    </tableColumn>
    <tableColumn id="5" xr3:uid="{76887186-3E0B-4A0E-970F-44DAF7E0BEBB}" name="Total time / Your estimate" dataDxfId="712">
      <calculatedColumnFormula>Tabelle7367671681[[#This Row],[EBS self time]]/Tabelle7367671681[[#This Row],[Total time]]</calculatedColumnFormula>
    </tableColumn>
  </tableColumns>
  <tableStyleInfo name="TableStyleDark1" showFirstColumn="0" showLastColumn="0" showRowStripes="1" showColumnStripes="0"/>
</table>
</file>

<file path=xl/tables/table2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1" xr:uid="{3DB14066-9C52-4E04-A3BB-E305B1E7E88E}" name="TimeEntries672682" displayName="TimeEntries672682" ref="A2943:G2944" totalsRowShown="0">
  <autoFilter ref="A2943:G2944" xr:uid="{D69DC7B0-DB2A-47CF-8B40-E395DE1068D8}"/>
  <sortState xmlns:xlrd2="http://schemas.microsoft.com/office/spreadsheetml/2017/richdata2" ref="A2944:E2944">
    <sortCondition ref="A16:A17"/>
  </sortState>
  <tableColumns count="7">
    <tableColumn id="1" xr3:uid="{8F4C58EF-5628-4423-A79C-3E235E3A6E89}" name="Time entry no."/>
    <tableColumn id="2" xr3:uid="{18C7B35D-8AAD-4964-939D-0C2018D61D03}" name="Start time" dataDxfId="711"/>
    <tableColumn id="3" xr3:uid="{27C5D217-8799-4D16-AAE7-9095E71E0967}" name="End time" dataDxfId="710"/>
    <tableColumn id="4" xr3:uid="{15F12B16-809B-414E-B763-B013BCEB9917}" name="Time delta in h" dataDxfId="709">
      <calculatedColumnFormula>MAX((TimeEntries672682[[#This Row],[End time]]-TimeEntries672682[[#This Row],[Start time]])*24,0)</calculatedColumnFormula>
    </tableColumn>
    <tableColumn id="5" xr3:uid="{91DB4467-5A60-4C1F-ABCA-4097BD0EE73C}" name="Now?"/>
    <tableColumn id="6" xr3:uid="{42E3C3AA-7EE3-408F-A3BD-6393CA304D70}" name="Action1" dataDxfId="708" dataCellStyle="Hyperlink"/>
    <tableColumn id="7" xr3:uid="{35088A05-AACA-4674-A141-77862ADF462D}" name="Action2" dataDxfId="707" dataCellStyle="Hyperlink"/>
  </tableColumns>
  <tableStyleInfo name="TableStyleDark1" showFirstColumn="0" showLastColumn="0" showRowStripes="1" showColumnStripes="0"/>
</table>
</file>

<file path=xl/tables/table2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2" xr:uid="{EF84CBB7-FBF8-4446-B450-AC9E5ECFC04C}" name="Tabelle7367673683" displayName="Tabelle7367673683" ref="I2943:M2950" totalsRowShown="0">
  <autoFilter ref="I2943:M2950" xr:uid="{1378E9C2-78E7-417A-A0DE-1FD48C567352}"/>
  <tableColumns count="5">
    <tableColumn id="1" xr3:uid="{4182D724-3E09-4BB9-805A-2C693DDB6FF5}" name="Comparison entry no."/>
    <tableColumn id="2" xr3:uid="{11B3AC02-E4CE-46EC-A1C1-9B34FDA10501}" name="Propability Support point" dataDxfId="706"/>
    <tableColumn id="3" xr3:uid="{90C7CD88-8E95-4AE2-AFB8-97113FAFDF13}" name="EBS self time" dataDxfId="705"/>
    <tableColumn id="4" xr3:uid="{ABE6C209-59FF-402C-80F8-905A0CD9BF50}" name="Total time">
      <calculatedColumnFormula>SUM(TimeEntries672682[Time delta in h])</calculatedColumnFormula>
    </tableColumn>
    <tableColumn id="5" xr3:uid="{17D68BDA-7AA1-456C-BA4E-C08CC9169020}" name="Total time / Your estimate" dataDxfId="704">
      <calculatedColumnFormula>Tabelle7367673683[[#This Row],[EBS self time]]/Tabelle7367673683[[#This Row],[Total time]]</calculatedColumnFormula>
    </tableColumn>
  </tableColumns>
  <tableStyleInfo name="TableStyleDark1" showFirstColumn="0" showLastColumn="0" showRowStripes="1" showColumnStripes="0"/>
</table>
</file>

<file path=xl/tables/table2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7" xr:uid="{4C8A93E4-8CDB-4E08-8FA6-702A3E0C50F9}" name="TimeEntries674684688698" displayName="TimeEntries674684688698" ref="A2968:G2969" totalsRowShown="0">
  <autoFilter ref="A2968:G2969" xr:uid="{CFC38364-0E06-4F6C-A30F-94409847BB0A}"/>
  <sortState xmlns:xlrd2="http://schemas.microsoft.com/office/spreadsheetml/2017/richdata2" ref="A2969:E2969">
    <sortCondition ref="A16:A17"/>
  </sortState>
  <tableColumns count="7">
    <tableColumn id="1" xr3:uid="{AEF10AC1-57B3-47F6-A2F0-FC118263BE19}" name="Time entry no."/>
    <tableColumn id="2" xr3:uid="{808A1E34-3369-4203-837D-8679A49F7275}" name="Start time" dataDxfId="703"/>
    <tableColumn id="3" xr3:uid="{960657B5-7A05-4050-BE8F-B24B691D1A97}" name="End time" dataDxfId="702"/>
    <tableColumn id="4" xr3:uid="{B975066A-DED7-4672-BFFE-3E2E12C91EC8}" name="Time delta in h" dataDxfId="701">
      <calculatedColumnFormula>MAX((TimeEntries674684688698[[#This Row],[End time]]-TimeEntries674684688698[[#This Row],[Start time]])*24,0)</calculatedColumnFormula>
    </tableColumn>
    <tableColumn id="5" xr3:uid="{49D65EF7-9039-4B60-B257-F59EB0095444}" name="Now?"/>
    <tableColumn id="6" xr3:uid="{669025C8-73DB-4022-A75C-2383AF8392BE}" name="Action1" dataDxfId="700" dataCellStyle="Hyperlink"/>
    <tableColumn id="7" xr3:uid="{D606DFEF-C440-41C1-9D47-0765C3A91BFF}" name="Action2" dataDxfId="699" dataCellStyle="Hyperlink"/>
  </tableColumns>
  <tableStyleInfo name="TableStyleDark1" showFirstColumn="0" showLastColumn="0" showRowStripes="1" showColumnStripes="0"/>
</table>
</file>

<file path=xl/tables/table2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8" xr:uid="{D004E032-A006-4990-AA6D-2D209D8885EF}" name="Tabelle7367675685689699" displayName="Tabelle7367675685689699" ref="I2968:M2969" totalsRowShown="0">
  <autoFilter ref="I2968:M2969" xr:uid="{4284ADB9-9ECE-4FFF-88AC-AFA13B1EB018}"/>
  <tableColumns count="5">
    <tableColumn id="1" xr3:uid="{23EF99D3-24A7-427E-BA9A-243482AAE8A6}" name="Comparison entry no."/>
    <tableColumn id="2" xr3:uid="{48A167E8-62D6-4AFE-BF79-1633055AD0CC}" name="Propability Support point" dataDxfId="698"/>
    <tableColumn id="3" xr3:uid="{56FA4FDC-1384-4B31-AB45-B0147F08CA15}" name="EBS self time" dataDxfId="697"/>
    <tableColumn id="4" xr3:uid="{31A8C44F-4554-4F63-97F7-1DD948B5CD76}" name="Total time">
      <calculatedColumnFormula>SUM(TimeEntries674684688698[Time delta in h])</calculatedColumnFormula>
    </tableColumn>
    <tableColumn id="5" xr3:uid="{8C585037-19CA-46A0-87C4-639968E1BD6B}" name="Total time / Your estimate" dataDxfId="696">
      <calculatedColumnFormula>Tabelle7367675685689699[[#This Row],[EBS self time]]/Tabelle7367675685689699[[#This Row],[Total time]]</calculatedColumnFormula>
    </tableColumn>
  </tableColumns>
  <tableStyleInfo name="TableStyleDark1" showFirstColumn="0" showLastColumn="0" showRowStripes="1" showColumnStripes="0"/>
</table>
</file>

<file path=xl/tables/table2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9" xr:uid="{1C60525B-2B6C-4970-AAB5-B031A2246B22}" name="TimeEntries690700" displayName="TimeEntries690700" ref="A2988:G2989" totalsRowShown="0">
  <autoFilter ref="A2988:G2989" xr:uid="{7D13B84E-84F8-426D-9082-19F69A5A245C}"/>
  <sortState xmlns:xlrd2="http://schemas.microsoft.com/office/spreadsheetml/2017/richdata2" ref="A2989:E2989">
    <sortCondition ref="A16:A17"/>
  </sortState>
  <tableColumns count="7">
    <tableColumn id="1" xr3:uid="{EF17B55A-404D-43F1-8748-8BFACC7D47AA}" name="Time entry no."/>
    <tableColumn id="2" xr3:uid="{D10F0D24-D5B1-4105-8D79-E2433B8E6F4D}" name="Start time" dataDxfId="695"/>
    <tableColumn id="3" xr3:uid="{6AAF5F92-7779-49FD-AD55-3C0F9623B9E8}" name="End time" dataDxfId="694"/>
    <tableColumn id="4" xr3:uid="{BEC81B88-AEEA-4BF0-A17D-DA84FB046773}" name="Time delta in h" dataDxfId="693">
      <calculatedColumnFormula>MAX((TimeEntries690700[[#This Row],[End time]]-TimeEntries690700[[#This Row],[Start time]])*24,0)</calculatedColumnFormula>
    </tableColumn>
    <tableColumn id="5" xr3:uid="{BEF259AC-98C5-49C6-A5CA-773AE0FEF1C2}" name="Now?"/>
    <tableColumn id="6" xr3:uid="{0711EBA0-DECB-46E1-907F-33528DAB4B75}" name="Action1" dataDxfId="692" dataCellStyle="Hyperlink"/>
    <tableColumn id="7" xr3:uid="{3F43081C-78B5-4C4D-B1E8-D04DDF13F477}" name="Action2" dataDxfId="691" dataCellStyle="Hyperlink"/>
  </tableColumns>
  <tableStyleInfo name="TableStyleDark1" showFirstColumn="0" showLastColumn="0" showRowStripes="1" showColumnStripes="0"/>
</table>
</file>

<file path=xl/tables/table2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0" xr:uid="{D8551EF8-276E-4F32-A3EC-BACCC6B2EB4C}" name="Tabelle7367691701" displayName="Tabelle7367691701" ref="I2988:M2995" totalsRowShown="0">
  <autoFilter ref="I2988:M2995" xr:uid="{A5DAEBC9-452B-4442-81AD-3A7AA05C82B4}"/>
  <tableColumns count="5">
    <tableColumn id="1" xr3:uid="{07040E52-1383-48EA-91FF-630E98D5CB95}" name="Comparison entry no."/>
    <tableColumn id="2" xr3:uid="{08540DF1-418D-4CB0-889F-4008DDA08BEF}" name="Propability Support point" dataDxfId="690"/>
    <tableColumn id="3" xr3:uid="{18606579-AF07-4B27-BEF2-3AA0CFC62E40}" name="EBS self time" dataDxfId="689"/>
    <tableColumn id="4" xr3:uid="{E4616A07-67BB-4EC1-9B00-C8EC66E44E06}" name="Total time">
      <calculatedColumnFormula>SUM(TimeEntries690700[Time delta in h])</calculatedColumnFormula>
    </tableColumn>
    <tableColumn id="5" xr3:uid="{4AEE0D7B-1744-4FFF-B450-CD8F733F05A9}" name="Total time / Your estimate" dataDxfId="688">
      <calculatedColumnFormula>Tabelle7367691701[[#This Row],[EBS self time]]/Tabelle7367691701[[#This Row],[Total time]]</calculatedColumnFormula>
    </tableColumn>
  </tableColumns>
  <tableStyleInfo name="TableStyleDark1" showFirstColumn="0" showLastColumn="0" showRowStripes="1" showColumnStripes="0"/>
</table>
</file>

<file path=xl/tables/table2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1" xr:uid="{B1645115-F474-411D-B895-8BBCA45C94A7}" name="TimeEntries692702" displayName="TimeEntries692702" ref="A3013:G3014" totalsRowShown="0">
  <autoFilter ref="A3013:G3014" xr:uid="{7A1ACEB6-05BD-4CCE-93F8-F09797A2EC67}"/>
  <sortState xmlns:xlrd2="http://schemas.microsoft.com/office/spreadsheetml/2017/richdata2" ref="A3014:E3014">
    <sortCondition ref="A16:A17"/>
  </sortState>
  <tableColumns count="7">
    <tableColumn id="1" xr3:uid="{1D64CC65-C729-4FBB-A098-728C15C54F03}" name="Time entry no."/>
    <tableColumn id="2" xr3:uid="{1E6F3754-1414-44B2-AB91-5945422E4FE6}" name="Start time" dataDxfId="687"/>
    <tableColumn id="3" xr3:uid="{9F0A2367-A87F-4D76-8E07-85E75F070C41}" name="End time" dataDxfId="686"/>
    <tableColumn id="4" xr3:uid="{A422290D-8179-46F1-BB02-23382EC9686A}" name="Time delta in h" dataDxfId="685">
      <calculatedColumnFormula>MAX((TimeEntries692702[[#This Row],[End time]]-TimeEntries692702[[#This Row],[Start time]])*24,0)</calculatedColumnFormula>
    </tableColumn>
    <tableColumn id="5" xr3:uid="{D07328CA-CC6C-431C-9987-269C15B92212}" name="Now?"/>
    <tableColumn id="6" xr3:uid="{941025C4-6E13-4360-B07D-506C1C6A6E18}" name="Action1" dataDxfId="684" dataCellStyle="Hyperlink"/>
    <tableColumn id="7" xr3:uid="{6A9E78E6-C301-4094-B294-040940CBAB1A}" name="Action2" dataDxfId="683" dataCellStyle="Hyperlink"/>
  </tableColumns>
  <tableStyleInfo name="TableStyleDark1" showFirstColumn="0" showLastColumn="0" showRowStripes="1" showColumnStripes="0"/>
</table>
</file>

<file path=xl/tables/table2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2" xr:uid="{C0AA51D6-B5F5-4676-8B44-DD5EEF9D07C5}" name="Tabelle7367693703" displayName="Tabelle7367693703" ref="I3013:M3020" totalsRowShown="0">
  <autoFilter ref="I3013:M3020" xr:uid="{B0445DAA-BC7A-4BCA-805D-577AE9C7F83D}"/>
  <tableColumns count="5">
    <tableColumn id="1" xr3:uid="{DDBBF535-8348-4CCD-A6C5-285C3C654DDA}" name="Comparison entry no."/>
    <tableColumn id="2" xr3:uid="{38D78638-91DC-4EAB-967C-C068342F4127}" name="Propability Support point" dataDxfId="682"/>
    <tableColumn id="3" xr3:uid="{F56F54C9-8DAB-452F-8DFF-96B164C8514F}" name="EBS self time" dataDxfId="681"/>
    <tableColumn id="4" xr3:uid="{4B1C58C3-CDB0-4B21-8FF9-B8D11427E376}" name="Total time">
      <calculatedColumnFormula>SUM(TimeEntries692702[Time delta in h])</calculatedColumnFormula>
    </tableColumn>
    <tableColumn id="5" xr3:uid="{6C0BFA42-4A2F-48EF-899C-561FB80447BF}" name="Total time / Your estimate" dataDxfId="680">
      <calculatedColumnFormula>Tabelle7367693703[[#This Row],[EBS self time]]/Tabelle7367693703[[#This Row],[Total time]]</calculatedColumnFormula>
    </tableColumn>
  </tableColumns>
  <tableStyleInfo name="TableStyleDark1" showFirstColumn="0" showLastColumn="0" showRowStripes="1" showColumnStripes="0"/>
</table>
</file>

<file path=xl/tables/table2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3" xr:uid="{8366600F-A821-4239-BCA7-6952F7D63EB6}" name="TimeEntries694704" displayName="TimeEntries694704" ref="A3038:G3039" totalsRowShown="0">
  <autoFilter ref="A3038:G3039" xr:uid="{DDB05E10-5F59-4345-A8CC-BA8095FDD2C5}"/>
  <sortState xmlns:xlrd2="http://schemas.microsoft.com/office/spreadsheetml/2017/richdata2" ref="A3039:E3039">
    <sortCondition ref="A16:A17"/>
  </sortState>
  <tableColumns count="7">
    <tableColumn id="1" xr3:uid="{09AA8A62-EBC5-477F-AD60-9BA8FFCE4EA6}" name="Time entry no."/>
    <tableColumn id="2" xr3:uid="{9CD2A6C7-6066-4C38-ADE8-B2803D33E097}" name="Start time" dataDxfId="679"/>
    <tableColumn id="3" xr3:uid="{2E29614B-6CDC-4C14-B452-81DF3664E4BC}" name="End time" dataDxfId="678"/>
    <tableColumn id="4" xr3:uid="{52596661-1482-4E5A-8196-41E90F178CF5}" name="Time delta in h" dataDxfId="677">
      <calculatedColumnFormula>MAX((TimeEntries694704[[#This Row],[End time]]-TimeEntries694704[[#This Row],[Start time]])*24,0)</calculatedColumnFormula>
    </tableColumn>
    <tableColumn id="5" xr3:uid="{E70B87FA-906B-4504-BB8B-1B53F81E44DC}" name="Now?"/>
    <tableColumn id="6" xr3:uid="{93123DC6-D388-44DF-90D5-BC068D2F8056}" name="Action1" dataDxfId="676" dataCellStyle="Hyperlink"/>
    <tableColumn id="7" xr3:uid="{7DB2E898-D3E1-49D7-9AAD-5F966E708EB0}" name="Action2" dataDxfId="675" dataCellStyle="Hyperlink"/>
  </tableColumns>
  <tableStyleInfo name="TableStyleDark1" showFirstColumn="0" showLastColumn="0" showRowStripes="1" showColumnStripes="0"/>
</table>
</file>

<file path=xl/tables/table2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4" xr:uid="{40B1996C-BE17-490A-A085-F623F39C1850}" name="Tabelle7367695705" displayName="Tabelle7367695705" ref="I3038:M3045" totalsRowShown="0">
  <autoFilter ref="I3038:M3045" xr:uid="{85196737-9364-45B7-ADD7-45D6C0B39456}"/>
  <tableColumns count="5">
    <tableColumn id="1" xr3:uid="{C047B22A-0655-45C5-8374-2D8D8BE1D950}" name="Comparison entry no."/>
    <tableColumn id="2" xr3:uid="{9F5A428D-93A2-4700-B1D6-8EFC9F2F6EAA}" name="Propability Support point" dataDxfId="674"/>
    <tableColumn id="3" xr3:uid="{0FF1643F-C095-4D7F-91C5-45AB6D5953DF}" name="EBS self time" dataDxfId="673"/>
    <tableColumn id="4" xr3:uid="{64D65926-7C43-4FB9-9B81-F1293FA69DEB}" name="Total time">
      <calculatedColumnFormula>SUM(TimeEntries694704[Time delta in h])</calculatedColumnFormula>
    </tableColumn>
    <tableColumn id="5" xr3:uid="{6B378347-9981-4D91-83CB-49B2720ACDC1}" name="Total time / Your estimate" dataDxfId="672">
      <calculatedColumnFormula>Tabelle7367695705[[#This Row],[EBS self time]]/Tabelle7367695705[[#This Row],[Total time]]</calculatedColumnFormula>
    </tableColumn>
  </tableColumns>
  <tableStyleInfo name="TableStyleDark1" showFirstColumn="0" showLastColumn="0" showRowStripes="1" showColumnStripes="0"/>
</table>
</file>

<file path=xl/tables/table2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9" xr:uid="{696398F5-3992-4812-9C7E-BBD7E4F0750D}" name="TimeEntries696706710720" displayName="TimeEntries696706710720" ref="A3063:G3064" totalsRowShown="0">
  <autoFilter ref="A3063:G3064" xr:uid="{779A513E-8BDE-48D5-B049-E7A4F0BCF4C4}"/>
  <sortState xmlns:xlrd2="http://schemas.microsoft.com/office/spreadsheetml/2017/richdata2" ref="A3064:E3064">
    <sortCondition ref="A16:A17"/>
  </sortState>
  <tableColumns count="7">
    <tableColumn id="1" xr3:uid="{54D3F4FF-B1EA-4F28-B684-3706DB90640D}" name="Time entry no."/>
    <tableColumn id="2" xr3:uid="{EA3681AE-3A3D-4A38-861C-BD6AC10C6498}" name="Start time" dataDxfId="671"/>
    <tableColumn id="3" xr3:uid="{64063ABB-744A-4434-8BB8-6D042D46F23E}" name="End time" dataDxfId="670"/>
    <tableColumn id="4" xr3:uid="{A8F589AF-1E2A-4C9B-AF22-F4CCD1D04C3B}" name="Time delta in h" dataDxfId="669">
      <calculatedColumnFormula>MAX((TimeEntries696706710720[[#This Row],[End time]]-TimeEntries696706710720[[#This Row],[Start time]])*24,0)</calculatedColumnFormula>
    </tableColumn>
    <tableColumn id="5" xr3:uid="{315C101C-18D2-4F6D-8FB1-01C2C6AD62EB}" name="Now?"/>
    <tableColumn id="6" xr3:uid="{E5AC2D40-242A-45C9-87E7-1BF5F9560AC0}" name="Action1" dataDxfId="668" dataCellStyle="Hyperlink"/>
    <tableColumn id="7" xr3:uid="{8670688E-81DC-45E8-BA30-BAF754E34729}" name="Action2" dataDxfId="667" dataCellStyle="Hyperlink"/>
  </tableColumns>
  <tableStyleInfo name="TableStyleDark1" showFirstColumn="0" showLastColumn="0" showRowStripes="1" showColumnStripes="0"/>
</table>
</file>

<file path=xl/tables/table2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0" xr:uid="{39882C38-EC7E-4AC7-BF9C-6EE906607FF5}" name="Tabelle7367697707711721" displayName="Tabelle7367697707711721" ref="I3063:M3064" totalsRowShown="0">
  <autoFilter ref="I3063:M3064" xr:uid="{4C2515BC-76DB-4D6A-9EAC-E7D5D130C87A}"/>
  <tableColumns count="5">
    <tableColumn id="1" xr3:uid="{DFBFB508-7E61-477B-B0AD-B2137E9A1B31}" name="Comparison entry no."/>
    <tableColumn id="2" xr3:uid="{04975A10-424B-485B-B072-7149BD2051B3}" name="Propability Support point" dataDxfId="666"/>
    <tableColumn id="3" xr3:uid="{D22552E9-4145-429F-B785-0BC9B169BBEE}" name="EBS self time" dataDxfId="665"/>
    <tableColumn id="4" xr3:uid="{963774C1-1D18-4509-98F9-068F8F700BFE}" name="Total time">
      <calculatedColumnFormula>SUM(TimeEntries696706710720[Time delta in h])</calculatedColumnFormula>
    </tableColumn>
    <tableColumn id="5" xr3:uid="{6144C8E9-9A84-4101-B4BF-A44672FCBC74}" name="Total time / Your estimate" dataDxfId="664">
      <calculatedColumnFormula>Tabelle7367697707711721[[#This Row],[EBS self time]]/Tabelle7367697707711721[[#This Row],[Total time]]</calculatedColumnFormula>
    </tableColumn>
  </tableColumns>
  <tableStyleInfo name="TableStyleDark1" showFirstColumn="0" showLastColumn="0" showRowStripes="1" showColumnStripes="0"/>
</table>
</file>

<file path=xl/tables/table2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1" xr:uid="{AD8B92D8-7247-4EED-A3ED-5BA092805A01}" name="TimeEntries712722" displayName="TimeEntries712722" ref="A3083:G3084" totalsRowShown="0">
  <autoFilter ref="A3083:G3084" xr:uid="{073F3D86-B544-451C-B4F7-7F4D3949B854}"/>
  <sortState xmlns:xlrd2="http://schemas.microsoft.com/office/spreadsheetml/2017/richdata2" ref="A3084:E3084">
    <sortCondition ref="A16:A17"/>
  </sortState>
  <tableColumns count="7">
    <tableColumn id="1" xr3:uid="{565BE1C1-DA78-4629-B1A7-96B66BC22915}" name="Time entry no."/>
    <tableColumn id="2" xr3:uid="{6D208B2B-A1F1-4CB3-9F47-DFE6984FC4A3}" name="Start time" dataDxfId="663"/>
    <tableColumn id="3" xr3:uid="{ECB97A8C-605A-493E-9FF4-D6AEF2A396BB}" name="End time" dataDxfId="662"/>
    <tableColumn id="4" xr3:uid="{0584EB71-7D57-4C34-B2D8-A6608EB28129}" name="Time delta in h" dataDxfId="661">
      <calculatedColumnFormula>MAX((TimeEntries712722[[#This Row],[End time]]-TimeEntries712722[[#This Row],[Start time]])*24,0)</calculatedColumnFormula>
    </tableColumn>
    <tableColumn id="5" xr3:uid="{B7E6400C-074A-4EA6-94AF-48D74837EAD7}" name="Now?"/>
    <tableColumn id="6" xr3:uid="{DE53157C-D883-4F5D-92C2-564EEA5621D3}" name="Action1" dataDxfId="660" dataCellStyle="Hyperlink"/>
    <tableColumn id="7" xr3:uid="{A6BFB3FE-33E7-4BED-8A18-8925C186174C}" name="Action2" dataDxfId="659" dataCellStyle="Hyperlink"/>
  </tableColumns>
  <tableStyleInfo name="TableStyleDark1" showFirstColumn="0" showLastColumn="0" showRowStripes="1" showColumnStripes="0"/>
</table>
</file>

<file path=xl/tables/table2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2" xr:uid="{A226A712-11B4-467C-8BC1-AB4CFA93D9DF}" name="Tabelle7367713723" displayName="Tabelle7367713723" ref="I3083:M3084" totalsRowShown="0">
  <autoFilter ref="I3083:M3084" xr:uid="{AA5E904B-F642-4767-AA4D-7E1A74DFC8AA}"/>
  <tableColumns count="5">
    <tableColumn id="1" xr3:uid="{2FC1281F-1690-4864-8098-B170451A91D8}" name="Comparison entry no."/>
    <tableColumn id="2" xr3:uid="{9C6AA776-B934-441B-A8A0-EFEB48A78BB7}" name="Propability Support point" dataDxfId="658"/>
    <tableColumn id="3" xr3:uid="{69D30577-68D6-4473-885B-69AB42668CED}" name="EBS self time" dataDxfId="657"/>
    <tableColumn id="4" xr3:uid="{C589EF9E-D79D-4EC4-B1EA-26F195790FDE}" name="Total time">
      <calculatedColumnFormula>SUM(TimeEntries712722[Time delta in h])</calculatedColumnFormula>
    </tableColumn>
    <tableColumn id="5" xr3:uid="{F3C0622F-1D86-4D04-AB53-BB9C1FE6D3A5}" name="Total time / Your estimate" dataDxfId="656">
      <calculatedColumnFormula>Tabelle7367713723[[#This Row],[EBS self time]]/Tabelle7367713723[[#This Row],[Total time]]</calculatedColumnFormula>
    </tableColumn>
  </tableColumns>
  <tableStyleInfo name="TableStyleDark1" showFirstColumn="0" showLastColumn="0" showRowStripes="1" showColumnStripes="0"/>
</table>
</file>

<file path=xl/tables/table2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3" xr:uid="{1ABDD2F2-2192-4635-9115-3E6B2DF79184}" name="TimeEntries714724" displayName="TimeEntries714724" ref="A3103:G3104" totalsRowShown="0">
  <autoFilter ref="A3103:G3104" xr:uid="{2E673390-7885-4CE6-B74C-ED1679B65151}"/>
  <sortState xmlns:xlrd2="http://schemas.microsoft.com/office/spreadsheetml/2017/richdata2" ref="A3104:E3104">
    <sortCondition ref="A16:A17"/>
  </sortState>
  <tableColumns count="7">
    <tableColumn id="1" xr3:uid="{3AC508E7-5434-4B5D-9D9D-A0C33EDECE59}" name="Time entry no."/>
    <tableColumn id="2" xr3:uid="{82EE7C05-C638-433A-A09B-F86D10500D95}" name="Start time" dataDxfId="655"/>
    <tableColumn id="3" xr3:uid="{E6019797-11A1-47AD-8F45-B6FF8B47922F}" name="End time" dataDxfId="654"/>
    <tableColumn id="4" xr3:uid="{A0E14006-A71C-4B6B-A1B5-FCFE89556B73}" name="Time delta in h" dataDxfId="653">
      <calculatedColumnFormula>MAX((TimeEntries714724[[#This Row],[End time]]-TimeEntries714724[[#This Row],[Start time]])*24,0)</calculatedColumnFormula>
    </tableColumn>
    <tableColumn id="5" xr3:uid="{14E73411-C0F5-4ECE-878A-6C6D55E7DE3D}" name="Now?"/>
    <tableColumn id="6" xr3:uid="{70319D33-8554-4F54-BB58-0B21600AB10B}" name="Action1" dataDxfId="652" dataCellStyle="Hyperlink"/>
    <tableColumn id="7" xr3:uid="{FC32AD21-A22C-46F7-9FEC-7F658ECF35C7}" name="Action2" dataDxfId="651" dataCellStyle="Hyperlink"/>
  </tableColumns>
  <tableStyleInfo name="TableStyleDark1" showFirstColumn="0" showLastColumn="0" showRowStripes="1" showColumnStripes="0"/>
</table>
</file>

<file path=xl/tables/table2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4" xr:uid="{C9803D4D-83A3-41CA-BE96-D635A3221561}" name="Tabelle7367715725" displayName="Tabelle7367715725" ref="I3103:M3110" totalsRowShown="0">
  <autoFilter ref="I3103:M3110" xr:uid="{AC4F4912-2A50-478A-BEAB-84B9D857218D}"/>
  <tableColumns count="5">
    <tableColumn id="1" xr3:uid="{F65A082A-828C-4EA2-BBCB-E1004789AD10}" name="Comparison entry no."/>
    <tableColumn id="2" xr3:uid="{D22D0625-27C3-4419-90BE-A67E53544228}" name="Propability Support point" dataDxfId="650"/>
    <tableColumn id="3" xr3:uid="{13DF79E7-50AD-4F15-AB25-59A476462198}" name="EBS self time" dataDxfId="649"/>
    <tableColumn id="4" xr3:uid="{E25F3198-8F93-4C3A-A1F9-FD9D76DAB516}" name="Total time">
      <calculatedColumnFormula>SUM(TimeEntries714724[Time delta in h])</calculatedColumnFormula>
    </tableColumn>
    <tableColumn id="5" xr3:uid="{25B29BA9-666F-44C2-AE09-9F77D54C1C73}" name="Total time / Your estimate" dataDxfId="648">
      <calculatedColumnFormula>Tabelle7367715725[[#This Row],[EBS self time]]/Tabelle7367715725[[#This Row],[Total time]]</calculatedColumnFormula>
    </tableColumn>
  </tableColumns>
  <tableStyleInfo name="TableStyleDark1" showFirstColumn="0" showLastColumn="0" showRowStripes="1" showColumnStripes="0"/>
</table>
</file>

<file path=xl/tables/table2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5" xr:uid="{A6CA6DF7-E6D8-4E3D-8510-FABBB84EF25A}" name="TimeEntries716726" displayName="TimeEntries716726" ref="A3128:G3129" totalsRowShown="0">
  <autoFilter ref="A3128:G3129" xr:uid="{4F69459F-A83A-4B86-96B2-3C55BF5C1C85}"/>
  <sortState xmlns:xlrd2="http://schemas.microsoft.com/office/spreadsheetml/2017/richdata2" ref="A3129:E3129">
    <sortCondition ref="A16:A17"/>
  </sortState>
  <tableColumns count="7">
    <tableColumn id="1" xr3:uid="{BF91BBF4-7865-4CEE-A6DC-5DBD1722F0E7}" name="Time entry no."/>
    <tableColumn id="2" xr3:uid="{A05D421A-ABAE-48BE-8B10-586E27249EBF}" name="Start time" dataDxfId="647"/>
    <tableColumn id="3" xr3:uid="{72D92998-32C1-40CC-A880-5FF8ABC6B8C2}" name="End time" dataDxfId="646"/>
    <tableColumn id="4" xr3:uid="{D06E6D1A-3F6C-4BD0-B720-CA8158892C90}" name="Time delta in h" dataDxfId="645">
      <calculatedColumnFormula>MAX((TimeEntries716726[[#This Row],[End time]]-TimeEntries716726[[#This Row],[Start time]])*24,0)</calculatedColumnFormula>
    </tableColumn>
    <tableColumn id="5" xr3:uid="{D589C000-FB31-4A78-B234-BFC5729FD294}" name="Now?"/>
    <tableColumn id="6" xr3:uid="{73ED9119-5866-4A8E-AE60-25DB260328ED}" name="Action1" dataDxfId="644" dataCellStyle="Hyperlink"/>
    <tableColumn id="7" xr3:uid="{27C90DDA-CCA8-46E5-8374-05DDA93D3ED1}" name="Action2" dataDxfId="643" dataCellStyle="Hyperlink"/>
  </tableColumns>
  <tableStyleInfo name="TableStyleDark1" showFirstColumn="0" showLastColumn="0" showRowStripes="1" showColumnStripes="0"/>
</table>
</file>

<file path=xl/tables/table2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6" xr:uid="{AD04D6C3-BC53-4309-A3FC-7501B25AD704}" name="Tabelle7367717727" displayName="Tabelle7367717727" ref="I3128:M3135" totalsRowShown="0">
  <autoFilter ref="I3128:M3135" xr:uid="{DB5D33E0-AC32-41BA-A0C5-73E2DCFCE710}"/>
  <tableColumns count="5">
    <tableColumn id="1" xr3:uid="{68FEBBF6-F0CE-4B73-83FB-DB0189C27077}" name="Comparison entry no."/>
    <tableColumn id="2" xr3:uid="{8D462EC8-051E-45E2-AAC1-AE637D27D4D1}" name="Propability Support point" dataDxfId="642"/>
    <tableColumn id="3" xr3:uid="{0CDB3E5B-80C0-4439-BC97-72AE3727A186}" name="EBS self time" dataDxfId="641"/>
    <tableColumn id="4" xr3:uid="{60789A94-25B6-4E33-BCBD-4A6CE759D185}" name="Total time">
      <calculatedColumnFormula>SUM(TimeEntries716726[Time delta in h])</calculatedColumnFormula>
    </tableColumn>
    <tableColumn id="5" xr3:uid="{DF6BBA3E-A334-4AFE-B487-CE5C9FB3F6FB}" name="Total time / Your estimate" dataDxfId="640">
      <calculatedColumnFormula>Tabelle7367717727[[#This Row],[EBS self time]]/Tabelle7367717727[[#This Row],[Total time]]</calculatedColumnFormula>
    </tableColumn>
  </tableColumns>
  <tableStyleInfo name="TableStyleDark1" showFirstColumn="0" showLastColumn="0" showRowStripes="1" showColumnStripes="0"/>
</table>
</file>

<file path=xl/tables/table2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1" xr:uid="{EE4A8255-4BCA-4CE4-87BA-BB8B2B9B717D}" name="TimeEntries718728732742" displayName="TimeEntries718728732742" ref="A3153:G3154" totalsRowShown="0">
  <autoFilter ref="A3153:G3154" xr:uid="{C0925DA4-6FD8-4E19-B42A-9DDEF47D2DB3}"/>
  <sortState xmlns:xlrd2="http://schemas.microsoft.com/office/spreadsheetml/2017/richdata2" ref="A3154:E3154">
    <sortCondition ref="A16:A17"/>
  </sortState>
  <tableColumns count="7">
    <tableColumn id="1" xr3:uid="{13BB6A83-47CA-4B20-9080-13C79ECDBBA7}" name="Time entry no."/>
    <tableColumn id="2" xr3:uid="{25E26454-24C2-499A-BF41-9AE9221C2C36}" name="Start time" dataDxfId="639"/>
    <tableColumn id="3" xr3:uid="{B3A71AEE-EC62-4B6B-9F4C-DD7C604B0B24}" name="End time" dataDxfId="638"/>
    <tableColumn id="4" xr3:uid="{30563892-1642-4364-A393-4F3BF47CF68E}" name="Time delta in h" dataDxfId="637">
      <calculatedColumnFormula>MAX((TimeEntries718728732742[[#This Row],[End time]]-TimeEntries718728732742[[#This Row],[Start time]])*24,0)</calculatedColumnFormula>
    </tableColumn>
    <tableColumn id="5" xr3:uid="{15C676DA-09BF-43AD-B019-B139C522C9BB}" name="Now?"/>
    <tableColumn id="6" xr3:uid="{8F515B57-E03E-43E5-A47C-AEE037D65A5A}" name="Action1" dataDxfId="636" dataCellStyle="Hyperlink"/>
    <tableColumn id="7" xr3:uid="{0729C2F1-1132-4608-AE70-38A695E4C437}" name="Action2" dataDxfId="635" dataCellStyle="Hyperlink"/>
  </tableColumns>
  <tableStyleInfo name="TableStyleDark1" showFirstColumn="0" showLastColumn="0" showRowStripes="1" showColumnStripes="0"/>
</table>
</file>

<file path=xl/tables/table2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2" xr:uid="{6EE6AF12-9474-45BB-9A2A-E263E395A53E}" name="Tabelle7367719729733743" displayName="Tabelle7367719729733743" ref="I3153:M3160" totalsRowShown="0">
  <autoFilter ref="I3153:M3160" xr:uid="{4C8BD22D-C23E-4CB1-9AD5-9532D173D025}"/>
  <tableColumns count="5">
    <tableColumn id="1" xr3:uid="{85B03C95-8CE3-45A1-9D95-0BFF05053891}" name="Comparison entry no."/>
    <tableColumn id="2" xr3:uid="{8620DF19-C7D5-449B-BA1E-6BDC0D8EBF73}" name="Propability Support point" dataDxfId="634"/>
    <tableColumn id="3" xr3:uid="{5CEF65BA-077B-4EF0-AB60-51FDDC4FD647}" name="EBS self time" dataDxfId="633"/>
    <tableColumn id="4" xr3:uid="{F503CDBB-F705-4ACE-A52E-1DE71FAB99AE}" name="Total time">
      <calculatedColumnFormula>SUM(TimeEntries718728732742[Time delta in h])</calculatedColumnFormula>
    </tableColumn>
    <tableColumn id="5" xr3:uid="{F3621470-3899-4C50-980A-CD6E86F6894A}" name="Total time / Your estimate" dataDxfId="632">
      <calculatedColumnFormula>Tabelle7367719729733743[[#This Row],[EBS self time]]/Tabelle7367719729733743[[#This Row],[Total time]]</calculatedColumnFormula>
    </tableColumn>
  </tableColumns>
  <tableStyleInfo name="TableStyleDark1" showFirstColumn="0" showLastColumn="0" showRowStripes="1" showColumnStripes="0"/>
</table>
</file>

<file path=xl/tables/table2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3" xr:uid="{AD575F38-6957-48E2-8B5F-73F30D787347}" name="TimeEntries734744" displayName="TimeEntries734744" ref="A3178:G3179" totalsRowShown="0">
  <autoFilter ref="A3178:G3179" xr:uid="{BF56ADD1-99E6-4D01-AA47-5F9989FEDEE6}"/>
  <sortState xmlns:xlrd2="http://schemas.microsoft.com/office/spreadsheetml/2017/richdata2" ref="A3179:E3179">
    <sortCondition ref="A16:A17"/>
  </sortState>
  <tableColumns count="7">
    <tableColumn id="1" xr3:uid="{A8AAB5DC-23AF-4E23-AD00-00D119E1E95C}" name="Time entry no."/>
    <tableColumn id="2" xr3:uid="{274939E4-6F42-4806-8FF1-A07BAF4FCA56}" name="Start time" dataDxfId="631"/>
    <tableColumn id="3" xr3:uid="{E3B11E26-8B89-4573-B5EF-A2D4D654DCDF}" name="End time" dataDxfId="630"/>
    <tableColumn id="4" xr3:uid="{A2C62289-276C-4BAD-BD8E-1D32A1244DF4}" name="Time delta in h" dataDxfId="629">
      <calculatedColumnFormula>MAX((TimeEntries734744[[#This Row],[End time]]-TimeEntries734744[[#This Row],[Start time]])*24,0)</calculatedColumnFormula>
    </tableColumn>
    <tableColumn id="5" xr3:uid="{3D3866CD-9362-4F17-AC9A-E445C07DE0D6}" name="Now?"/>
    <tableColumn id="6" xr3:uid="{348E0D04-6FEF-4A66-AF91-CC116958DCA2}" name="Action1" dataDxfId="628" dataCellStyle="Hyperlink"/>
    <tableColumn id="7" xr3:uid="{5CDA6EB4-6F46-48FE-929D-E6D6A6ACF6E1}" name="Action2" dataDxfId="627" dataCellStyle="Hyperlink"/>
  </tableColumns>
  <tableStyleInfo name="TableStyleDark1" showFirstColumn="0" showLastColumn="0" showRowStripes="1" showColumnStripes="0"/>
</table>
</file>

<file path=xl/tables/table2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4" xr:uid="{869ECDBA-9163-4F92-8F00-1CAEC60E0676}" name="Tabelle7367735745" displayName="Tabelle7367735745" ref="I3178:M3185" totalsRowShown="0">
  <autoFilter ref="I3178:M3185" xr:uid="{5AAE09D5-8851-4458-8BDD-1578B96A9C50}"/>
  <tableColumns count="5">
    <tableColumn id="1" xr3:uid="{B39B5859-2FC8-4E29-A934-DB6EF2A24A22}" name="Comparison entry no."/>
    <tableColumn id="2" xr3:uid="{EC3219B3-C583-4428-A4E2-2AA50C4F82BF}" name="Propability Support point" dataDxfId="626"/>
    <tableColumn id="3" xr3:uid="{9E403945-C1B1-48BC-B48D-83E821E9EA34}" name="EBS self time" dataDxfId="625"/>
    <tableColumn id="4" xr3:uid="{6B481269-31D0-4983-8188-3B0132248185}" name="Total time">
      <calculatedColumnFormula>SUM(TimeEntries734744[Time delta in h])</calculatedColumnFormula>
    </tableColumn>
    <tableColumn id="5" xr3:uid="{E22BF913-EBE5-4374-91E4-27E685AFBF4B}" name="Total time / Your estimate" dataDxfId="624">
      <calculatedColumnFormula>Tabelle7367735745[[#This Row],[EBS self time]]/Tabelle7367735745[[#This Row],[Total time]]</calculatedColumnFormula>
    </tableColumn>
  </tableColumns>
  <tableStyleInfo name="TableStyleDark1" showFirstColumn="0" showLastColumn="0" showRowStripes="1" showColumnStripes="0"/>
</table>
</file>

<file path=xl/tables/table2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5" xr:uid="{E7241B5A-8E43-41C9-BD68-155E2F2871AA}" name="TimeEntries736746" displayName="TimeEntries736746" ref="A3203:G3204" totalsRowShown="0">
  <autoFilter ref="A3203:G3204" xr:uid="{672450E4-BE8C-4C9D-8E3B-9B393CACFB0E}"/>
  <sortState xmlns:xlrd2="http://schemas.microsoft.com/office/spreadsheetml/2017/richdata2" ref="A3204:E3204">
    <sortCondition ref="A16:A17"/>
  </sortState>
  <tableColumns count="7">
    <tableColumn id="1" xr3:uid="{FB5028FB-58B8-4E15-BAB6-D8EE50FF2E1D}" name="Time entry no."/>
    <tableColumn id="2" xr3:uid="{099989A6-6B6B-4E1B-B7E6-16788A2A3A8D}" name="Start time" dataDxfId="623"/>
    <tableColumn id="3" xr3:uid="{FE2774C8-B87B-4B35-99D6-CC9A8AD57EBE}" name="End time" dataDxfId="622"/>
    <tableColumn id="4" xr3:uid="{C54F4BB2-FE4B-475F-A0B7-E746130810D6}" name="Time delta in h" dataDxfId="621">
      <calculatedColumnFormula>MAX((TimeEntries736746[[#This Row],[End time]]-TimeEntries736746[[#This Row],[Start time]])*24,0)</calculatedColumnFormula>
    </tableColumn>
    <tableColumn id="5" xr3:uid="{B258626E-E358-4610-AAF4-48C63CA92442}" name="Now?"/>
    <tableColumn id="6" xr3:uid="{1179AEBC-ADD0-4FAE-B973-60DFE1846A41}" name="Action1" dataDxfId="620" dataCellStyle="Hyperlink"/>
    <tableColumn id="7" xr3:uid="{4126EF7E-C3DB-46AA-975D-46F2B75EDCA6}" name="Action2" dataDxfId="619" dataCellStyle="Hyperlink"/>
  </tableColumns>
  <tableStyleInfo name="TableStyleDark1" showFirstColumn="0" showLastColumn="0" showRowStripes="1" showColumnStripes="0"/>
</table>
</file>

<file path=xl/tables/table2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6" xr:uid="{4D574C99-9889-4DF5-BB7A-C2BF626DB304}" name="Tabelle7367738747" displayName="Tabelle7367738747" ref="I3203:M3204" totalsRowShown="0">
  <autoFilter ref="I3203:M3204" xr:uid="{864F74FD-D4E3-49EE-BC17-C9177CDA506E}"/>
  <tableColumns count="5">
    <tableColumn id="1" xr3:uid="{E5250D09-9DBB-40AA-B749-5B63EC5FE11B}" name="Comparison entry no."/>
    <tableColumn id="2" xr3:uid="{50FE2C98-00FD-4B9E-A797-BC808FD43B15}" name="Propability Support point" dataDxfId="618"/>
    <tableColumn id="3" xr3:uid="{FD4A40A7-1D0B-4AC6-ACB9-D3DC50D75BEE}" name="EBS self time" dataDxfId="617"/>
    <tableColumn id="4" xr3:uid="{5C668C96-622A-4209-9CB5-61AD1146FCFA}" name="Total time">
      <calculatedColumnFormula>SUM(TimeEntries736746[Time delta in h])</calculatedColumnFormula>
    </tableColumn>
    <tableColumn id="5" xr3:uid="{11774A5D-8343-4413-9689-B35A7A36CC36}" name="Total time / Your estimate" dataDxfId="616">
      <calculatedColumnFormula>Tabelle7367738747[[#This Row],[EBS self time]]/Tabelle7367738747[[#This Row],[Total time]]</calculatedColumnFormula>
    </tableColumn>
  </tableColumns>
  <tableStyleInfo name="TableStyleDark1" showFirstColumn="0" showLastColumn="0" showRowStripes="1" showColumnStripes="0"/>
</table>
</file>

<file path=xl/tables/table2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7" xr:uid="{FF4FCD76-9967-4ECD-94AA-D4061701C156}" name="TimeEntries738748" displayName="TimeEntries738748" ref="A3223:G3224" totalsRowShown="0">
  <autoFilter ref="A3223:G3224" xr:uid="{ADF87215-0824-431F-A42B-19D27F508CC9}"/>
  <sortState xmlns:xlrd2="http://schemas.microsoft.com/office/spreadsheetml/2017/richdata2" ref="A3224:E3224">
    <sortCondition ref="A16:A17"/>
  </sortState>
  <tableColumns count="7">
    <tableColumn id="1" xr3:uid="{04AA6F50-C435-4260-8CE7-6FF6910BC178}" name="Time entry no."/>
    <tableColumn id="2" xr3:uid="{70808227-585D-4EDE-BCED-553BA0651E26}" name="Start time" dataDxfId="615"/>
    <tableColumn id="3" xr3:uid="{1FE0906D-A5C9-4914-AFF3-1BF1072A40AE}" name="End time" dataDxfId="614"/>
    <tableColumn id="4" xr3:uid="{BF5C835F-E7C7-4A96-9CD0-1414C1B18D3B}" name="Time delta in h" dataDxfId="613">
      <calculatedColumnFormula>MAX((TimeEntries738748[[#This Row],[End time]]-TimeEntries738748[[#This Row],[Start time]])*24,0)</calculatedColumnFormula>
    </tableColumn>
    <tableColumn id="5" xr3:uid="{B12E48ED-457B-4AC2-825E-130856735D0E}" name="Now?"/>
    <tableColumn id="6" xr3:uid="{8666A52C-1C2E-4A30-8C40-DB1E5062FC24}" name="Action1" dataDxfId="612" dataCellStyle="Hyperlink"/>
    <tableColumn id="7" xr3:uid="{D6BFE37E-A32C-4AB9-B909-6BAC35B195D5}" name="Action2" dataDxfId="611" dataCellStyle="Hyperlink"/>
  </tableColumns>
  <tableStyleInfo name="TableStyleDark1" showFirstColumn="0" showLastColumn="0" showRowStripes="1" showColumnStripes="0"/>
</table>
</file>

<file path=xl/tables/table2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8" xr:uid="{FA438CF3-3ADE-499E-841F-AEEFAC91CEE8}" name="Tabelle7367739749" displayName="Tabelle7367739749" ref="I3223:M3224" totalsRowShown="0">
  <autoFilter ref="I3223:M3224" xr:uid="{5855BA1F-B7B8-4AAD-8FC6-9900906F8525}"/>
  <tableColumns count="5">
    <tableColumn id="1" xr3:uid="{B1C26564-A031-4CE5-B01C-3CB62523EEDC}" name="Comparison entry no."/>
    <tableColumn id="2" xr3:uid="{3D81D663-6A2A-4CEB-B9A5-A1C3E27B7735}" name="Propability Support point" dataDxfId="610"/>
    <tableColumn id="3" xr3:uid="{368696D7-61F5-462F-9377-3107DDAE50EF}" name="EBS self time" dataDxfId="609"/>
    <tableColumn id="4" xr3:uid="{6EB3AE84-4AF6-4B5A-87FA-5819B51E6A34}" name="Total time">
      <calculatedColumnFormula>SUM(TimeEntries738748[Time delta in h])</calculatedColumnFormula>
    </tableColumn>
    <tableColumn id="5" xr3:uid="{A24334BA-E18A-49AD-AF90-5185D7F40999}" name="Total time / Your estimate" dataDxfId="608">
      <calculatedColumnFormula>Tabelle7367739749[[#This Row],[EBS self time]]/Tabelle7367739749[[#This Row],[Total time]]</calculatedColumnFormula>
    </tableColumn>
  </tableColumns>
  <tableStyleInfo name="TableStyleDark1" showFirstColumn="0" showLastColumn="0" showRowStripes="1" showColumnStripes="0"/>
</table>
</file>

<file path=xl/tables/table2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3" xr:uid="{2ECAE658-469A-489C-A401-DF9AFC25F8D6}" name="TimeEntries740750754764" displayName="TimeEntries740750754764" ref="A3243:G3244" totalsRowShown="0">
  <autoFilter ref="A3243:G3244" xr:uid="{55B63F43-93D5-4BCC-870A-4D6BB5ACACF0}"/>
  <sortState xmlns:xlrd2="http://schemas.microsoft.com/office/spreadsheetml/2017/richdata2" ref="A3244:E3244">
    <sortCondition ref="A16:A17"/>
  </sortState>
  <tableColumns count="7">
    <tableColumn id="1" xr3:uid="{C6558BA3-7AB4-4043-9A6E-47A61A92921D}" name="Time entry no."/>
    <tableColumn id="2" xr3:uid="{62DEC530-919C-4DC1-B931-1BBE31C01879}" name="Start time" dataDxfId="607"/>
    <tableColumn id="3" xr3:uid="{363D9E6D-4D8D-48E4-A24B-911A10721A9D}" name="End time" dataDxfId="606"/>
    <tableColumn id="4" xr3:uid="{CCB1761A-D9F3-4F3F-80C7-730F3C806F1D}" name="Time delta in h" dataDxfId="605">
      <calculatedColumnFormula>MAX((TimeEntries740750754764[[#This Row],[End time]]-TimeEntries740750754764[[#This Row],[Start time]])*24,0)</calculatedColumnFormula>
    </tableColumn>
    <tableColumn id="5" xr3:uid="{B6A7FBCD-A4E8-4099-A12B-E230CF6073C1}" name="Now?"/>
    <tableColumn id="6" xr3:uid="{B82CD5CE-2DB7-4CEF-92CC-82385BDE87F7}" name="Action1" dataDxfId="604" dataCellStyle="Hyperlink"/>
    <tableColumn id="7" xr3:uid="{536D6612-970B-4B0B-A5E0-5F55F7668834}" name="Action2" dataDxfId="603" dataCellStyle="Hyperlink"/>
  </tableColumns>
  <tableStyleInfo name="TableStyleDark1" showFirstColumn="0" showLastColumn="0" showRowStripes="1" showColumnStripes="0"/>
</table>
</file>

<file path=xl/tables/table2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4" xr:uid="{F38F6A65-6333-4723-B9DE-CE8FB773E40D}" name="Tabelle7367741751755765" displayName="Tabelle7367741751755765" ref="I3243:M3244" totalsRowShown="0">
  <autoFilter ref="I3243:M3244" xr:uid="{D70750DA-1EAA-4894-9C27-771E8D401004}"/>
  <tableColumns count="5">
    <tableColumn id="1" xr3:uid="{F594F3CA-6625-4912-85A1-9E8ADFF91F39}" name="Comparison entry no."/>
    <tableColumn id="2" xr3:uid="{80358132-F3DD-4F1A-B780-0C934C8A4AE0}" name="Propability Support point" dataDxfId="602"/>
    <tableColumn id="3" xr3:uid="{6BAFA3FD-9D69-486B-8AEC-EC7B01818875}" name="EBS self time" dataDxfId="601"/>
    <tableColumn id="4" xr3:uid="{27124521-8AF6-44F3-9B5C-5CA60BDD72A7}" name="Total time">
      <calculatedColumnFormula>SUM(TimeEntries740750754764[Time delta in h])</calculatedColumnFormula>
    </tableColumn>
    <tableColumn id="5" xr3:uid="{7F96226F-9E06-4AFF-964D-E47E7051DB9C}" name="Total time / Your estimate" dataDxfId="600">
      <calculatedColumnFormula>Tabelle7367741751755765[[#This Row],[EBS self time]]/Tabelle7367741751755765[[#This Row],[Total time]]</calculatedColumnFormula>
    </tableColumn>
  </tableColumns>
  <tableStyleInfo name="TableStyleDark1" showFirstColumn="0" showLastColumn="0" showRowStripes="1" showColumnStripes="0"/>
</table>
</file>

<file path=xl/tables/table2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5" xr:uid="{CDD4027E-A242-4A57-9209-5D864D98C7EB}" name="TimeEntries756766" displayName="TimeEntries756766" ref="A3263:G3264" totalsRowShown="0">
  <autoFilter ref="A3263:G3264" xr:uid="{DF32DBB9-1829-40FF-8FA2-C6A366971782}"/>
  <sortState xmlns:xlrd2="http://schemas.microsoft.com/office/spreadsheetml/2017/richdata2" ref="A3264:E3264">
    <sortCondition ref="A16:A17"/>
  </sortState>
  <tableColumns count="7">
    <tableColumn id="1" xr3:uid="{8969DA5C-0575-4252-A398-8E885D167121}" name="Time entry no."/>
    <tableColumn id="2" xr3:uid="{5A7F5D1E-228C-4C7B-8AE2-117D495F8FD0}" name="Start time" dataDxfId="599"/>
    <tableColumn id="3" xr3:uid="{C2726E3B-C45E-40B7-89B5-8BDE5B6240EE}" name="End time" dataDxfId="598"/>
    <tableColumn id="4" xr3:uid="{9E7E99EF-511E-4D4C-BEC1-60BD7CF8E145}" name="Time delta in h" dataDxfId="597">
      <calculatedColumnFormula>MAX((TimeEntries756766[[#This Row],[End time]]-TimeEntries756766[[#This Row],[Start time]])*24,0)</calculatedColumnFormula>
    </tableColumn>
    <tableColumn id="5" xr3:uid="{3BBDD4DD-BE83-4323-AAEF-432B289AF15E}" name="Now?"/>
    <tableColumn id="6" xr3:uid="{0369841E-61F5-48D2-9A86-4DFC050D838A}" name="Action1" dataDxfId="596" dataCellStyle="Hyperlink"/>
    <tableColumn id="7" xr3:uid="{5B055E93-DB04-4029-B77D-88717FC034BC}" name="Action2" dataDxfId="595" dataCellStyle="Hyperlink"/>
  </tableColumns>
  <tableStyleInfo name="TableStyleDark1" showFirstColumn="0" showLastColumn="0" showRowStripes="1" showColumnStripes="0"/>
</table>
</file>

<file path=xl/tables/table2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6" xr:uid="{D19D80E1-E128-4B5F-AA97-9CA5854AD7DB}" name="Tabelle7367757767" displayName="Tabelle7367757767" ref="I3263:M3270" totalsRowShown="0">
  <autoFilter ref="I3263:M3270" xr:uid="{1D8C248B-C4B9-422B-A3DE-D9E8064DA83B}"/>
  <tableColumns count="5">
    <tableColumn id="1" xr3:uid="{4CA8CF23-C2E4-40AA-9890-AA37B3445D0D}" name="Comparison entry no."/>
    <tableColumn id="2" xr3:uid="{16F98BD0-3A67-4413-8DE4-9653662F3CB8}" name="Propability Support point" dataDxfId="594"/>
    <tableColumn id="3" xr3:uid="{DE31DC65-86AF-4F0A-8ACE-CCC638470B30}" name="EBS self time" dataDxfId="593"/>
    <tableColumn id="4" xr3:uid="{9DFB8E85-6ED4-4781-9838-42B5887F6697}" name="Total time">
      <calculatedColumnFormula>SUM(TimeEntries756766[Time delta in h])</calculatedColumnFormula>
    </tableColumn>
    <tableColumn id="5" xr3:uid="{BC69D8D4-7329-49F1-AA60-A9E19D98E9F5}" name="Total time / Your estimate" dataDxfId="592">
      <calculatedColumnFormula>Tabelle7367757767[[#This Row],[EBS self time]]/Tabelle7367757767[[#This Row],[Total time]]</calculatedColumnFormula>
    </tableColumn>
  </tableColumns>
  <tableStyleInfo name="TableStyleDark1" showFirstColumn="0" showLastColumn="0" showRowStripes="1" showColumnStripes="0"/>
</table>
</file>

<file path=xl/tables/table2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7" xr:uid="{0F6981B8-16ED-4B00-B0FD-C6C9D1162EC3}" name="TimeEntries758768" displayName="TimeEntries758768" ref="A3288:G3289" totalsRowShown="0">
  <autoFilter ref="A3288:G3289" xr:uid="{4416B9DC-FC5E-480C-85FD-886B20542E23}"/>
  <sortState xmlns:xlrd2="http://schemas.microsoft.com/office/spreadsheetml/2017/richdata2" ref="A3289:E3289">
    <sortCondition ref="A16:A17"/>
  </sortState>
  <tableColumns count="7">
    <tableColumn id="1" xr3:uid="{91F6A163-CCBB-4B73-B0CF-57A6A4DEED03}" name="Time entry no."/>
    <tableColumn id="2" xr3:uid="{40DA03F2-FF71-4B2A-A66A-33B390B2C0B0}" name="Start time" dataDxfId="591"/>
    <tableColumn id="3" xr3:uid="{A99BE670-2688-4C14-8CA8-A67968EDA5F7}" name="End time" dataDxfId="590"/>
    <tableColumn id="4" xr3:uid="{8F310E3D-8FB6-401D-9E6F-D500391D48FD}" name="Time delta in h" dataDxfId="589">
      <calculatedColumnFormula>MAX((TimeEntries758768[[#This Row],[End time]]-TimeEntries758768[[#This Row],[Start time]])*24,0)</calculatedColumnFormula>
    </tableColumn>
    <tableColumn id="5" xr3:uid="{C77F5E30-5D8E-4BE5-AF10-EEA33F3DF590}" name="Now?"/>
    <tableColumn id="6" xr3:uid="{59476B38-F75B-4966-BD3B-4323028E2A14}" name="Action1" dataDxfId="588" dataCellStyle="Hyperlink"/>
    <tableColumn id="7" xr3:uid="{B939C634-F4E0-49B2-8C4B-32B74E4A4284}" name="Action2" dataDxfId="587" dataCellStyle="Hyperlink"/>
  </tableColumns>
  <tableStyleInfo name="TableStyleDark1" showFirstColumn="0" showLastColumn="0" showRowStripes="1" showColumnStripes="0"/>
</table>
</file>

<file path=xl/tables/table2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8" xr:uid="{3D6C7641-7E85-4F73-834F-937CCA9F9A44}" name="Tabelle7367759769" displayName="Tabelle7367759769" ref="I3288:M3289" totalsRowShown="0">
  <autoFilter ref="I3288:M3289" xr:uid="{E9EDBDC3-BFE9-45B8-92F2-BA5AB6056797}"/>
  <tableColumns count="5">
    <tableColumn id="1" xr3:uid="{B64AFCAC-DFEE-422A-85AB-B266CE430EBA}" name="Comparison entry no."/>
    <tableColumn id="2" xr3:uid="{ACCDDBCE-8854-417F-BF2F-F0668019FCD1}" name="Propability Support point" dataDxfId="586"/>
    <tableColumn id="3" xr3:uid="{282A53F4-A913-4ABB-801C-94AEB980EEE6}" name="EBS self time" dataDxfId="585"/>
    <tableColumn id="4" xr3:uid="{95202B11-05CF-4385-A54E-798C32C3E013}" name="Total time">
      <calculatedColumnFormula>SUM(TimeEntries758768[Time delta in h])</calculatedColumnFormula>
    </tableColumn>
    <tableColumn id="5" xr3:uid="{8CBE611C-1ECD-467F-9017-46F9E642536A}" name="Total time / Your estimate" dataDxfId="584">
      <calculatedColumnFormula>Tabelle7367759769[[#This Row],[EBS self time]]/Tabelle7367759769[[#This Row],[Total time]]</calculatedColumnFormula>
    </tableColumn>
  </tableColumns>
  <tableStyleInfo name="TableStyleDark1" showFirstColumn="0" showLastColumn="0" showRowStripes="1" showColumnStripes="0"/>
</table>
</file>

<file path=xl/tables/table2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9" xr:uid="{4D271E47-4935-4C45-B749-CB1FDAA08541}" name="TimeEntries760770" displayName="TimeEntries760770" ref="A3308:G3309" totalsRowShown="0">
  <autoFilter ref="A3308:G3309" xr:uid="{22C83591-BDAE-4767-A6AD-1561AC7129C3}"/>
  <sortState xmlns:xlrd2="http://schemas.microsoft.com/office/spreadsheetml/2017/richdata2" ref="A3309:E3309">
    <sortCondition ref="A16:A17"/>
  </sortState>
  <tableColumns count="7">
    <tableColumn id="1" xr3:uid="{36FAF98C-6BDE-4173-A38C-2256B3464581}" name="Time entry no."/>
    <tableColumn id="2" xr3:uid="{29C0BF8C-BC76-42F0-B5C0-10A37C6950F4}" name="Start time" dataDxfId="583"/>
    <tableColumn id="3" xr3:uid="{D28F4450-3562-47AE-8CA0-73CEAEA0F6A1}" name="End time" dataDxfId="582"/>
    <tableColumn id="4" xr3:uid="{0B8EE490-BCFB-430C-B1A3-AC95DC77E129}" name="Time delta in h" dataDxfId="581">
      <calculatedColumnFormula>MAX((TimeEntries760770[[#This Row],[End time]]-TimeEntries760770[[#This Row],[Start time]])*24,0)</calculatedColumnFormula>
    </tableColumn>
    <tableColumn id="5" xr3:uid="{B349E8C2-783B-436E-BE37-0A66D396B7C7}" name="Now?"/>
    <tableColumn id="6" xr3:uid="{5766CBE9-C177-40AB-9F4D-2BE534C5DCAB}" name="Action1" dataDxfId="580" dataCellStyle="Hyperlink"/>
    <tableColumn id="7" xr3:uid="{8E502500-86DC-49F6-9C7A-A4A68851C694}" name="Action2" dataDxfId="579" dataCellStyle="Hyperlink"/>
  </tableColumns>
  <tableStyleInfo name="TableStyleDark1" showFirstColumn="0" showLastColumn="0" showRowStripes="1" showColumnStripes="0"/>
</table>
</file>

<file path=xl/tables/table2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0" xr:uid="{54631458-D99A-4140-9C00-07F68E0CE4B0}" name="Tabelle7367761771" displayName="Tabelle7367761771" ref="I3308:M3315" totalsRowShown="0">
  <autoFilter ref="I3308:M3315" xr:uid="{5B77BDCB-428B-4B66-854D-F6777909B958}"/>
  <tableColumns count="5">
    <tableColumn id="1" xr3:uid="{7BE530A7-CDE1-4267-B810-0BFD60FAE1D4}" name="Comparison entry no."/>
    <tableColumn id="2" xr3:uid="{660FF60B-E36A-4EB5-9763-5965EC9FFBB8}" name="Propability Support point" dataDxfId="578"/>
    <tableColumn id="3" xr3:uid="{1F255D8D-74A1-45A5-B8A5-F20B04075CEE}" name="EBS self time" dataDxfId="577"/>
    <tableColumn id="4" xr3:uid="{07DF635E-BBB6-4AB2-8BD5-07DB551D17A5}" name="Total time">
      <calculatedColumnFormula>SUM(TimeEntries760770[Time delta in h])</calculatedColumnFormula>
    </tableColumn>
    <tableColumn id="5" xr3:uid="{48C3520A-1B11-446C-8A94-39C01179B62C}" name="Total time / Your estimate" dataDxfId="576">
      <calculatedColumnFormula>Tabelle7367761771[[#This Row],[EBS self time]]/Tabelle7367761771[[#This Row],[Total time]]</calculatedColumnFormula>
    </tableColumn>
  </tableColumns>
  <tableStyleInfo name="TableStyleDark1" showFirstColumn="0" showLastColumn="0" showRowStripes="1" showColumnStripes="0"/>
</table>
</file>

<file path=xl/tables/table2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5" xr:uid="{62052CAE-BBE7-494C-BB6D-AF77E112CE35}" name="TimeEntries762772776786" displayName="TimeEntries762772776786" ref="A3333:G3334" totalsRowShown="0">
  <autoFilter ref="A3333:G3334" xr:uid="{C6FBBAD8-DB27-45A0-AFF1-2CE0892C503A}"/>
  <sortState xmlns:xlrd2="http://schemas.microsoft.com/office/spreadsheetml/2017/richdata2" ref="A3334:E3334">
    <sortCondition ref="A16:A17"/>
  </sortState>
  <tableColumns count="7">
    <tableColumn id="1" xr3:uid="{6113836B-1ED0-4D33-AD64-4EBA63982FB5}" name="Time entry no."/>
    <tableColumn id="2" xr3:uid="{E6C14380-D445-480F-A6C4-E95D39209993}" name="Start time" dataDxfId="575"/>
    <tableColumn id="3" xr3:uid="{28226064-2C3A-4245-AC75-573CEFDDEE04}" name="End time" dataDxfId="574"/>
    <tableColumn id="4" xr3:uid="{19C1CF09-3247-4ECC-A63F-249987A99CC4}" name="Time delta in h" dataDxfId="573">
      <calculatedColumnFormula>MAX((TimeEntries762772776786[[#This Row],[End time]]-TimeEntries762772776786[[#This Row],[Start time]])*24,0)</calculatedColumnFormula>
    </tableColumn>
    <tableColumn id="5" xr3:uid="{DBDE8048-A1D7-458C-9290-76F80F3A6BF6}" name="Now?"/>
    <tableColumn id="6" xr3:uid="{FD9DCD98-A49A-41A3-8BD1-59BA46C021B1}" name="Action1" dataDxfId="572" dataCellStyle="Hyperlink"/>
    <tableColumn id="7" xr3:uid="{49616A6B-BB25-43EE-9390-0805F7CE9EEE}" name="Action2" dataDxfId="571" dataCellStyle="Hyperlink"/>
  </tableColumns>
  <tableStyleInfo name="TableStyleDark1" showFirstColumn="0" showLastColumn="0" showRowStripes="1" showColumnStripes="0"/>
</table>
</file>

<file path=xl/tables/table2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6" xr:uid="{03B720CF-2386-44BD-8D20-24398B7456F5}" name="Tabelle7367763773777787" displayName="Tabelle7367763773777787" ref="I3333:M3340" totalsRowShown="0">
  <autoFilter ref="I3333:M3340" xr:uid="{D4703B24-EE1B-44EA-91AC-BBA7686AD106}"/>
  <tableColumns count="5">
    <tableColumn id="1" xr3:uid="{A20B0758-5E60-4933-8708-302FA1E636FB}" name="Comparison entry no."/>
    <tableColumn id="2" xr3:uid="{4DA06C41-FE07-4480-992E-59C21327246D}" name="Propability Support point" dataDxfId="570"/>
    <tableColumn id="3" xr3:uid="{40F7EC14-A51C-4BF9-A737-DFB0A2E9DD07}" name="EBS self time" dataDxfId="569"/>
    <tableColumn id="4" xr3:uid="{0ABF8274-D655-4DE8-B49D-4D140B32DD30}" name="Total time">
      <calculatedColumnFormula>SUM(TimeEntries762772776786[Time delta in h])</calculatedColumnFormula>
    </tableColumn>
    <tableColumn id="5" xr3:uid="{CA950534-401C-4BB2-9F9A-C27ED03FC410}" name="Total time / Your estimate" dataDxfId="568">
      <calculatedColumnFormula>Tabelle7367763773777787[[#This Row],[EBS self time]]/Tabelle7367763773777787[[#This Row],[Total time]]</calculatedColumnFormula>
    </tableColumn>
  </tableColumns>
  <tableStyleInfo name="TableStyleDark1" showFirstColumn="0" showLastColumn="0" showRowStripes="1" showColumnStripes="0"/>
</table>
</file>

<file path=xl/tables/table2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7" xr:uid="{0406550E-8735-42C6-A954-B06A7B0FEE4B}" name="TimeEntries778788" displayName="TimeEntries778788" ref="A3358:G3359" totalsRowShown="0">
  <autoFilter ref="A3358:G3359" xr:uid="{25A91F9A-F16D-4D0B-A792-04B95E299253}"/>
  <sortState xmlns:xlrd2="http://schemas.microsoft.com/office/spreadsheetml/2017/richdata2" ref="A3359:E3359">
    <sortCondition ref="A16:A17"/>
  </sortState>
  <tableColumns count="7">
    <tableColumn id="1" xr3:uid="{D1C3E2C3-DBC0-4C59-ABD6-B5D08BC1CB2C}" name="Time entry no."/>
    <tableColumn id="2" xr3:uid="{EE973F24-8FCB-46AA-9E45-E67428B685D1}" name="Start time" dataDxfId="567"/>
    <tableColumn id="3" xr3:uid="{EF3B2CA6-8881-422B-96A2-52E0FB289475}" name="End time" dataDxfId="566"/>
    <tableColumn id="4" xr3:uid="{7D655ACD-824B-4CE7-822F-E8E27A750F95}" name="Time delta in h" dataDxfId="565">
      <calculatedColumnFormula>MAX((TimeEntries778788[[#This Row],[End time]]-TimeEntries778788[[#This Row],[Start time]])*24,0)</calculatedColumnFormula>
    </tableColumn>
    <tableColumn id="5" xr3:uid="{5FE52645-57B8-448D-A12B-62226522071D}" name="Now?"/>
    <tableColumn id="6" xr3:uid="{BB97FE91-1E53-4BE9-B989-34A559DCF9F3}" name="Action1" dataDxfId="564" dataCellStyle="Hyperlink"/>
    <tableColumn id="7" xr3:uid="{D16691CD-55B7-4D43-826E-FE2BDC581E64}" name="Action2" dataDxfId="563" dataCellStyle="Hyperlink"/>
  </tableColumns>
  <tableStyleInfo name="TableStyleDark1" showFirstColumn="0" showLastColumn="0" showRowStripes="1" showColumnStripes="0"/>
</table>
</file>

<file path=xl/tables/table2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8" xr:uid="{7247FA97-4D9B-4B65-AFD2-AA968CD70A0E}" name="Tabelle7367779789" displayName="Tabelle7367779789" ref="I3358:M3365" totalsRowShown="0">
  <autoFilter ref="I3358:M3365" xr:uid="{E428905D-C9E5-4A76-8A8C-5010367ACCA6}"/>
  <tableColumns count="5">
    <tableColumn id="1" xr3:uid="{2C6CAA9B-43AA-4DF5-A8BB-10B1C7B58D6C}" name="Comparison entry no."/>
    <tableColumn id="2" xr3:uid="{19A2DDEE-5AD1-482E-89D7-A1E2020D5E78}" name="Propability Support point" dataDxfId="562"/>
    <tableColumn id="3" xr3:uid="{368F05D9-9FFA-4906-B1C1-2B644587508F}" name="EBS self time" dataDxfId="561"/>
    <tableColumn id="4" xr3:uid="{703F9537-7CD5-484A-B451-08554BCF3274}" name="Total time">
      <calculatedColumnFormula>SUM(TimeEntries778788[Time delta in h])</calculatedColumnFormula>
    </tableColumn>
    <tableColumn id="5" xr3:uid="{CFFA9271-19C0-48E8-9070-B8AC6D0070C6}" name="Total time / Your estimate" dataDxfId="560">
      <calculatedColumnFormula>Tabelle7367779789[[#This Row],[EBS self time]]/Tabelle7367779789[[#This Row],[Total time]]</calculatedColumnFormula>
    </tableColumn>
  </tableColumns>
  <tableStyleInfo name="TableStyleDark1" showFirstColumn="0" showLastColumn="0" showRowStripes="1" showColumnStripes="0"/>
</table>
</file>

<file path=xl/tables/table2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9" xr:uid="{BD2D30B1-3408-4382-8BFC-2F8B007AD83F}" name="TimeEntries780790" displayName="TimeEntries780790" ref="A3383:G3384" totalsRowShown="0">
  <autoFilter ref="A3383:G3384" xr:uid="{6788B51C-C2D1-4B39-9DE8-3E4E9C6D822B}"/>
  <sortState xmlns:xlrd2="http://schemas.microsoft.com/office/spreadsheetml/2017/richdata2" ref="A3384:E3384">
    <sortCondition ref="A16:A17"/>
  </sortState>
  <tableColumns count="7">
    <tableColumn id="1" xr3:uid="{520DA626-E55E-4F2A-851E-D0A87F9E4411}" name="Time entry no."/>
    <tableColumn id="2" xr3:uid="{F20868B5-36DA-4CD8-9A58-4E638858FB0D}" name="Start time" dataDxfId="559"/>
    <tableColumn id="3" xr3:uid="{B3BB95C0-6154-4FB2-8C42-BBF971F1E953}" name="End time" dataDxfId="558"/>
    <tableColumn id="4" xr3:uid="{940BB753-B8B6-41AF-AF80-62D928356B76}" name="Time delta in h" dataDxfId="557">
      <calculatedColumnFormula>MAX((TimeEntries780790[[#This Row],[End time]]-TimeEntries780790[[#This Row],[Start time]])*24,0)</calculatedColumnFormula>
    </tableColumn>
    <tableColumn id="5" xr3:uid="{22D6D070-0BD4-49AE-A583-41F9139D9FA3}" name="Now?"/>
    <tableColumn id="6" xr3:uid="{15CD1C74-60FB-4F68-8F34-14DF880ACDD0}" name="Action1" dataDxfId="556" dataCellStyle="Hyperlink"/>
    <tableColumn id="7" xr3:uid="{A65CF238-3B66-4529-B354-35E9C1CD6A2B}" name="Action2" dataDxfId="555" dataCellStyle="Hyperlink"/>
  </tableColumns>
  <tableStyleInfo name="TableStyleDark1" showFirstColumn="0" showLastColumn="0" showRowStripes="1" showColumnStripes="0"/>
</table>
</file>

<file path=xl/tables/table2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0" xr:uid="{B02F0DC7-355A-4F6E-ACBF-48D5E780B4A8}" name="Tabelle7367781791" displayName="Tabelle7367781791" ref="I3383:M3390" totalsRowShown="0">
  <autoFilter ref="I3383:M3390" xr:uid="{46FB2B4A-7BD4-4B15-8DF4-E3147CEFFADF}"/>
  <tableColumns count="5">
    <tableColumn id="1" xr3:uid="{25D6BC02-0D7C-4A92-9C48-CA944D9B131B}" name="Comparison entry no."/>
    <tableColumn id="2" xr3:uid="{ADEA355E-931B-47ED-BFEB-B60364EE1D4F}" name="Propability Support point" dataDxfId="554"/>
    <tableColumn id="3" xr3:uid="{6B54D80B-34A9-4156-94E0-FCF8533A542A}" name="EBS self time" dataDxfId="553"/>
    <tableColumn id="4" xr3:uid="{464FBE5C-8EC1-4F46-8DBD-E2457497273F}" name="Total time">
      <calculatedColumnFormula>SUM(TimeEntries780790[Time delta in h])</calculatedColumnFormula>
    </tableColumn>
    <tableColumn id="5" xr3:uid="{838C754C-8E33-47EA-A778-9D1786707C9C}" name="Total time / Your estimate" dataDxfId="552">
      <calculatedColumnFormula>Tabelle7367781791[[#This Row],[EBS self time]]/Tabelle7367781791[[#This Row],[Total time]]</calculatedColumnFormula>
    </tableColumn>
  </tableColumns>
  <tableStyleInfo name="TableStyleDark1" showFirstColumn="0" showLastColumn="0" showRowStripes="1" showColumnStripes="0"/>
</table>
</file>

<file path=xl/tables/table2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1" xr:uid="{53DF2BEA-39D6-4A0E-A28F-53FE87027354}" name="TimeEntries782792" displayName="TimeEntries782792" ref="A3408:G3409" totalsRowShown="0">
  <autoFilter ref="A3408:G3409" xr:uid="{DA2A9FCC-B92B-4F2F-A07F-B745928CA6F8}"/>
  <sortState xmlns:xlrd2="http://schemas.microsoft.com/office/spreadsheetml/2017/richdata2" ref="A3409:E3409">
    <sortCondition ref="A16:A17"/>
  </sortState>
  <tableColumns count="7">
    <tableColumn id="1" xr3:uid="{59ADE694-11EB-4A97-8E64-2234215599D6}" name="Time entry no."/>
    <tableColumn id="2" xr3:uid="{ECBD7FF4-7A06-4530-814C-E7B6BCCEF196}" name="Start time" dataDxfId="551"/>
    <tableColumn id="3" xr3:uid="{5047F453-E1B2-4875-B3BE-445E365C3F59}" name="End time" dataDxfId="550"/>
    <tableColumn id="4" xr3:uid="{097D50F7-2C35-4D7B-AC8B-B78C37B1CFA9}" name="Time delta in h" dataDxfId="549">
      <calculatedColumnFormula>MAX((TimeEntries782792[[#This Row],[End time]]-TimeEntries782792[[#This Row],[Start time]])*24,0)</calculatedColumnFormula>
    </tableColumn>
    <tableColumn id="5" xr3:uid="{A3506541-3468-438F-BF2D-6F8E6CE7701B}" name="Now?"/>
    <tableColumn id="6" xr3:uid="{DBFF32A2-11E8-4955-8F18-B010B20F286D}" name="Action1" dataDxfId="548" dataCellStyle="Hyperlink"/>
    <tableColumn id="7" xr3:uid="{425B0755-4FFA-4ADE-8B5F-34C2DC91F26D}" name="Action2" dataDxfId="547" dataCellStyle="Hyperlink"/>
  </tableColumns>
  <tableStyleInfo name="TableStyleDark1" showFirstColumn="0" showLastColumn="0" showRowStripes="1" showColumnStripes="0"/>
</table>
</file>

<file path=xl/tables/table2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2" xr:uid="{162221BA-2F34-4D35-A8A5-DB69DBFC8490}" name="Tabelle7367783793" displayName="Tabelle7367783793" ref="I3408:M3409" totalsRowShown="0">
  <autoFilter ref="I3408:M3409" xr:uid="{41029D4B-7446-4418-843A-263B46CCAC33}"/>
  <tableColumns count="5">
    <tableColumn id="1" xr3:uid="{0F032D82-89B6-4ACA-A31F-5A24C0F4EDC4}" name="Comparison entry no."/>
    <tableColumn id="2" xr3:uid="{68D16427-0937-4CEF-91ED-7CCE72D328D3}" name="Propability Support point" dataDxfId="546"/>
    <tableColumn id="3" xr3:uid="{F1E422B1-6521-4ED3-A1BF-93E171358E6B}" name="EBS self time" dataDxfId="545"/>
    <tableColumn id="4" xr3:uid="{EC6D48CD-5306-425A-A137-DEA51DC7F223}" name="Total time">
      <calculatedColumnFormula>SUM(TimeEntries782792[Time delta in h])</calculatedColumnFormula>
    </tableColumn>
    <tableColumn id="5" xr3:uid="{5B0FB8E1-0C38-4674-9D47-47A15383E5E6}" name="Total time / Your estimate" dataDxfId="544">
      <calculatedColumnFormula>Tabelle7367783793[[#This Row],[EBS self time]]/Tabelle7367783793[[#This Row],[Total time]]</calculatedColumnFormula>
    </tableColumn>
  </tableColumns>
  <tableStyleInfo name="TableStyleDark1" showFirstColumn="0" showLastColumn="0" showRowStripes="1" showColumnStripes="0"/>
</table>
</file>

<file path=xl/tables/table2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7" xr:uid="{3D112489-BCEC-47EF-B21B-76C6713F90A3}" name="TimeEntries784794798808" displayName="TimeEntries784794798808" ref="A3428:G3429" totalsRowShown="0">
  <autoFilter ref="A3428:G3429" xr:uid="{DE8A5968-FC7D-4ACF-B4C2-0296E073D4B2}"/>
  <sortState xmlns:xlrd2="http://schemas.microsoft.com/office/spreadsheetml/2017/richdata2" ref="A3429:E3429">
    <sortCondition ref="A16:A17"/>
  </sortState>
  <tableColumns count="7">
    <tableColumn id="1" xr3:uid="{EB094DFD-61B9-4A53-A400-97EF943643BA}" name="Time entry no."/>
    <tableColumn id="2" xr3:uid="{38E54067-52EE-4256-A33F-18285FBA7B55}" name="Start time" dataDxfId="543"/>
    <tableColumn id="3" xr3:uid="{098247F2-2728-4859-8D85-424F93C08198}" name="End time" dataDxfId="542"/>
    <tableColumn id="4" xr3:uid="{2D65B1C3-90C5-4FA1-8C11-C6BC3A465EC3}" name="Time delta in h" dataDxfId="541">
      <calculatedColumnFormula>MAX((TimeEntries784794798808[[#This Row],[End time]]-TimeEntries784794798808[[#This Row],[Start time]])*24,0)</calculatedColumnFormula>
    </tableColumn>
    <tableColumn id="5" xr3:uid="{ACC06167-8558-47D1-921F-443D233A4824}" name="Now?"/>
    <tableColumn id="6" xr3:uid="{8EA7F6E3-EB1D-4CDC-9D00-9B09F25DB789}" name="Action1" dataDxfId="540" dataCellStyle="Hyperlink"/>
    <tableColumn id="7" xr3:uid="{603DCFA5-B2FE-46EB-BBF1-19897097359D}" name="Action2" dataDxfId="539" dataCellStyle="Hyperlink"/>
  </tableColumns>
  <tableStyleInfo name="TableStyleDark1" showFirstColumn="0" showLastColumn="0" showRowStripes="1" showColumnStripes="0"/>
</table>
</file>

<file path=xl/tables/table2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8" xr:uid="{3CC211FA-9E25-4D8A-80CC-B12F63BD013A}" name="Tabelle7367785795799809" displayName="Tabelle7367785795799809" ref="I3428:M3435" totalsRowShown="0">
  <autoFilter ref="I3428:M3435" xr:uid="{968852EE-BD2B-4666-8699-23CB546BDAC7}"/>
  <tableColumns count="5">
    <tableColumn id="1" xr3:uid="{FD9DC4EA-4ED7-4EAE-85D0-038CDFFBE94C}" name="Comparison entry no."/>
    <tableColumn id="2" xr3:uid="{AA9974A4-8664-4D4D-B0A7-8130CFFD7E21}" name="Propability Support point" dataDxfId="538"/>
    <tableColumn id="3" xr3:uid="{CCC1BC19-903F-4523-9AB0-D3AB0E521C9B}" name="EBS self time" dataDxfId="537"/>
    <tableColumn id="4" xr3:uid="{4BC8C4EA-0284-42D0-A2F3-B9BBC4E1DBCA}" name="Total time">
      <calculatedColumnFormula>SUM(TimeEntries784794798808[Time delta in h])</calculatedColumnFormula>
    </tableColumn>
    <tableColumn id="5" xr3:uid="{8C62E232-C5ED-4B7E-99BA-AD23608B2B30}" name="Total time / Your estimate" dataDxfId="536">
      <calculatedColumnFormula>Tabelle7367785795799809[[#This Row],[EBS self time]]/Tabelle7367785795799809[[#This Row],[Total time]]</calculatedColumnFormula>
    </tableColumn>
  </tableColumns>
  <tableStyleInfo name="TableStyleDark1" showFirstColumn="0" showLastColumn="0" showRowStripes="1" showColumnStripes="0"/>
</table>
</file>

<file path=xl/tables/table2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9" xr:uid="{DD5642F7-A02F-447C-9F5F-0A03AC62E86B}" name="TimeEntries800810" displayName="TimeEntries800810" ref="A3453:G3454" totalsRowShown="0">
  <autoFilter ref="A3453:G3454" xr:uid="{9EB50845-CFE1-42B2-BECA-AE5CBD4F7A98}"/>
  <sortState xmlns:xlrd2="http://schemas.microsoft.com/office/spreadsheetml/2017/richdata2" ref="A3454:E3454">
    <sortCondition ref="A16:A17"/>
  </sortState>
  <tableColumns count="7">
    <tableColumn id="1" xr3:uid="{4E7D99B6-F3C5-4D74-9439-74F43547E89A}" name="Time entry no."/>
    <tableColumn id="2" xr3:uid="{21852B1F-8355-4F7A-B97B-4ECA66A0EC44}" name="Start time" dataDxfId="535"/>
    <tableColumn id="3" xr3:uid="{BFD8A3E1-FF7F-400B-89DE-4C3B47A35C19}" name="End time" dataDxfId="534"/>
    <tableColumn id="4" xr3:uid="{461EA4F3-C3ED-4611-A77B-29CDDDE6FAE6}" name="Time delta in h" dataDxfId="533">
      <calculatedColumnFormula>MAX((TimeEntries800810[[#This Row],[End time]]-TimeEntries800810[[#This Row],[Start time]])*24,0)</calculatedColumnFormula>
    </tableColumn>
    <tableColumn id="5" xr3:uid="{90907FC1-39AB-4385-ACEC-E72335F80A48}" name="Now?"/>
    <tableColumn id="6" xr3:uid="{F8BCB791-403C-4A12-A61A-CFA8378CBA8C}" name="Action1" dataDxfId="532" dataCellStyle="Hyperlink"/>
    <tableColumn id="7" xr3:uid="{6444AFC7-7D22-4AA2-A2D9-09BC1BD8F590}" name="Action2" dataDxfId="531" dataCellStyle="Hyperlink"/>
  </tableColumns>
  <tableStyleInfo name="TableStyleDark1" showFirstColumn="0" showLastColumn="0" showRowStripes="1" showColumnStripes="0"/>
</table>
</file>

<file path=xl/tables/table2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0" xr:uid="{65F7E215-DBBF-4643-8238-2EB07B925FEE}" name="Tabelle7367801811" displayName="Tabelle7367801811" ref="I3453:M3454" totalsRowShown="0">
  <autoFilter ref="I3453:M3454" xr:uid="{FC1B9040-0054-41DA-A380-15C67B97FF20}"/>
  <tableColumns count="5">
    <tableColumn id="1" xr3:uid="{8B5EAAE5-20D1-4C2D-8B2B-04CE53832089}" name="Comparison entry no."/>
    <tableColumn id="2" xr3:uid="{CAB094E3-B12D-4E14-8573-A047F808566C}" name="Propability Support point" dataDxfId="530"/>
    <tableColumn id="3" xr3:uid="{84D16695-5AB0-41BC-B212-D317B833941E}" name="EBS self time" dataDxfId="529"/>
    <tableColumn id="4" xr3:uid="{6E14D3AA-EEA9-40B2-8DD8-D773E0063C4A}" name="Total time">
      <calculatedColumnFormula>SUM(TimeEntries800810[Time delta in h])</calculatedColumnFormula>
    </tableColumn>
    <tableColumn id="5" xr3:uid="{C950FFC4-8A35-41F8-8BD3-B14FC9B18251}" name="Total time / Your estimate" dataDxfId="528">
      <calculatedColumnFormula>Tabelle7367801811[[#This Row],[EBS self time]]/Tabelle7367801811[[#This Row],[Total time]]</calculatedColumnFormula>
    </tableColumn>
  </tableColumns>
  <tableStyleInfo name="TableStyleDark1" showFirstColumn="0" showLastColumn="0" showRowStripes="1" showColumnStripes="0"/>
</table>
</file>

<file path=xl/tables/table2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1" xr:uid="{12D825B2-0DCE-40F3-8F86-BABB715B3501}" name="TimeEntries802812" displayName="TimeEntries802812" ref="A3473:G3474" totalsRowShown="0">
  <autoFilter ref="A3473:G3474" xr:uid="{7D0ABBD6-4A33-4F3B-85E7-C6A765AAB3B4}"/>
  <sortState xmlns:xlrd2="http://schemas.microsoft.com/office/spreadsheetml/2017/richdata2" ref="A3474:E3474">
    <sortCondition ref="A16:A17"/>
  </sortState>
  <tableColumns count="7">
    <tableColumn id="1" xr3:uid="{EC05DFD0-C181-43FF-B933-2B943F560619}" name="Time entry no."/>
    <tableColumn id="2" xr3:uid="{2D18F611-25A9-4DE7-86D6-3AED9EBF5CBD}" name="Start time" dataDxfId="527"/>
    <tableColumn id="3" xr3:uid="{B0C441ED-A741-4BDB-9AE2-E9A50189E906}" name="End time" dataDxfId="526"/>
    <tableColumn id="4" xr3:uid="{27D010E2-99EF-4399-875E-B1A47251ADF8}" name="Time delta in h" dataDxfId="525">
      <calculatedColumnFormula>MAX((TimeEntries802812[[#This Row],[End time]]-TimeEntries802812[[#This Row],[Start time]])*24,0)</calculatedColumnFormula>
    </tableColumn>
    <tableColumn id="5" xr3:uid="{A565CD8F-9A7A-464E-8F29-824AD1799AB2}" name="Now?"/>
    <tableColumn id="6" xr3:uid="{B9438EE7-7246-41F0-B8D0-D7107A431C50}" name="Action1" dataDxfId="524" dataCellStyle="Hyperlink"/>
    <tableColumn id="7" xr3:uid="{D10C1BB6-8A99-4644-B710-1571FD080D05}" name="Action2" dataDxfId="523" dataCellStyle="Hyperlink"/>
  </tableColumns>
  <tableStyleInfo name="TableStyleDark1" showFirstColumn="0" showLastColumn="0" showRowStripes="1" showColumnStripes="0"/>
</table>
</file>

<file path=xl/tables/table3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2" xr:uid="{017D4BE5-DBBF-43EE-A8C6-DC756DE78AEF}" name="Tabelle7367803813" displayName="Tabelle7367803813" ref="I3473:M3480" totalsRowShown="0">
  <autoFilter ref="I3473:M3480" xr:uid="{29B5FEFC-A239-4CEC-963C-263232A6E222}"/>
  <tableColumns count="5">
    <tableColumn id="1" xr3:uid="{8DA1B5E0-BA37-4972-BA9B-6AF9E100A959}" name="Comparison entry no."/>
    <tableColumn id="2" xr3:uid="{1B6E244F-6877-47D9-AAFE-33EBFEB49189}" name="Propability Support point" dataDxfId="522"/>
    <tableColumn id="3" xr3:uid="{083576D5-2098-46D9-8648-ABF68BE28B12}" name="EBS self time" dataDxfId="521"/>
    <tableColumn id="4" xr3:uid="{25B92D8D-588C-4121-A011-E6DE49B07C99}" name="Total time">
      <calculatedColumnFormula>SUM(TimeEntries802812[Time delta in h])</calculatedColumnFormula>
    </tableColumn>
    <tableColumn id="5" xr3:uid="{7252EA81-33A4-471D-ACFD-5F8AB51592FC}" name="Total time / Your estimate" dataDxfId="520">
      <calculatedColumnFormula>Tabelle7367803813[[#This Row],[EBS self time]]/Tabelle7367803813[[#This Row],[Total time]]</calculatedColumnFormula>
    </tableColumn>
  </tableColumns>
  <tableStyleInfo name="TableStyleDark1" showFirstColumn="0" showLastColumn="0" showRowStripes="1" showColumnStripes="0"/>
</table>
</file>

<file path=xl/tables/table3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3" xr:uid="{734388EC-A316-46B6-B048-76068F417350}" name="TimeEntries804814" displayName="TimeEntries804814" ref="A3498:G3499" totalsRowShown="0">
  <autoFilter ref="A3498:G3499" xr:uid="{2BF74E48-3B49-40F8-9D41-F1EBABE10A53}"/>
  <sortState xmlns:xlrd2="http://schemas.microsoft.com/office/spreadsheetml/2017/richdata2" ref="A3499:E3499">
    <sortCondition ref="A16:A17"/>
  </sortState>
  <tableColumns count="7">
    <tableColumn id="1" xr3:uid="{15D6B64D-5FBD-48FC-AD84-04EEC20A9D24}" name="Time entry no."/>
    <tableColumn id="2" xr3:uid="{94E6AC59-1F63-4603-B5DD-D438BDDAD728}" name="Start time" dataDxfId="519"/>
    <tableColumn id="3" xr3:uid="{A0C4E323-E7CB-4B42-86F0-D1830782DA2C}" name="End time" dataDxfId="518"/>
    <tableColumn id="4" xr3:uid="{E507A916-4D56-480D-AFCA-5DECB9961B1F}" name="Time delta in h" dataDxfId="517">
      <calculatedColumnFormula>MAX((TimeEntries804814[[#This Row],[End time]]-TimeEntries804814[[#This Row],[Start time]])*24,0)</calculatedColumnFormula>
    </tableColumn>
    <tableColumn id="5" xr3:uid="{E45E7413-7C90-492E-8F25-DF4234A40EEF}" name="Now?"/>
    <tableColumn id="6" xr3:uid="{B6AD2781-8E61-4BDF-A994-AB81FB305BFA}" name="Action1" dataDxfId="516" dataCellStyle="Hyperlink"/>
    <tableColumn id="7" xr3:uid="{A08D9728-381B-4831-8D19-BA5AE6F9386D}" name="Action2" dataDxfId="515" dataCellStyle="Hyperlink"/>
  </tableColumns>
  <tableStyleInfo name="TableStyleDark1" showFirstColumn="0" showLastColumn="0" showRowStripes="1" showColumnStripes="0"/>
</table>
</file>

<file path=xl/tables/table3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4" xr:uid="{720C3D09-56F0-41B1-B55B-5C7389FFE220}" name="Tabelle7367805815" displayName="Tabelle7367805815" ref="I3498:M3505" totalsRowShown="0">
  <autoFilter ref="I3498:M3505" xr:uid="{2D48D590-F473-4965-A0EF-FBD69096185E}"/>
  <tableColumns count="5">
    <tableColumn id="1" xr3:uid="{E461FF7C-1F1F-4E5C-8E2D-83E6426985D2}" name="Comparison entry no."/>
    <tableColumn id="2" xr3:uid="{70ED8C87-5865-4E00-939F-221A98663AB0}" name="Propability Support point" dataDxfId="514"/>
    <tableColumn id="3" xr3:uid="{D256C336-4C49-4174-9459-CC9B100721DE}" name="EBS self time" dataDxfId="513"/>
    <tableColumn id="4" xr3:uid="{FFC0CE4F-CC52-4C1F-991B-07FF4CEA2D44}" name="Total time">
      <calculatedColumnFormula>SUM(TimeEntries804814[Time delta in h])</calculatedColumnFormula>
    </tableColumn>
    <tableColumn id="5" xr3:uid="{88513661-2B50-4F3E-BA3D-137E3FDE9DD9}" name="Total time / Your estimate" dataDxfId="512">
      <calculatedColumnFormula>Tabelle7367805815[[#This Row],[EBS self time]]/Tabelle7367805815[[#This Row],[Total time]]</calculatedColumnFormula>
    </tableColumn>
  </tableColumns>
  <tableStyleInfo name="TableStyleDark1" showFirstColumn="0" showLastColumn="0" showRowStripes="1" showColumnStripes="0"/>
</table>
</file>

<file path=xl/tables/table3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9" xr:uid="{DEC9C6DD-0F76-4DD4-AFEB-0B5D2885212D}" name="TimeEntries806816820830" displayName="TimeEntries806816820830" ref="A3523:G3524" totalsRowShown="0">
  <autoFilter ref="A3523:G3524" xr:uid="{D01680C3-81DF-4E20-B1AB-72A6CFB07C10}"/>
  <sortState xmlns:xlrd2="http://schemas.microsoft.com/office/spreadsheetml/2017/richdata2" ref="A3524:E3524">
    <sortCondition ref="A16:A17"/>
  </sortState>
  <tableColumns count="7">
    <tableColumn id="1" xr3:uid="{5085ECE5-3A39-4B53-B93A-72C4750AA49D}" name="Time entry no."/>
    <tableColumn id="2" xr3:uid="{B678504A-5A8C-4980-80DA-A96C6EB4EBC7}" name="Start time" dataDxfId="511"/>
    <tableColumn id="3" xr3:uid="{7B64D621-F378-4114-9C15-8E521DFC08D1}" name="End time" dataDxfId="510"/>
    <tableColumn id="4" xr3:uid="{DBAE6949-5805-4245-9C11-D96953A8C2F6}" name="Time delta in h" dataDxfId="509">
      <calculatedColumnFormula>MAX((TimeEntries806816820830[[#This Row],[End time]]-TimeEntries806816820830[[#This Row],[Start time]])*24,0)</calculatedColumnFormula>
    </tableColumn>
    <tableColumn id="5" xr3:uid="{819247BC-5407-4E1F-BB9C-B6CDF7062D4B}" name="Now?"/>
    <tableColumn id="6" xr3:uid="{5AA74D3C-0ACA-4CE1-AD7E-6E63505C3CE0}" name="Action1" dataDxfId="508" dataCellStyle="Hyperlink"/>
    <tableColumn id="7" xr3:uid="{CEDADB7A-A9A8-4D3B-A788-EFBD78CC333A}" name="Action2" dataDxfId="507" dataCellStyle="Hyperlink"/>
  </tableColumns>
  <tableStyleInfo name="TableStyleDark1" showFirstColumn="0" showLastColumn="0" showRowStripes="1" showColumnStripes="0"/>
</table>
</file>

<file path=xl/tables/table3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0" xr:uid="{DE49058C-E3EA-4463-9F8E-4BAD1378CDA1}" name="Tabelle7367807817821831" displayName="Tabelle7367807817821831" ref="I3523:M3530" totalsRowShown="0">
  <autoFilter ref="I3523:M3530" xr:uid="{674D0308-2999-4B46-B87A-0E9A95BEB973}"/>
  <tableColumns count="5">
    <tableColumn id="1" xr3:uid="{185430F2-FD6E-44A8-8CD6-1AED78695DB3}" name="Comparison entry no."/>
    <tableColumn id="2" xr3:uid="{FE3E0518-CC6C-4912-8F80-9362919D93F1}" name="Propability Support point" dataDxfId="506"/>
    <tableColumn id="3" xr3:uid="{EA74B76B-EFF5-4BD7-9C69-AC3FC8900BB2}" name="EBS self time" dataDxfId="505"/>
    <tableColumn id="4" xr3:uid="{3C6A45F6-E3AB-4192-BF54-BDDB8BA77327}" name="Total time">
      <calculatedColumnFormula>SUM(TimeEntries806816820830[Time delta in h])</calculatedColumnFormula>
    </tableColumn>
    <tableColumn id="5" xr3:uid="{387C17FC-976E-4B34-9B0E-28C0987CB50C}" name="Total time / Your estimate" dataDxfId="504">
      <calculatedColumnFormula>Tabelle7367807817821831[[#This Row],[EBS self time]]/Tabelle7367807817821831[[#This Row],[Total time]]</calculatedColumnFormula>
    </tableColumn>
  </tableColumns>
  <tableStyleInfo name="TableStyleDark1" showFirstColumn="0" showLastColumn="0" showRowStripes="1" showColumnStripes="0"/>
</table>
</file>

<file path=xl/tables/table3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1" xr:uid="{A23FC532-DD98-4ECA-9FA1-9E772767FA42}" name="TimeEntries822832" displayName="TimeEntries822832" ref="A3548:G3549" totalsRowShown="0">
  <autoFilter ref="A3548:G3549" xr:uid="{35B86571-3035-4E19-91DF-59DA6C121932}"/>
  <sortState xmlns:xlrd2="http://schemas.microsoft.com/office/spreadsheetml/2017/richdata2" ref="A3549:E3549">
    <sortCondition ref="A16:A17"/>
  </sortState>
  <tableColumns count="7">
    <tableColumn id="1" xr3:uid="{027E1DB8-E062-435D-A359-BFA90D7A2AB7}" name="Time entry no."/>
    <tableColumn id="2" xr3:uid="{43459DAB-6748-42D7-9BC6-706B1F188CA6}" name="Start time" dataDxfId="503"/>
    <tableColumn id="3" xr3:uid="{397ACAE4-147B-46D7-A35B-D7D5A57A6F48}" name="End time" dataDxfId="502"/>
    <tableColumn id="4" xr3:uid="{768CDC59-42AD-487A-9426-B18E66BD214B}" name="Time delta in h" dataDxfId="501">
      <calculatedColumnFormula>MAX((TimeEntries822832[[#This Row],[End time]]-TimeEntries822832[[#This Row],[Start time]])*24,0)</calculatedColumnFormula>
    </tableColumn>
    <tableColumn id="5" xr3:uid="{33C55BFA-F78E-4510-B50F-E7E13AE6F11E}" name="Now?"/>
    <tableColumn id="6" xr3:uid="{EAA87B27-A80E-4964-9954-6B500941F2EA}" name="Action1" dataDxfId="500" dataCellStyle="Hyperlink"/>
    <tableColumn id="7" xr3:uid="{EDD37DEC-54D8-4F3F-9885-8F208B32098A}" name="Action2" dataDxfId="499" dataCellStyle="Hyperlink"/>
  </tableColumns>
  <tableStyleInfo name="TableStyleDark1" showFirstColumn="0" showLastColumn="0" showRowStripes="1" showColumnStripes="0"/>
</table>
</file>

<file path=xl/tables/table3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2" xr:uid="{C3874DE2-4BB0-42EE-971D-6A6D73032601}" name="Tabelle7367823833" displayName="Tabelle7367823833" ref="I3548:M3555" totalsRowShown="0">
  <autoFilter ref="I3548:M3555" xr:uid="{263CAD50-FB10-4275-B599-089044806509}"/>
  <tableColumns count="5">
    <tableColumn id="1" xr3:uid="{5A4D2DA3-8F13-4ECA-8A5B-E4D85EBC7D16}" name="Comparison entry no."/>
    <tableColumn id="2" xr3:uid="{29FC1227-9CE4-4A70-AFB4-768D9A9376F1}" name="Propability Support point" dataDxfId="498"/>
    <tableColumn id="3" xr3:uid="{6B3623C8-B2A1-43AB-8235-C67CF6E51D55}" name="EBS self time" dataDxfId="497"/>
    <tableColumn id="4" xr3:uid="{F84A8494-1ADF-436F-8DB1-A7D16BDC3F9C}" name="Total time">
      <calculatedColumnFormula>SUM(TimeEntries822832[Time delta in h])</calculatedColumnFormula>
    </tableColumn>
    <tableColumn id="5" xr3:uid="{CBEF6C6C-B9DF-4587-A043-2D547168CB38}" name="Total time / Your estimate" dataDxfId="496">
      <calculatedColumnFormula>Tabelle7367823833[[#This Row],[EBS self time]]/Tabelle7367823833[[#This Row],[Total time]]</calculatedColumnFormula>
    </tableColumn>
  </tableColumns>
  <tableStyleInfo name="TableStyleDark1" showFirstColumn="0" showLastColumn="0" showRowStripes="1" showColumnStripes="0"/>
</table>
</file>

<file path=xl/tables/table3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3" xr:uid="{AB94D57E-D850-45A5-8447-C1EF581D64B2}" name="TimeEntries824834" displayName="TimeEntries824834" ref="A3573:G3574" totalsRowShown="0">
  <autoFilter ref="A3573:G3574" xr:uid="{989BE694-D9BF-43C2-987C-E569D3C24D95}"/>
  <sortState xmlns:xlrd2="http://schemas.microsoft.com/office/spreadsheetml/2017/richdata2" ref="A3574:E3574">
    <sortCondition ref="A16:A17"/>
  </sortState>
  <tableColumns count="7">
    <tableColumn id="1" xr3:uid="{8767ED88-A83B-4BF5-8039-B917C342D697}" name="Time entry no."/>
    <tableColumn id="2" xr3:uid="{D83AC889-0EB6-4A82-9AAB-B98AD670BCF7}" name="Start time" dataDxfId="495"/>
    <tableColumn id="3" xr3:uid="{C28BC17A-3DB6-4615-BE81-3D93AD36F668}" name="End time" dataDxfId="494"/>
    <tableColumn id="4" xr3:uid="{88EBEAC7-25C5-44AD-83B9-635076D97D6F}" name="Time delta in h" dataDxfId="493">
      <calculatedColumnFormula>MAX((TimeEntries824834[[#This Row],[End time]]-TimeEntries824834[[#This Row],[Start time]])*24,0)</calculatedColumnFormula>
    </tableColumn>
    <tableColumn id="5" xr3:uid="{7149F868-22C9-4568-AB6E-0CE2842934A5}" name="Now?"/>
    <tableColumn id="6" xr3:uid="{A2853DEA-CD34-4247-8755-99DDBE444B84}" name="Action1" dataDxfId="492" dataCellStyle="Hyperlink"/>
    <tableColumn id="7" xr3:uid="{A0FD68F8-6A23-4350-AF7B-1F1550886A39}" name="Action2" dataDxfId="491" dataCellStyle="Hyperlink"/>
  </tableColumns>
  <tableStyleInfo name="TableStyleDark1" showFirstColumn="0" showLastColumn="0" showRowStripes="1" showColumnStripes="0"/>
</table>
</file>

<file path=xl/tables/table3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4" xr:uid="{21EABEF6-67FC-437D-A518-9731E507C4DB}" name="Tabelle7367825835" displayName="Tabelle7367825835" ref="I3573:M3580" totalsRowShown="0">
  <autoFilter ref="I3573:M3580" xr:uid="{121BC100-9150-41FE-AA6C-4B40C31583BD}"/>
  <tableColumns count="5">
    <tableColumn id="1" xr3:uid="{1CC143D9-2404-4317-95AE-AB4DC25399C7}" name="Comparison entry no."/>
    <tableColumn id="2" xr3:uid="{9B2822A1-364D-44B1-ADCB-77A2C729938A}" name="Propability Support point" dataDxfId="490"/>
    <tableColumn id="3" xr3:uid="{80CB746F-4EB0-43D8-A960-8DDBA3EC9B6C}" name="EBS self time" dataDxfId="489"/>
    <tableColumn id="4" xr3:uid="{9630CAF5-1FF7-4184-AA66-FCA859686724}" name="Total time">
      <calculatedColumnFormula>SUM(TimeEntries824834[Time delta in h])</calculatedColumnFormula>
    </tableColumn>
    <tableColumn id="5" xr3:uid="{890249E8-44B4-4BC8-97E5-54090D1F3785}" name="Total time / Your estimate" dataDxfId="488">
      <calculatedColumnFormula>Tabelle7367825835[[#This Row],[EBS self time]]/Tabelle7367825835[[#This Row],[Total time]]</calculatedColumnFormula>
    </tableColumn>
  </tableColumns>
  <tableStyleInfo name="TableStyleDark1" showFirstColumn="0" showLastColumn="0" showRowStripes="1" showColumnStripes="0"/>
</table>
</file>

<file path=xl/tables/table3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5" xr:uid="{24F0ED54-DEC9-4CC2-B656-3A5E53EA44B6}" name="TimeEntries826836" displayName="TimeEntries826836" ref="A3598:G3599" totalsRowShown="0">
  <autoFilter ref="A3598:G3599" xr:uid="{D1592EDB-8FDE-4FB6-9E92-A82855D7888A}"/>
  <sortState xmlns:xlrd2="http://schemas.microsoft.com/office/spreadsheetml/2017/richdata2" ref="A3599:E3599">
    <sortCondition ref="A16:A17"/>
  </sortState>
  <tableColumns count="7">
    <tableColumn id="1" xr3:uid="{AA4416FB-249D-4481-9233-65C21675C931}" name="Time entry no."/>
    <tableColumn id="2" xr3:uid="{EE1C6760-A7F9-4DC0-9A15-A1D4F5B61216}" name="Start time" dataDxfId="487"/>
    <tableColumn id="3" xr3:uid="{D978FD9C-5CEB-4DB4-8DC1-0BACF2489605}" name="End time" dataDxfId="486"/>
    <tableColumn id="4" xr3:uid="{7E9823F3-3F78-443F-BD73-5AAAE237D9E3}" name="Time delta in h" dataDxfId="485">
      <calculatedColumnFormula>MAX((TimeEntries826836[[#This Row],[End time]]-TimeEntries826836[[#This Row],[Start time]])*24,0)</calculatedColumnFormula>
    </tableColumn>
    <tableColumn id="5" xr3:uid="{A6B70D38-42D6-4582-B131-76C44FE99DF6}" name="Now?"/>
    <tableColumn id="6" xr3:uid="{A009FA58-777B-469D-8A62-D0C067E36B6C}" name="Action1" dataDxfId="484" dataCellStyle="Hyperlink"/>
    <tableColumn id="7" xr3:uid="{C09AD3A8-AEE8-44CB-819C-A6C3C3D45DD7}" name="Action2" dataDxfId="483" dataCellStyle="Hyperlink"/>
  </tableColumns>
  <tableStyleInfo name="TableStyleDark1" showFirstColumn="0" showLastColumn="0" showRowStripes="1" showColumnStripes="0"/>
</table>
</file>

<file path=xl/tables/table3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6" xr:uid="{9A700FDF-59AF-4CD0-A134-ADF82A6E45FD}" name="Tabelle7367827837" displayName="Tabelle7367827837" ref="I3598:M3605" totalsRowShown="0">
  <autoFilter ref="I3598:M3605" xr:uid="{C92260E5-0DC6-4650-9456-6EF887025B8F}"/>
  <tableColumns count="5">
    <tableColumn id="1" xr3:uid="{80453026-1D8F-4F4D-9D2C-6D34F9BA19E4}" name="Comparison entry no."/>
    <tableColumn id="2" xr3:uid="{DB9150E3-E204-4EAB-983A-B632534BF826}" name="Propability Support point" dataDxfId="482"/>
    <tableColumn id="3" xr3:uid="{D047895A-630D-4B72-924E-22A0572BF8D6}" name="EBS self time" dataDxfId="481"/>
    <tableColumn id="4" xr3:uid="{1BEA5967-1C6A-44BC-BD2B-74DAFC19D8E7}" name="Total time">
      <calculatedColumnFormula>SUM(TimeEntries826836[Time delta in h])</calculatedColumnFormula>
    </tableColumn>
    <tableColumn id="5" xr3:uid="{2DB0F43D-E6A5-4B20-B5FC-165A480D1123}" name="Total time / Your estimate" dataDxfId="480">
      <calculatedColumnFormula>Tabelle7367827837[[#This Row],[EBS self time]]/Tabelle7367827837[[#This Row],[Total time]]</calculatedColumnFormula>
    </tableColumn>
  </tableColumns>
  <tableStyleInfo name="TableStyleDark1" showFirstColumn="0" showLastColumn="0" showRowStripes="1" showColumnStripes="0"/>
</table>
</file>

<file path=xl/tables/table3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1" xr:uid="{81B8ACDB-785A-4748-BA18-7D135B4E22A8}" name="TimeEntries828838842852" displayName="TimeEntries828838842852" ref="A3623:G3624" totalsRowShown="0">
  <autoFilter ref="A3623:G3624" xr:uid="{05BF9D03-53F2-48E5-A343-CFCB65D7AF53}"/>
  <sortState xmlns:xlrd2="http://schemas.microsoft.com/office/spreadsheetml/2017/richdata2" ref="A3624:E3624">
    <sortCondition ref="A16:A17"/>
  </sortState>
  <tableColumns count="7">
    <tableColumn id="1" xr3:uid="{DC730066-389C-43EE-AF7D-1C963E02A65C}" name="Time entry no."/>
    <tableColumn id="2" xr3:uid="{6D02C211-AEB9-4AB8-82C1-F76560785FB1}" name="Start time" dataDxfId="479"/>
    <tableColumn id="3" xr3:uid="{982460EC-A815-4C92-9E11-6C29107D84C9}" name="End time" dataDxfId="478"/>
    <tableColumn id="4" xr3:uid="{7697918E-2205-47CE-8FA1-C2E01BA92FEC}" name="Time delta in h" dataDxfId="477">
      <calculatedColumnFormula>MAX((TimeEntries828838842852[[#This Row],[End time]]-TimeEntries828838842852[[#This Row],[Start time]])*24,0)</calculatedColumnFormula>
    </tableColumn>
    <tableColumn id="5" xr3:uid="{569989DE-A29F-40DD-A6A9-04A783B6F435}" name="Now?"/>
    <tableColumn id="6" xr3:uid="{E6290984-D47F-4006-938B-99485E0CE9DD}" name="Action1" dataDxfId="476" dataCellStyle="Hyperlink"/>
    <tableColumn id="7" xr3:uid="{EBE37F2F-8975-4386-9A2F-76409780EED0}" name="Action2" dataDxfId="475" dataCellStyle="Hyperlink"/>
  </tableColumns>
  <tableStyleInfo name="TableStyleDark1" showFirstColumn="0" showLastColumn="0" showRowStripes="1" showColumnStripes="0"/>
</table>
</file>

<file path=xl/tables/table3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2" xr:uid="{85A98AE0-37F9-4B98-8A10-2BB72E21FE33}" name="Tabelle7367829839843853" displayName="Tabelle7367829839843853" ref="I3623:M3630" totalsRowShown="0">
  <autoFilter ref="I3623:M3630" xr:uid="{C61389F3-8C15-4E8B-9131-F5BFFA93D76A}"/>
  <tableColumns count="5">
    <tableColumn id="1" xr3:uid="{02DB9087-CFF9-4C73-8C50-0A3D32F3DAF6}" name="Comparison entry no."/>
    <tableColumn id="2" xr3:uid="{9B2FF1A1-0FD8-4B79-B62E-08458CBE06B1}" name="Propability Support point" dataDxfId="474"/>
    <tableColumn id="3" xr3:uid="{BDA2B5EC-9A46-457D-BD00-24E1DF38A1D0}" name="EBS self time" dataDxfId="473"/>
    <tableColumn id="4" xr3:uid="{D7CBF3BF-AF6B-4363-B64E-A0B52FAD482C}" name="Total time">
      <calculatedColumnFormula>SUM(TimeEntries828838842852[Time delta in h])</calculatedColumnFormula>
    </tableColumn>
    <tableColumn id="5" xr3:uid="{95ED8352-928F-49DA-A0F1-4F6111869050}" name="Total time / Your estimate" dataDxfId="472">
      <calculatedColumnFormula>Tabelle7367829839843853[[#This Row],[EBS self time]]/Tabelle7367829839843853[[#This Row],[Total time]]</calculatedColumnFormula>
    </tableColumn>
  </tableColumns>
  <tableStyleInfo name="TableStyleDark1" showFirstColumn="0" showLastColumn="0" showRowStripes="1" showColumnStripes="0"/>
</table>
</file>

<file path=xl/tables/table3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3" xr:uid="{A5D0E7A5-CA4F-4467-9F86-BCBF402031E7}" name="TimeEntries844854" displayName="TimeEntries844854" ref="A3648:G3649" totalsRowShown="0">
  <autoFilter ref="A3648:G3649" xr:uid="{0139B747-E7ED-4293-B698-197D3A898A17}"/>
  <sortState xmlns:xlrd2="http://schemas.microsoft.com/office/spreadsheetml/2017/richdata2" ref="A3649:E3649">
    <sortCondition ref="A16:A17"/>
  </sortState>
  <tableColumns count="7">
    <tableColumn id="1" xr3:uid="{2847241D-A0F9-47A6-A682-3F1651FA5045}" name="Time entry no."/>
    <tableColumn id="2" xr3:uid="{5A7D2FC1-9EC1-4DE5-BEEA-362885B83D3E}" name="Start time" dataDxfId="471"/>
    <tableColumn id="3" xr3:uid="{EA67253B-343F-45A0-BFF2-58DBCC87FC3E}" name="End time" dataDxfId="470"/>
    <tableColumn id="4" xr3:uid="{A15E93FE-28E0-49FF-B004-00BB458E7357}" name="Time delta in h" dataDxfId="469">
      <calculatedColumnFormula>MAX((TimeEntries844854[[#This Row],[End time]]-TimeEntries844854[[#This Row],[Start time]])*24,0)</calculatedColumnFormula>
    </tableColumn>
    <tableColumn id="5" xr3:uid="{EB8AD049-00A1-49FC-B7DC-40964E608488}" name="Now?"/>
    <tableColumn id="6" xr3:uid="{3795CC85-B5D8-4E25-ACAE-E64B1E54E1B7}" name="Action1" dataDxfId="468" dataCellStyle="Hyperlink"/>
    <tableColumn id="7" xr3:uid="{DE483CD8-ACE2-4A2F-90D6-EB8F1289A9F4}" name="Action2" dataDxfId="467" dataCellStyle="Hyperlink"/>
  </tableColumns>
  <tableStyleInfo name="TableStyleDark1" showFirstColumn="0" showLastColumn="0" showRowStripes="1" showColumnStripes="0"/>
</table>
</file>

<file path=xl/tables/table3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4" xr:uid="{E19D2278-66B4-4B79-9B94-C2510B5CEF26}" name="Tabelle7367845855" displayName="Tabelle7367845855" ref="I3648:M3655" totalsRowShown="0">
  <autoFilter ref="I3648:M3655" xr:uid="{2CA900D4-50D5-4A1F-8962-CD99362AD521}"/>
  <tableColumns count="5">
    <tableColumn id="1" xr3:uid="{C753597D-AA9C-44D3-A28D-86354299328D}" name="Comparison entry no."/>
    <tableColumn id="2" xr3:uid="{7919C9C6-7D55-447E-8723-BD09D8F13A9D}" name="Propability Support point" dataDxfId="466"/>
    <tableColumn id="3" xr3:uid="{B6F8B353-D8A9-46E9-A145-9E53F67545F3}" name="EBS self time" dataDxfId="465"/>
    <tableColumn id="4" xr3:uid="{A70A83E9-7FFE-4C53-AC05-1F39659FDB50}" name="Total time">
      <calculatedColumnFormula>SUM(TimeEntries844854[Time delta in h])</calculatedColumnFormula>
    </tableColumn>
    <tableColumn id="5" xr3:uid="{C1226BAB-CA1F-49D9-BD97-5B28B7556649}" name="Total time / Your estimate" dataDxfId="464">
      <calculatedColumnFormula>Tabelle7367845855[[#This Row],[EBS self time]]/Tabelle7367845855[[#This Row],[Total time]]</calculatedColumnFormula>
    </tableColumn>
  </tableColumns>
  <tableStyleInfo name="TableStyleDark1" showFirstColumn="0" showLastColumn="0" showRowStripes="1" showColumnStripes="0"/>
</table>
</file>

<file path=xl/tables/table3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5" xr:uid="{D8CAAE62-6B33-4ECD-9E33-6357FBE3934A}" name="TimeEntries846856" displayName="TimeEntries846856" ref="A3673:G3674" totalsRowShown="0">
  <autoFilter ref="A3673:G3674" xr:uid="{C491959E-2684-459C-B42A-E51824755D68}"/>
  <sortState xmlns:xlrd2="http://schemas.microsoft.com/office/spreadsheetml/2017/richdata2" ref="A3674:E3674">
    <sortCondition ref="A16:A17"/>
  </sortState>
  <tableColumns count="7">
    <tableColumn id="1" xr3:uid="{826299C3-E12C-420D-9B51-21DA7653CA02}" name="Time entry no."/>
    <tableColumn id="2" xr3:uid="{0BA89EE6-71F6-47EF-AA84-4B6807538268}" name="Start time" dataDxfId="463"/>
    <tableColumn id="3" xr3:uid="{533D3805-F32B-4C19-ACFD-5657738BCFE9}" name="End time" dataDxfId="462"/>
    <tableColumn id="4" xr3:uid="{022B3421-7EEC-45CB-8CD0-E0E191CC5250}" name="Time delta in h" dataDxfId="461">
      <calculatedColumnFormula>MAX((TimeEntries846856[[#This Row],[End time]]-TimeEntries846856[[#This Row],[Start time]])*24,0)</calculatedColumnFormula>
    </tableColumn>
    <tableColumn id="5" xr3:uid="{9ABD86CA-8E41-4C10-897B-823FCA696D2C}" name="Now?"/>
    <tableColumn id="6" xr3:uid="{4F8C10DE-637A-4055-9E33-154A529A2F2E}" name="Action1" dataDxfId="460" dataCellStyle="Hyperlink"/>
    <tableColumn id="7" xr3:uid="{B4AF3BA8-47DC-4A1F-A976-EE1FEB2E70E7}" name="Action2" dataDxfId="459" dataCellStyle="Hyperlink"/>
  </tableColumns>
  <tableStyleInfo name="TableStyleDark1" showFirstColumn="0" showLastColumn="0" showRowStripes="1" showColumnStripes="0"/>
</table>
</file>

<file path=xl/tables/table3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6" xr:uid="{CBFD62A4-767A-4FC3-BEDE-A3F10DC3DE73}" name="Tabelle7367847857" displayName="Tabelle7367847857" ref="I3673:M3680" totalsRowShown="0">
  <autoFilter ref="I3673:M3680" xr:uid="{8B4A14AF-8564-4312-9A1F-533046AEA10C}"/>
  <tableColumns count="5">
    <tableColumn id="1" xr3:uid="{BAD6F1C4-77AF-4031-8A9B-DA2127B0D720}" name="Comparison entry no."/>
    <tableColumn id="2" xr3:uid="{76CCF1F2-1E38-4C5F-9FEA-5831F91AF325}" name="Propability Support point" dataDxfId="458"/>
    <tableColumn id="3" xr3:uid="{A9893985-DE2C-4708-88EE-2338CB837B41}" name="EBS self time" dataDxfId="457"/>
    <tableColumn id="4" xr3:uid="{3F63B658-925F-4A5A-ADE9-DC49382ADEE6}" name="Total time">
      <calculatedColumnFormula>SUM(TimeEntries846856[Time delta in h])</calculatedColumnFormula>
    </tableColumn>
    <tableColumn id="5" xr3:uid="{23FEB076-E891-49CC-A665-9B4A527D0A17}" name="Total time / Your estimate" dataDxfId="456">
      <calculatedColumnFormula>Tabelle7367847857[[#This Row],[EBS self time]]/Tabelle7367847857[[#This Row],[Total time]]</calculatedColumnFormula>
    </tableColumn>
  </tableColumns>
  <tableStyleInfo name="TableStyleDark1" showFirstColumn="0" showLastColumn="0" showRowStripes="1" showColumnStripes="0"/>
</table>
</file>

<file path=xl/tables/table3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7" xr:uid="{8264C792-12F3-489C-A045-9C96EC4DA1A5}" name="TimeEntries848858" displayName="TimeEntries848858" ref="A3698:G3699" totalsRowShown="0">
  <autoFilter ref="A3698:G3699" xr:uid="{9E709340-9887-4C5E-8A9B-6EE058D1432B}"/>
  <sortState xmlns:xlrd2="http://schemas.microsoft.com/office/spreadsheetml/2017/richdata2" ref="A3699:E3699">
    <sortCondition ref="A16:A17"/>
  </sortState>
  <tableColumns count="7">
    <tableColumn id="1" xr3:uid="{45EB3ECC-3181-4F94-838D-215C25D36BD2}" name="Time entry no."/>
    <tableColumn id="2" xr3:uid="{5F2B5E4B-6F12-4F1A-9525-F20FC2337821}" name="Start time" dataDxfId="455"/>
    <tableColumn id="3" xr3:uid="{811D2797-C5DE-4FDC-A373-F3257BDA385E}" name="End time" dataDxfId="454"/>
    <tableColumn id="4" xr3:uid="{747EFF45-B1CE-4839-A05F-13234862FE1F}" name="Time delta in h" dataDxfId="453">
      <calculatedColumnFormula>MAX((TimeEntries848858[[#This Row],[End time]]-TimeEntries848858[[#This Row],[Start time]])*24,0)</calculatedColumnFormula>
    </tableColumn>
    <tableColumn id="5" xr3:uid="{0209C782-9E38-473E-8E48-9EB808388134}" name="Now?"/>
    <tableColumn id="6" xr3:uid="{26FCC481-0BB8-4A49-9409-BF5452BD34AD}" name="Action1" dataDxfId="452" dataCellStyle="Hyperlink"/>
    <tableColumn id="7" xr3:uid="{046DC505-A26C-49E5-B841-B67B9E6A0C4A}" name="Action2" dataDxfId="451" dataCellStyle="Hyperlink"/>
  </tableColumns>
  <tableStyleInfo name="TableStyleDark1" showFirstColumn="0" showLastColumn="0" showRowStripes="1" showColumnStripes="0"/>
</table>
</file>

<file path=xl/tables/table3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8" xr:uid="{F32A7BBF-2903-442E-8706-98286F7C00DA}" name="Tabelle7367849859" displayName="Tabelle7367849859" ref="I3698:M3699" totalsRowShown="0">
  <autoFilter ref="I3698:M3699" xr:uid="{2EC19046-FB9E-40F9-8135-9CE840439F72}"/>
  <tableColumns count="5">
    <tableColumn id="1" xr3:uid="{7E19E43E-D9D6-4AC0-9BF8-10B7CDDC22D7}" name="Comparison entry no."/>
    <tableColumn id="2" xr3:uid="{4553E46B-D74F-4B6E-A9E0-78C74FB95E71}" name="Propability Support point" dataDxfId="450"/>
    <tableColumn id="3" xr3:uid="{3DB0431B-098F-4899-AB19-903DF2E7C11E}" name="EBS self time" dataDxfId="449"/>
    <tableColumn id="4" xr3:uid="{39C063DF-F11B-4E16-BC9E-6D6EA2681EB4}" name="Total time">
      <calculatedColumnFormula>SUM(TimeEntries848858[Time delta in h])</calculatedColumnFormula>
    </tableColumn>
    <tableColumn id="5" xr3:uid="{89A14C04-05A8-494F-B34C-614A917EB962}" name="Total time / Your estimate" dataDxfId="448">
      <calculatedColumnFormula>Tabelle7367849859[[#This Row],[EBS self time]]/Tabelle7367849859[[#This Row],[Total time]]</calculatedColumnFormula>
    </tableColumn>
  </tableColumns>
  <tableStyleInfo name="TableStyleDark1" showFirstColumn="0" showLastColumn="0" showRowStripes="1" showColumnStripes="0"/>
</table>
</file>

<file path=xl/tables/table3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3" xr:uid="{306EF627-490B-46BD-B03E-6BD9A50986B0}" name="TimeEntries850860864874" displayName="TimeEntries850860864874" ref="A3718:G3719" totalsRowShown="0">
  <autoFilter ref="A3718:G3719" xr:uid="{C3C1B758-6073-43A9-B142-89342176BCF8}"/>
  <sortState xmlns:xlrd2="http://schemas.microsoft.com/office/spreadsheetml/2017/richdata2" ref="A3719:E3719">
    <sortCondition ref="A16:A17"/>
  </sortState>
  <tableColumns count="7">
    <tableColumn id="1" xr3:uid="{A00C44A5-A5AE-42AC-82BE-515F8FE3E0B0}" name="Time entry no."/>
    <tableColumn id="2" xr3:uid="{B187D6E2-9265-4F40-8655-BC2DD816EBD4}" name="Start time" dataDxfId="447"/>
    <tableColumn id="3" xr3:uid="{6E13A042-8044-4491-BAD5-729CEB622C18}" name="End time" dataDxfId="446"/>
    <tableColumn id="4" xr3:uid="{AFF78484-E144-42B5-B5DE-3AE00D626026}" name="Time delta in h" dataDxfId="445">
      <calculatedColumnFormula>MAX((TimeEntries850860864874[[#This Row],[End time]]-TimeEntries850860864874[[#This Row],[Start time]])*24,0)</calculatedColumnFormula>
    </tableColumn>
    <tableColumn id="5" xr3:uid="{C2CBA0F6-A88C-4B1A-B885-CE11ABD24DEC}" name="Now?"/>
    <tableColumn id="6" xr3:uid="{AB200FCA-2D88-48F5-9AF2-E5A69DA7F837}" name="Action1" dataDxfId="444" dataCellStyle="Hyperlink"/>
    <tableColumn id="7" xr3:uid="{3BD86582-642F-4AFF-AE8C-AF4345241863}" name="Action2" dataDxfId="443" dataCellStyle="Hyperlink"/>
  </tableColumns>
  <tableStyleInfo name="TableStyleDark1" showFirstColumn="0" showLastColumn="0" showRowStripes="1" showColumnStripes="0"/>
</table>
</file>

<file path=xl/tables/table3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4" xr:uid="{7198291F-AAB3-470D-BA42-7C4BA9DC2106}" name="Tabelle7367851861865875" displayName="Tabelle7367851861865875" ref="I3718:M3725" totalsRowShown="0">
  <autoFilter ref="I3718:M3725" xr:uid="{C8E1EF01-12DE-4AE0-AA01-C72EB7112273}"/>
  <tableColumns count="5">
    <tableColumn id="1" xr3:uid="{330ADA51-1A1B-4826-AD1F-B0BA7C0FAD67}" name="Comparison entry no."/>
    <tableColumn id="2" xr3:uid="{5C2EC410-9615-4C82-8DF3-7D5698A6B009}" name="Propability Support point" dataDxfId="442"/>
    <tableColumn id="3" xr3:uid="{9B3597CC-DB6C-4382-8094-241B0BBFB634}" name="EBS self time" dataDxfId="441"/>
    <tableColumn id="4" xr3:uid="{51837816-3B95-4BBD-A969-16C451C77E7B}" name="Total time">
      <calculatedColumnFormula>SUM(TimeEntries850860864874[Time delta in h])</calculatedColumnFormula>
    </tableColumn>
    <tableColumn id="5" xr3:uid="{6A76D6D0-5BEB-446B-8B91-4BEF944FA109}" name="Total time / Your estimate" dataDxfId="440">
      <calculatedColumnFormula>Tabelle7367851861865875[[#This Row],[EBS self time]]/Tabelle7367851861865875[[#This Row],[Total time]]</calculatedColumnFormula>
    </tableColumn>
  </tableColumns>
  <tableStyleInfo name="TableStyleDark1" showFirstColumn="0" showLastColumn="0" showRowStripes="1" showColumnStripes="0"/>
</table>
</file>

<file path=xl/tables/table3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5" xr:uid="{B3A97A47-699D-443E-9C24-3C3F817E5F88}" name="TimeEntries866876" displayName="TimeEntries866876" ref="A3743:G3744" totalsRowShown="0">
  <autoFilter ref="A3743:G3744" xr:uid="{016F22CB-EB79-42ED-9833-393E6AE12040}"/>
  <sortState xmlns:xlrd2="http://schemas.microsoft.com/office/spreadsheetml/2017/richdata2" ref="A3744:E3744">
    <sortCondition ref="A16:A17"/>
  </sortState>
  <tableColumns count="7">
    <tableColumn id="1" xr3:uid="{6B7B76B5-8C25-4ECA-ABC3-49A14D12433D}" name="Time entry no."/>
    <tableColumn id="2" xr3:uid="{BD7479A4-8BFA-4E31-84C8-7098F4733BD9}" name="Start time" dataDxfId="439"/>
    <tableColumn id="3" xr3:uid="{58283642-E29C-4E76-A12A-150893B90D34}" name="End time" dataDxfId="438"/>
    <tableColumn id="4" xr3:uid="{84C61682-767E-4746-9434-C09F35F917F7}" name="Time delta in h" dataDxfId="437">
      <calculatedColumnFormula>MAX((TimeEntries866876[[#This Row],[End time]]-TimeEntries866876[[#This Row],[Start time]])*24,0)</calculatedColumnFormula>
    </tableColumn>
    <tableColumn id="5" xr3:uid="{B78C6F30-3F55-4D00-ADED-B61007C53BAB}" name="Now?"/>
    <tableColumn id="6" xr3:uid="{38EDEF2E-A8F5-4E30-ABE4-23AD30852462}" name="Action1" dataDxfId="436" dataCellStyle="Hyperlink"/>
    <tableColumn id="7" xr3:uid="{6756A957-7BDB-487E-BD81-369BE29A4142}" name="Action2" dataDxfId="435" dataCellStyle="Hyperlink"/>
  </tableColumns>
  <tableStyleInfo name="TableStyleDark1" showFirstColumn="0" showLastColumn="0" showRowStripes="1" showColumnStripes="0"/>
</table>
</file>

<file path=xl/tables/table3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6" xr:uid="{4012430D-4A35-4CA2-98E0-F8AC0C0E9730}" name="Tabelle7367867877" displayName="Tabelle7367867877" ref="I3743:M3750" totalsRowShown="0">
  <autoFilter ref="I3743:M3750" xr:uid="{68201531-6C60-4A93-99FE-AA052F2634D7}"/>
  <tableColumns count="5">
    <tableColumn id="1" xr3:uid="{47A2AF1A-91A6-46E0-BBDF-52D1FFF63B3C}" name="Comparison entry no."/>
    <tableColumn id="2" xr3:uid="{696E9E18-304F-4914-B66B-EC1DD1BE9D31}" name="Propability Support point" dataDxfId="434"/>
    <tableColumn id="3" xr3:uid="{22BB43D8-D253-436A-9B17-891BB6E652C2}" name="EBS self time" dataDxfId="433"/>
    <tableColumn id="4" xr3:uid="{35E5FF9E-1046-476F-87D0-0F4BBB62A593}" name="Total time">
      <calculatedColumnFormula>SUM(TimeEntries866876[Time delta in h])</calculatedColumnFormula>
    </tableColumn>
    <tableColumn id="5" xr3:uid="{811449EB-275F-45EE-AA3F-5BD7E14D61CA}" name="Total time / Your estimate" dataDxfId="432">
      <calculatedColumnFormula>Tabelle7367867877[[#This Row],[EBS self time]]/Tabelle7367867877[[#This Row],[Total time]]</calculatedColumnFormula>
    </tableColumn>
  </tableColumns>
  <tableStyleInfo name="TableStyleDark1" showFirstColumn="0" showLastColumn="0" showRowStripes="1" showColumnStripes="0"/>
</table>
</file>

<file path=xl/tables/table3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7" xr:uid="{68E7C8A4-4374-43C1-8B88-FFE06C566B60}" name="TimeEntries868878" displayName="TimeEntries868878" ref="A3768:G3769" totalsRowShown="0">
  <autoFilter ref="A3768:G3769" xr:uid="{CC855DA4-3CB1-4993-AF9E-9F0FF41ACAD8}"/>
  <sortState xmlns:xlrd2="http://schemas.microsoft.com/office/spreadsheetml/2017/richdata2" ref="A3769:E3769">
    <sortCondition ref="A16:A17"/>
  </sortState>
  <tableColumns count="7">
    <tableColumn id="1" xr3:uid="{93E46A92-7DFE-4889-A5B6-5E346FA7EDD1}" name="Time entry no."/>
    <tableColumn id="2" xr3:uid="{2A1335CE-EBB4-47D8-B1A9-532B287DC9EC}" name="Start time" dataDxfId="431"/>
    <tableColumn id="3" xr3:uid="{3BFB1BC1-52D7-4FF8-98BE-D197C0A5F2B5}" name="End time" dataDxfId="430"/>
    <tableColumn id="4" xr3:uid="{EA384F40-044D-4D88-AB2E-DF350887C17F}" name="Time delta in h" dataDxfId="429">
      <calculatedColumnFormula>MAX((TimeEntries868878[[#This Row],[End time]]-TimeEntries868878[[#This Row],[Start time]])*24,0)</calculatedColumnFormula>
    </tableColumn>
    <tableColumn id="5" xr3:uid="{B228E70D-45BB-4628-BDC0-981BD060DADF}" name="Now?"/>
    <tableColumn id="6" xr3:uid="{4849EF8D-8C8B-4379-A0D7-38A953CEB37D}" name="Action1" dataDxfId="428" dataCellStyle="Hyperlink"/>
    <tableColumn id="7" xr3:uid="{E1F907D1-EF2E-43FC-9BFE-FC12BA4C0E87}" name="Action2" dataDxfId="427" dataCellStyle="Hyperlink"/>
  </tableColumns>
  <tableStyleInfo name="TableStyleDark1" showFirstColumn="0" showLastColumn="0" showRowStripes="1" showColumnStripes="0"/>
</table>
</file>

<file path=xl/tables/table3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8" xr:uid="{E183E905-759F-42F7-9C1D-D7FB5A8D4381}" name="Tabelle7367869879" displayName="Tabelle7367869879" ref="I3768:M3769" totalsRowShown="0">
  <autoFilter ref="I3768:M3769" xr:uid="{CF852BAD-8A07-426B-AFE8-390F1C9510E9}"/>
  <tableColumns count="5">
    <tableColumn id="1" xr3:uid="{326D375E-D249-4692-83A2-F5D30F5ECFF0}" name="Comparison entry no."/>
    <tableColumn id="2" xr3:uid="{D9B47371-292D-4F60-9299-327AAFC8314F}" name="Propability Support point" dataDxfId="426"/>
    <tableColumn id="3" xr3:uid="{3909A156-BC3C-408D-9D5F-D0AAD84BA33F}" name="EBS self time" dataDxfId="425"/>
    <tableColumn id="4" xr3:uid="{3DB7833E-97E5-479F-9F60-20FAB94FE05F}" name="Total time">
      <calculatedColumnFormula>SUM(TimeEntries868878[Time delta in h])</calculatedColumnFormula>
    </tableColumn>
    <tableColumn id="5" xr3:uid="{29B72AF6-0452-4875-8233-EE0816591193}" name="Total time / Your estimate" dataDxfId="424">
      <calculatedColumnFormula>Tabelle7367869879[[#This Row],[EBS self time]]/Tabelle7367869879[[#This Row],[Total time]]</calculatedColumnFormula>
    </tableColumn>
  </tableColumns>
  <tableStyleInfo name="TableStyleDark1" showFirstColumn="0" showLastColumn="0" showRowStripes="1" showColumnStripes="0"/>
</table>
</file>

<file path=xl/tables/table3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9" xr:uid="{38B9BE62-91E7-4793-89CA-0D8B2DE5FDAD}" name="TimeEntries870880" displayName="TimeEntries870880" ref="A3788:G3789" totalsRowShown="0">
  <autoFilter ref="A3788:G3789" xr:uid="{D187EC46-912F-4744-9064-4125E9D53EDA}"/>
  <sortState xmlns:xlrd2="http://schemas.microsoft.com/office/spreadsheetml/2017/richdata2" ref="A3789:E3789">
    <sortCondition ref="A16:A17"/>
  </sortState>
  <tableColumns count="7">
    <tableColumn id="1" xr3:uid="{0D8A9558-2A8F-4C20-BE58-3F3E58AC5AD4}" name="Time entry no."/>
    <tableColumn id="2" xr3:uid="{8835413E-1219-40F7-972B-C01E86B95B0A}" name="Start time" dataDxfId="423"/>
    <tableColumn id="3" xr3:uid="{FD203F7A-DD87-4774-BA26-D58AF3C780D1}" name="End time" dataDxfId="422"/>
    <tableColumn id="4" xr3:uid="{35213AFE-9BF7-4465-9620-4170F123B6F9}" name="Time delta in h" dataDxfId="421">
      <calculatedColumnFormula>MAX((TimeEntries870880[[#This Row],[End time]]-TimeEntries870880[[#This Row],[Start time]])*24,0)</calculatedColumnFormula>
    </tableColumn>
    <tableColumn id="5" xr3:uid="{907F087E-FC06-499A-A02C-91A7D7284FA0}" name="Now?"/>
    <tableColumn id="6" xr3:uid="{6CD1A3BB-084B-4458-AABF-5CAD7E5625AB}" name="Action1" dataDxfId="420" dataCellStyle="Hyperlink"/>
    <tableColumn id="7" xr3:uid="{C5848C70-59BD-4815-932F-43AEEBE2CED3}" name="Action2" dataDxfId="419" dataCellStyle="Hyperlink"/>
  </tableColumns>
  <tableStyleInfo name="TableStyleDark1" showFirstColumn="0" showLastColumn="0" showRowStripes="1" showColumnStripes="0"/>
</table>
</file>

<file path=xl/tables/table3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0" xr:uid="{3C7FFDDA-1093-4EFD-A754-8DF02ABF171B}" name="Tabelle7367871881" displayName="Tabelle7367871881" ref="I3788:M3795" totalsRowShown="0">
  <autoFilter ref="I3788:M3795" xr:uid="{E2E38E66-3620-4A16-AFAF-CDD6CAA2551D}"/>
  <tableColumns count="5">
    <tableColumn id="1" xr3:uid="{1FB62513-14E8-4C37-AD1B-2B19091AEFB2}" name="Comparison entry no."/>
    <tableColumn id="2" xr3:uid="{9EFE8A9E-6968-4DED-9022-5FBB7E21FAB4}" name="Propability Support point" dataDxfId="418"/>
    <tableColumn id="3" xr3:uid="{5CB3E698-C7C9-4E8E-A4A8-DFE517F45D44}" name="EBS self time" dataDxfId="417"/>
    <tableColumn id="4" xr3:uid="{E52D45A9-0B73-44B9-97DF-7C880B6E5248}" name="Total time">
      <calculatedColumnFormula>SUM(TimeEntries870880[Time delta in h])</calculatedColumnFormula>
    </tableColumn>
    <tableColumn id="5" xr3:uid="{693249B9-54F7-4578-930F-2D4A5A4DC69E}" name="Total time / Your estimate" dataDxfId="416">
      <calculatedColumnFormula>Tabelle7367871881[[#This Row],[EBS self time]]/Tabelle7367871881[[#This Row],[Total time]]</calculatedColumnFormula>
    </tableColumn>
  </tableColumns>
  <tableStyleInfo name="TableStyleDark1" showFirstColumn="0" showLastColumn="0" showRowStripes="1" showColumnStripes="0"/>
</table>
</file>

<file path=xl/tables/table3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5" xr:uid="{D6A17CD9-D332-40EC-8449-7E48A6ED1C64}" name="TimeEntries872882886896" displayName="TimeEntries872882886896" ref="A3813:G3814" totalsRowShown="0">
  <autoFilter ref="A3813:G3814" xr:uid="{D00EDF7A-93BE-4DA4-A389-1CB8679C5D1A}"/>
  <sortState xmlns:xlrd2="http://schemas.microsoft.com/office/spreadsheetml/2017/richdata2" ref="A3814:E3814">
    <sortCondition ref="A16:A17"/>
  </sortState>
  <tableColumns count="7">
    <tableColumn id="1" xr3:uid="{28E7303C-717F-49B9-855A-4054E1A5A418}" name="Time entry no."/>
    <tableColumn id="2" xr3:uid="{BB7A6CA6-A310-4EA7-80E9-52A7C28FA202}" name="Start time" dataDxfId="415"/>
    <tableColumn id="3" xr3:uid="{C50AE51E-5FD2-44DA-8071-14F0289FCEB1}" name="End time" dataDxfId="414"/>
    <tableColumn id="4" xr3:uid="{D013616F-7299-4332-BF8E-46DFBD6975CF}" name="Time delta in h" dataDxfId="413">
      <calculatedColumnFormula>MAX((TimeEntries872882886896[[#This Row],[End time]]-TimeEntries872882886896[[#This Row],[Start time]])*24,0)</calculatedColumnFormula>
    </tableColumn>
    <tableColumn id="5" xr3:uid="{18372F9F-C9C0-4E30-B778-2E1936785C89}" name="Now?"/>
    <tableColumn id="6" xr3:uid="{18FF3188-4284-44A1-91A1-A85920D3EC4D}" name="Action1" dataDxfId="412" dataCellStyle="Hyperlink"/>
    <tableColumn id="7" xr3:uid="{AED64C8B-EC29-45A7-A7E2-1BBC15F5831B}" name="Action2" dataDxfId="411" dataCellStyle="Hyperlink"/>
  </tableColumns>
  <tableStyleInfo name="TableStyleDark1" showFirstColumn="0" showLastColumn="0" showRowStripes="1" showColumnStripes="0"/>
</table>
</file>

<file path=xl/tables/table3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6" xr:uid="{F4FA4B34-6898-45C1-8534-4292ADAE81AB}" name="Tabelle7367873883887897" displayName="Tabelle7367873883887897" ref="I3813:M3820" totalsRowShown="0">
  <autoFilter ref="I3813:M3820" xr:uid="{CB096A59-DD45-4A29-8B55-356BB77FCD0F}"/>
  <tableColumns count="5">
    <tableColumn id="1" xr3:uid="{E128B6B5-672A-405E-89C2-440D7C87EE60}" name="Comparison entry no."/>
    <tableColumn id="2" xr3:uid="{C4609F04-DC49-4987-88FD-AD2A3033CD6B}" name="Propability Support point" dataDxfId="410"/>
    <tableColumn id="3" xr3:uid="{23B95771-EB22-48BB-88BE-8C9F5BE3112C}" name="EBS self time" dataDxfId="409"/>
    <tableColumn id="4" xr3:uid="{EBA9FCEF-4E21-4F21-8B61-81C94B640234}" name="Total time">
      <calculatedColumnFormula>SUM(TimeEntries872882886896[Time delta in h])</calculatedColumnFormula>
    </tableColumn>
    <tableColumn id="5" xr3:uid="{1AA43EF5-737F-43F5-892B-3460504E432B}" name="Total time / Your estimate" dataDxfId="408">
      <calculatedColumnFormula>Tabelle7367873883887897[[#This Row],[EBS self time]]/Tabelle7367873883887897[[#This Row],[Total time]]</calculatedColumnFormula>
    </tableColumn>
  </tableColumns>
  <tableStyleInfo name="TableStyleDark1" showFirstColumn="0" showLastColumn="0" showRowStripes="1" showColumnStripes="0"/>
</table>
</file>

<file path=xl/tables/table3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7" xr:uid="{DB8F07CA-5AD5-4128-A920-2D53101EA404}" name="TimeEntries888898" displayName="TimeEntries888898" ref="A3838:G3839" totalsRowShown="0">
  <autoFilter ref="A3838:G3839" xr:uid="{474CC5D5-C442-454C-A34A-04542DB2F928}"/>
  <sortState xmlns:xlrd2="http://schemas.microsoft.com/office/spreadsheetml/2017/richdata2" ref="A3839:E3839">
    <sortCondition ref="A16:A17"/>
  </sortState>
  <tableColumns count="7">
    <tableColumn id="1" xr3:uid="{490488DC-EBFE-4649-8458-46FB01CA031A}" name="Time entry no."/>
    <tableColumn id="2" xr3:uid="{C5B6510E-1650-4FBA-B2CD-762630C815C5}" name="Start time" dataDxfId="407"/>
    <tableColumn id="3" xr3:uid="{A0012B22-64CC-4EC9-ACD9-491A6DFD4F70}" name="End time" dataDxfId="406"/>
    <tableColumn id="4" xr3:uid="{EAFE0EB4-A5B7-41F1-833E-297E225B69F0}" name="Time delta in h" dataDxfId="405">
      <calculatedColumnFormula>MAX((TimeEntries888898[[#This Row],[End time]]-TimeEntries888898[[#This Row],[Start time]])*24,0)</calculatedColumnFormula>
    </tableColumn>
    <tableColumn id="5" xr3:uid="{DDED5F4B-3D6B-4227-8D8C-7572EA8D9DD2}" name="Now?"/>
    <tableColumn id="6" xr3:uid="{4BB275C2-1467-41FB-AE8A-BEEC7B531A0F}" name="Action1" dataDxfId="404" dataCellStyle="Hyperlink"/>
    <tableColumn id="7" xr3:uid="{9225EFAE-DB9E-4E8B-9BF0-1DC5D81103CB}" name="Action2" dataDxfId="403" dataCellStyle="Hyperlink"/>
  </tableColumns>
  <tableStyleInfo name="TableStyleDark1" showFirstColumn="0" showLastColumn="0" showRowStripes="1" showColumnStripes="0"/>
</table>
</file>

<file path=xl/tables/table3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8" xr:uid="{BC8A267D-9907-43AA-ABFD-9D89F6E7727A}" name="Tabelle7367889899" displayName="Tabelle7367889899" ref="I3838:M3845" totalsRowShown="0">
  <autoFilter ref="I3838:M3845" xr:uid="{0B23D7BC-BFD4-43C0-B845-A6174CCF4E1A}"/>
  <tableColumns count="5">
    <tableColumn id="1" xr3:uid="{D39611B9-04BD-4A3F-B14A-FC997E122B42}" name="Comparison entry no."/>
    <tableColumn id="2" xr3:uid="{C5DF98F1-F41E-428B-BB7A-C20592EE3509}" name="Propability Support point" dataDxfId="402"/>
    <tableColumn id="3" xr3:uid="{7798D789-002F-422D-BE33-5556EF2CD077}" name="EBS self time" dataDxfId="401"/>
    <tableColumn id="4" xr3:uid="{BAF98587-79A0-44FC-A75F-DDE97C3AE9FA}" name="Total time">
      <calculatedColumnFormula>SUM(TimeEntries888898[Time delta in h])</calculatedColumnFormula>
    </tableColumn>
    <tableColumn id="5" xr3:uid="{1909DEB4-D617-418E-B7E4-54FF9446BB75}" name="Total time / Your estimate" dataDxfId="400">
      <calculatedColumnFormula>Tabelle7367889899[[#This Row],[EBS self time]]/Tabelle7367889899[[#This Row],[Total time]]</calculatedColumnFormula>
    </tableColumn>
  </tableColumns>
  <tableStyleInfo name="TableStyleDark1" showFirstColumn="0" showLastColumn="0" showRowStripes="1" showColumnStripes="0"/>
</table>
</file>

<file path=xl/tables/table3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9" xr:uid="{FAC9B05C-D09C-40D3-B2BC-2F15439676F7}" name="TimeEntries890900" displayName="TimeEntries890900" ref="A3863:G3864" totalsRowShown="0">
  <autoFilter ref="A3863:G3864" xr:uid="{DED73AC6-DA3E-4045-A4E8-17AC86D68C97}"/>
  <sortState xmlns:xlrd2="http://schemas.microsoft.com/office/spreadsheetml/2017/richdata2" ref="A3864:E3864">
    <sortCondition ref="A16:A17"/>
  </sortState>
  <tableColumns count="7">
    <tableColumn id="1" xr3:uid="{3ECC9BCE-909D-43FF-B08E-245057A48A60}" name="Time entry no."/>
    <tableColumn id="2" xr3:uid="{812288C4-2A11-4A62-9E78-2105401BAE45}" name="Start time" dataDxfId="399"/>
    <tableColumn id="3" xr3:uid="{E1A28550-423E-4C26-AACC-0C3FAA1739DA}" name="End time" dataDxfId="398"/>
    <tableColumn id="4" xr3:uid="{26FE9E7D-9EA7-468C-8DD4-AFAF38893421}" name="Time delta in h" dataDxfId="397">
      <calculatedColumnFormula>MAX((TimeEntries890900[[#This Row],[End time]]-TimeEntries890900[[#This Row],[Start time]])*24,0)</calculatedColumnFormula>
    </tableColumn>
    <tableColumn id="5" xr3:uid="{77B59180-15E6-4B28-ACDF-A3DEE4044CC2}" name="Now?"/>
    <tableColumn id="6" xr3:uid="{B8D2A5A0-2E62-47EF-93EC-278DF3BA833E}" name="Action1" dataDxfId="396" dataCellStyle="Hyperlink"/>
    <tableColumn id="7" xr3:uid="{398D825B-CCF1-4455-9730-AFF9D2EE9C0D}" name="Action2" dataDxfId="395" dataCellStyle="Hyperlink"/>
  </tableColumns>
  <tableStyleInfo name="TableStyleDark1" showFirstColumn="0" showLastColumn="0" showRowStripes="1" showColumnStripes="0"/>
</table>
</file>

<file path=xl/tables/table3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0" xr:uid="{169B4C82-538B-44A0-A05D-6904D6C06583}" name="Tabelle7367891901" displayName="Tabelle7367891901" ref="I3863:M3864" totalsRowShown="0">
  <autoFilter ref="I3863:M3864" xr:uid="{8C696CB9-13C1-4AAF-97C6-09E0644BDAA4}"/>
  <tableColumns count="5">
    <tableColumn id="1" xr3:uid="{F5891032-C2A2-414F-925B-531AA15E9802}" name="Comparison entry no."/>
    <tableColumn id="2" xr3:uid="{87B732FD-4D1D-4746-93DE-3AB1AAE13E1C}" name="Propability Support point" dataDxfId="394"/>
    <tableColumn id="3" xr3:uid="{ABCF7ECC-741A-455F-BE9E-30CA60BE1404}" name="EBS self time" dataDxfId="393"/>
    <tableColumn id="4" xr3:uid="{4079D152-FB42-44F0-9CBF-402F573EF39E}" name="Total time">
      <calculatedColumnFormula>SUM(TimeEntries890900[Time delta in h])</calculatedColumnFormula>
    </tableColumn>
    <tableColumn id="5" xr3:uid="{35B818EE-C6CA-4BC8-A29B-D994D583C67B}" name="Total time / Your estimate" dataDxfId="392">
      <calculatedColumnFormula>Tabelle7367891901[[#This Row],[EBS self time]]/Tabelle7367891901[[#This Row],[Total time]]</calculatedColumnFormula>
    </tableColumn>
  </tableColumns>
  <tableStyleInfo name="TableStyleDark1" showFirstColumn="0" showLastColumn="0" showRowStripes="1" showColumnStripes="0"/>
</table>
</file>

<file path=xl/tables/table3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1" xr:uid="{59652D38-4671-4CFD-868E-2499DC09D842}" name="TimeEntries892902" displayName="TimeEntries892902" ref="A3883:G3884" totalsRowShown="0">
  <autoFilter ref="A3883:G3884" xr:uid="{AE82B814-109F-4DD6-87B4-4F8EC77548D8}"/>
  <sortState xmlns:xlrd2="http://schemas.microsoft.com/office/spreadsheetml/2017/richdata2" ref="A3884:E3884">
    <sortCondition ref="A16:A17"/>
  </sortState>
  <tableColumns count="7">
    <tableColumn id="1" xr3:uid="{C64B34E0-3F0B-4212-97FF-1E3E49520DEC}" name="Time entry no."/>
    <tableColumn id="2" xr3:uid="{99B9C18C-43A4-4469-BB5B-3DE6E9E28D7C}" name="Start time" dataDxfId="391"/>
    <tableColumn id="3" xr3:uid="{E0E219E3-5A5D-4F25-8585-2177E51D8FE7}" name="End time" dataDxfId="390"/>
    <tableColumn id="4" xr3:uid="{023A4D9C-21F0-4178-B9C8-AED5AE2B9EA5}" name="Time delta in h" dataDxfId="389">
      <calculatedColumnFormula>MAX((TimeEntries892902[[#This Row],[End time]]-TimeEntries892902[[#This Row],[Start time]])*24,0)</calculatedColumnFormula>
    </tableColumn>
    <tableColumn id="5" xr3:uid="{4D9BF9D1-FDBF-45C5-8BE3-182E086763BD}" name="Now?"/>
    <tableColumn id="6" xr3:uid="{FCAEA357-FF4A-4E03-849D-1A6A1CD63A0A}" name="Action1" dataDxfId="388" dataCellStyle="Hyperlink"/>
    <tableColumn id="7" xr3:uid="{74FF0384-0726-4FFC-B787-9000F5B463E2}" name="Action2" dataDxfId="387" dataCellStyle="Hyperlink"/>
  </tableColumns>
  <tableStyleInfo name="TableStyleDark1" showFirstColumn="0" showLastColumn="0" showRowStripes="1" showColumnStripes="0"/>
</table>
</file>

<file path=xl/tables/table3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2" xr:uid="{C2C5CACA-6FC9-4C7F-9E14-C43AE47F2ED2}" name="Tabelle7367893903" displayName="Tabelle7367893903" ref="I3883:M3890" totalsRowShown="0">
  <autoFilter ref="I3883:M3890" xr:uid="{024AA418-FE90-4429-9CD6-07E3F0C879EA}"/>
  <tableColumns count="5">
    <tableColumn id="1" xr3:uid="{2CB171D5-36DD-448E-B4F2-85DB30713B8A}" name="Comparison entry no."/>
    <tableColumn id="2" xr3:uid="{DA26825D-1376-4967-8183-0D73B32BBEFC}" name="Propability Support point" dataDxfId="386"/>
    <tableColumn id="3" xr3:uid="{C7EDAC4A-2150-4C44-9D90-7A15C46BCF93}" name="EBS self time" dataDxfId="385"/>
    <tableColumn id="4" xr3:uid="{724FC5C3-068E-4FEC-9986-F6983804A578}" name="Total time">
      <calculatedColumnFormula>SUM(TimeEntries892902[Time delta in h])</calculatedColumnFormula>
    </tableColumn>
    <tableColumn id="5" xr3:uid="{7C8E140F-6C7D-42EC-A04F-5D626B188B40}" name="Total time / Your estimate" dataDxfId="384">
      <calculatedColumnFormula>Tabelle7367893903[[#This Row],[EBS self time]]/Tabelle7367893903[[#This Row],[Total time]]</calculatedColumnFormula>
    </tableColumn>
  </tableColumns>
  <tableStyleInfo name="TableStyleDark1" showFirstColumn="0" showLastColumn="0" showRowStripes="1" showColumnStripes="0"/>
</table>
</file>

<file path=xl/tables/table3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7" xr:uid="{A8FFD71E-B335-4E1C-8065-F21E678604F8}" name="TimeEntries894904908918" displayName="TimeEntries894904908918" ref="A3908:G3909" totalsRowShown="0">
  <autoFilter ref="A3908:G3909" xr:uid="{B4FC38CE-0C59-43C7-802E-86248304C6A8}"/>
  <sortState xmlns:xlrd2="http://schemas.microsoft.com/office/spreadsheetml/2017/richdata2" ref="A3909:E3909">
    <sortCondition ref="A16:A17"/>
  </sortState>
  <tableColumns count="7">
    <tableColumn id="1" xr3:uid="{E04B1356-B0A3-4ADD-BD52-ED9743D247D2}" name="Time entry no."/>
    <tableColumn id="2" xr3:uid="{D13FE9FD-7C1B-4D5D-A592-8AAA82C795AC}" name="Start time" dataDxfId="383"/>
    <tableColumn id="3" xr3:uid="{617F7190-A274-464A-B08A-D226C10ED9CD}" name="End time" dataDxfId="382"/>
    <tableColumn id="4" xr3:uid="{F4E67E85-69B9-4D0A-8F4A-5ED63B79D360}" name="Time delta in h" dataDxfId="381">
      <calculatedColumnFormula>MAX((TimeEntries894904908918[[#This Row],[End time]]-TimeEntries894904908918[[#This Row],[Start time]])*24,0)</calculatedColumnFormula>
    </tableColumn>
    <tableColumn id="5" xr3:uid="{FCEA6475-E123-4DE3-9EFC-6EB473E23CE5}" name="Now?"/>
    <tableColumn id="6" xr3:uid="{4E4060FA-D71F-4348-A250-437C7624BB92}" name="Action1" dataDxfId="380" dataCellStyle="Hyperlink"/>
    <tableColumn id="7" xr3:uid="{A24863F0-65EE-465A-8CD9-26C38FE91809}" name="Action2" dataDxfId="379" dataCellStyle="Hyperlink"/>
  </tableColumns>
  <tableStyleInfo name="TableStyleDark1" showFirstColumn="0" showLastColumn="0" showRowStripes="1" showColumnStripes="0"/>
</table>
</file>

<file path=xl/tables/table3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8" xr:uid="{D97A3173-5C19-4F0B-AEA8-ADE853FB2BB4}" name="Tabelle7367895905909919" displayName="Tabelle7367895905909919" ref="I3908:M3909" totalsRowShown="0">
  <autoFilter ref="I3908:M3909" xr:uid="{00180AC5-647F-4EED-B9C1-5852A56EAE53}"/>
  <tableColumns count="5">
    <tableColumn id="1" xr3:uid="{868E0357-EF15-4DA0-86C4-9FF50455BAB5}" name="Comparison entry no."/>
    <tableColumn id="2" xr3:uid="{AA9DE230-6E07-40C8-89D6-538C2E1BC800}" name="Propability Support point" dataDxfId="378"/>
    <tableColumn id="3" xr3:uid="{02CC2E05-3C64-4CE9-AA04-FE14D9A105A5}" name="EBS self time" dataDxfId="377"/>
    <tableColumn id="4" xr3:uid="{9669B502-B768-4DEE-9FA0-FFE9D919EE58}" name="Total time">
      <calculatedColumnFormula>SUM(TimeEntries894904908918[Time delta in h])</calculatedColumnFormula>
    </tableColumn>
    <tableColumn id="5" xr3:uid="{94BBE36B-DA87-4800-A2BC-1C7031558042}" name="Total time / Your estimate" dataDxfId="376">
      <calculatedColumnFormula>Tabelle7367895905909919[[#This Row],[EBS self time]]/Tabelle7367895905909919[[#This Row],[Total time]]</calculatedColumnFormula>
    </tableColumn>
  </tableColumns>
  <tableStyleInfo name="TableStyleDark1" showFirstColumn="0" showLastColumn="0" showRowStripes="1" showColumnStripes="0"/>
</table>
</file>

<file path=xl/tables/table3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9" xr:uid="{32F65C76-61A0-413E-A3E4-EA0F8ADC647B}" name="TimeEntries910920" displayName="TimeEntries910920" ref="A3928:G3929" totalsRowShown="0">
  <autoFilter ref="A3928:G3929" xr:uid="{668E777E-2252-4837-8457-D1D372072979}"/>
  <sortState xmlns:xlrd2="http://schemas.microsoft.com/office/spreadsheetml/2017/richdata2" ref="A3929:E3929">
    <sortCondition ref="A16:A17"/>
  </sortState>
  <tableColumns count="7">
    <tableColumn id="1" xr3:uid="{8CEBA0AA-D7E0-44CC-A19A-51A5F705B505}" name="Time entry no."/>
    <tableColumn id="2" xr3:uid="{87A796CC-A840-4796-85B6-4E4AF031AB6C}" name="Start time" dataDxfId="375"/>
    <tableColumn id="3" xr3:uid="{CBA7E3B7-2056-474D-A3C1-54A91469BD57}" name="End time" dataDxfId="374"/>
    <tableColumn id="4" xr3:uid="{9D5ACB75-D096-4397-89C9-7F41892C6815}" name="Time delta in h" dataDxfId="373">
      <calculatedColumnFormula>MAX((TimeEntries910920[[#This Row],[End time]]-TimeEntries910920[[#This Row],[Start time]])*24,0)</calculatedColumnFormula>
    </tableColumn>
    <tableColumn id="5" xr3:uid="{467EB6F6-FD48-4DC2-8B7B-CC8086F7613C}" name="Now?"/>
    <tableColumn id="6" xr3:uid="{C8532C84-F4C1-491F-9EF5-6E2991FCC792}" name="Action1" dataDxfId="372" dataCellStyle="Hyperlink"/>
    <tableColumn id="7" xr3:uid="{AD7399D1-F660-4056-B350-7E581A546F1A}" name="Action2" dataDxfId="371" dataCellStyle="Hyperlink"/>
  </tableColumns>
  <tableStyleInfo name="TableStyleDark1" showFirstColumn="0" showLastColumn="0" showRowStripes="1" showColumnStripes="0"/>
</table>
</file>

<file path=xl/tables/table3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0" xr:uid="{B5577CDC-6BFB-4C58-BD65-B17964EB6240}" name="Tabelle7367911921" displayName="Tabelle7367911921" ref="I3928:M3935" totalsRowShown="0">
  <autoFilter ref="I3928:M3935" xr:uid="{F7C74351-B4F1-4D13-8E53-88B1B3B91AA2}"/>
  <tableColumns count="5">
    <tableColumn id="1" xr3:uid="{C1B839EA-503E-466B-9386-195E46751B2E}" name="Comparison entry no."/>
    <tableColumn id="2" xr3:uid="{8580424E-DC42-449D-9E63-3AB7F6537AAE}" name="Propability Support point" dataDxfId="370"/>
    <tableColumn id="3" xr3:uid="{DEEC87E4-54F6-447A-A832-5D521A9271B1}" name="EBS self time" dataDxfId="369"/>
    <tableColumn id="4" xr3:uid="{23812E1D-A515-4583-B73B-98A20F011EA4}" name="Total time">
      <calculatedColumnFormula>SUM(TimeEntries910920[Time delta in h])</calculatedColumnFormula>
    </tableColumn>
    <tableColumn id="5" xr3:uid="{15C40B2D-F11A-4929-AD40-D52D0BD0A410}" name="Total time / Your estimate" dataDxfId="368">
      <calculatedColumnFormula>Tabelle7367911921[[#This Row],[EBS self time]]/Tabelle7367911921[[#This Row],[Total time]]</calculatedColumnFormula>
    </tableColumn>
  </tableColumns>
  <tableStyleInfo name="TableStyleDark1" showFirstColumn="0" showLastColumn="0" showRowStripes="1" showColumnStripes="0"/>
</table>
</file>

<file path=xl/tables/table3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1" xr:uid="{79672757-B592-49E4-AC22-FAC41CA3192C}" name="TimeEntries912922" displayName="TimeEntries912922" ref="A3953:G3954" totalsRowShown="0">
  <autoFilter ref="A3953:G3954" xr:uid="{F210A069-7BB9-4E68-BF3E-BFF18DF9D86F}"/>
  <sortState xmlns:xlrd2="http://schemas.microsoft.com/office/spreadsheetml/2017/richdata2" ref="A3954:E3954">
    <sortCondition ref="A16:A17"/>
  </sortState>
  <tableColumns count="7">
    <tableColumn id="1" xr3:uid="{5CE587B2-7434-465A-9F0F-7E20E98906F6}" name="Time entry no."/>
    <tableColumn id="2" xr3:uid="{9D6076AA-A777-47F1-86D8-4F6FC417E15A}" name="Start time" dataDxfId="367"/>
    <tableColumn id="3" xr3:uid="{4CCB6048-B045-41EB-A53A-57C8C6E7036F}" name="End time" dataDxfId="366"/>
    <tableColumn id="4" xr3:uid="{18E3D631-070C-43F7-BD9A-60178B62D993}" name="Time delta in h" dataDxfId="365">
      <calculatedColumnFormula>MAX((TimeEntries912922[[#This Row],[End time]]-TimeEntries912922[[#This Row],[Start time]])*24,0)</calculatedColumnFormula>
    </tableColumn>
    <tableColumn id="5" xr3:uid="{94C20BA0-D3EF-4AF5-88C9-C4020A009641}" name="Now?"/>
    <tableColumn id="6" xr3:uid="{03AAD941-EDB1-49F2-A88B-D893478EB6CD}" name="Action1" dataDxfId="364" dataCellStyle="Hyperlink"/>
    <tableColumn id="7" xr3:uid="{7D53A74F-3376-4341-9AA6-1413C66907D7}" name="Action2" dataDxfId="363" dataCellStyle="Hyperlink"/>
  </tableColumns>
  <tableStyleInfo name="TableStyleDark1" showFirstColumn="0" showLastColumn="0" showRowStripes="1" showColumnStripes="0"/>
</table>
</file>

<file path=xl/tables/table3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2" xr:uid="{1AAED40A-1390-4DC4-A221-A2BD5E80F1AF}" name="Tabelle7367913923" displayName="Tabelle7367913923" ref="I3953:M3960" totalsRowShown="0">
  <autoFilter ref="I3953:M3960" xr:uid="{F215E5CD-C2D3-485E-A98D-27AA470ECCE7}"/>
  <tableColumns count="5">
    <tableColumn id="1" xr3:uid="{3B4A4CC0-BDC4-41F8-832F-8B3B71E2CF0B}" name="Comparison entry no."/>
    <tableColumn id="2" xr3:uid="{B6455D16-CA1E-4069-94EB-6688F3A5A0F5}" name="Propability Support point" dataDxfId="362"/>
    <tableColumn id="3" xr3:uid="{CE486E16-04BA-41E6-9EF4-5160F0AC443C}" name="EBS self time" dataDxfId="361"/>
    <tableColumn id="4" xr3:uid="{A3BF77B8-9A25-464A-82C9-0C85F2E70E62}" name="Total time">
      <calculatedColumnFormula>SUM(TimeEntries912922[Time delta in h])</calculatedColumnFormula>
    </tableColumn>
    <tableColumn id="5" xr3:uid="{42473CFD-48ED-4F78-AD13-2BF46A28992B}" name="Total time / Your estimate" dataDxfId="360">
      <calculatedColumnFormula>Tabelle7367913923[[#This Row],[EBS self time]]/Tabelle7367913923[[#This Row],[Total time]]</calculatedColumnFormula>
    </tableColumn>
  </tableColumns>
  <tableStyleInfo name="TableStyleDark1" showFirstColumn="0" showLastColumn="0" showRowStripes="1" showColumnStripes="0"/>
</table>
</file>

<file path=xl/tables/table3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3" xr:uid="{1B64DEEF-5390-4D25-8AA3-582E02AF44C7}" name="TimeEntries914924" displayName="TimeEntries914924" ref="A3978:G3979" totalsRowShown="0">
  <autoFilter ref="A3978:G3979" xr:uid="{2D140C76-17D4-4F2C-B69F-D5129633838B}"/>
  <sortState xmlns:xlrd2="http://schemas.microsoft.com/office/spreadsheetml/2017/richdata2" ref="A3979:E3979">
    <sortCondition ref="A16:A17"/>
  </sortState>
  <tableColumns count="7">
    <tableColumn id="1" xr3:uid="{406225C1-F2C0-44B8-B756-34DCC5A88923}" name="Time entry no."/>
    <tableColumn id="2" xr3:uid="{9E454A69-A2D2-470C-8A26-4E661619EBF9}" name="Start time" dataDxfId="359"/>
    <tableColumn id="3" xr3:uid="{DAED6BDA-690B-4B72-B3FD-5F60E6CCCE1F}" name="End time" dataDxfId="358"/>
    <tableColumn id="4" xr3:uid="{87446C1D-E6C9-4E46-8F85-DB6099906BC6}" name="Time delta in h" dataDxfId="357">
      <calculatedColumnFormula>MAX((TimeEntries914924[[#This Row],[End time]]-TimeEntries914924[[#This Row],[Start time]])*24,0)</calculatedColumnFormula>
    </tableColumn>
    <tableColumn id="5" xr3:uid="{3A5CDA19-050B-417C-9AA9-0A0A24CDFB82}" name="Now?"/>
    <tableColumn id="6" xr3:uid="{FCBB3B23-29A7-474A-8380-C4C6E804B3C8}" name="Action1" dataDxfId="356" dataCellStyle="Hyperlink"/>
    <tableColumn id="7" xr3:uid="{0BA0FBC2-AE8D-4A9E-9747-0480142D0B8B}" name="Action2" dataDxfId="355" dataCellStyle="Hyperlink"/>
  </tableColumns>
  <tableStyleInfo name="TableStyleDark1" showFirstColumn="0" showLastColumn="0" showRowStripes="1" showColumnStripes="0"/>
</table>
</file>

<file path=xl/tables/table3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4" xr:uid="{ABB7F84B-05BF-4893-B264-B633289AD80D}" name="Tabelle7367915925" displayName="Tabelle7367915925" ref="I3978:M3985" totalsRowShown="0">
  <autoFilter ref="I3978:M3985" xr:uid="{78985E39-15F4-4797-BB02-C51A8F81FA69}"/>
  <tableColumns count="5">
    <tableColumn id="1" xr3:uid="{241E95F5-6425-4802-8653-DADBE81BA2E6}" name="Comparison entry no."/>
    <tableColumn id="2" xr3:uid="{161B47DD-2DC5-452C-BF2F-08E5179B0805}" name="Propability Support point" dataDxfId="354"/>
    <tableColumn id="3" xr3:uid="{96F91A4E-C007-4BA4-AE51-9AC0CA23D7D4}" name="EBS self time" dataDxfId="353"/>
    <tableColumn id="4" xr3:uid="{E7C6BC72-3524-4A66-938F-6A4CA4FF5DCD}" name="Total time">
      <calculatedColumnFormula>SUM(TimeEntries914924[Time delta in h])</calculatedColumnFormula>
    </tableColumn>
    <tableColumn id="5" xr3:uid="{F7F5EE3E-FFA2-428E-9164-CBF6E6E04621}" name="Total time / Your estimate" dataDxfId="352">
      <calculatedColumnFormula>Tabelle7367915925[[#This Row],[EBS self time]]/Tabelle7367915925[[#This Row],[Total time]]</calculatedColumnFormula>
    </tableColumn>
  </tableColumns>
  <tableStyleInfo name="TableStyleDark1" showFirstColumn="0" showLastColumn="0" showRowStripes="1" showColumnStripes="0"/>
</table>
</file>

<file path=xl/tables/table3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9" xr:uid="{FB1E23B3-ACEF-4455-AAD3-97FEB774B31D}" name="TimeEntries916926930940" displayName="TimeEntries916926930940" ref="A4003:G4004" totalsRowShown="0">
  <autoFilter ref="A4003:G4004" xr:uid="{CAE83B83-193A-4DDE-87EC-E0D04CE98DE9}"/>
  <sortState xmlns:xlrd2="http://schemas.microsoft.com/office/spreadsheetml/2017/richdata2" ref="A4004:E4004">
    <sortCondition ref="A16:A17"/>
  </sortState>
  <tableColumns count="7">
    <tableColumn id="1" xr3:uid="{616D448E-C952-4D71-B582-F28A1A39E8BE}" name="Time entry no."/>
    <tableColumn id="2" xr3:uid="{FED78841-168B-43FD-8D63-2B764BBF0539}" name="Start time" dataDxfId="351"/>
    <tableColumn id="3" xr3:uid="{AE40C36B-E54C-43D7-AEEE-747205710F59}" name="End time" dataDxfId="350"/>
    <tableColumn id="4" xr3:uid="{DD1F5B7A-731C-4144-B935-04776EF88E3C}" name="Time delta in h" dataDxfId="349">
      <calculatedColumnFormula>MAX((TimeEntries916926930940[[#This Row],[End time]]-TimeEntries916926930940[[#This Row],[Start time]])*24,0)</calculatedColumnFormula>
    </tableColumn>
    <tableColumn id="5" xr3:uid="{8CA4FBB0-7E56-4BD8-902A-E2B561ED54A1}" name="Now?"/>
    <tableColumn id="6" xr3:uid="{D20E7898-0749-403B-82F9-6035B86E3473}" name="Action1" dataDxfId="348" dataCellStyle="Hyperlink"/>
    <tableColumn id="7" xr3:uid="{F1C0AADC-A1CC-4629-B1B7-FB0FC7C9E353}" name="Action2" dataDxfId="347" dataCellStyle="Hyperlink"/>
  </tableColumns>
  <tableStyleInfo name="TableStyleDark1" showFirstColumn="0" showLastColumn="0" showRowStripes="1" showColumnStripes="0"/>
</table>
</file>

<file path=xl/tables/table3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0" xr:uid="{46B19512-FFFA-4FBE-BC56-C36FDF9E6CE8}" name="Tabelle7367917927931941" displayName="Tabelle7367917927931941" ref="I4003:M4004" totalsRowShown="0">
  <autoFilter ref="I4003:M4004" xr:uid="{03271EF0-CF81-40F2-AF96-1DE5717E7A19}"/>
  <tableColumns count="5">
    <tableColumn id="1" xr3:uid="{8BA9B3C4-0D86-40CC-972B-0637574B92B6}" name="Comparison entry no."/>
    <tableColumn id="2" xr3:uid="{5CFD96D8-9C14-413C-8CCD-10E7E0347A7A}" name="Propability Support point" dataDxfId="346"/>
    <tableColumn id="3" xr3:uid="{6636F4FC-A93C-479A-914A-77BC96FECA6A}" name="EBS self time" dataDxfId="345"/>
    <tableColumn id="4" xr3:uid="{20874B97-912E-4654-B027-D71867335D49}" name="Total time">
      <calculatedColumnFormula>SUM(TimeEntries916926930940[Time delta in h])</calculatedColumnFormula>
    </tableColumn>
    <tableColumn id="5" xr3:uid="{C6BDC054-B414-4FAD-901A-9B23E3D20A11}" name="Total time / Your estimate" dataDxfId="344">
      <calculatedColumnFormula>Tabelle7367917927931941[[#This Row],[EBS self time]]/Tabelle7367917927931941[[#This Row],[Total time]]</calculatedColumnFormula>
    </tableColumn>
  </tableColumns>
  <tableStyleInfo name="TableStyleDark1" showFirstColumn="0" showLastColumn="0" showRowStripes="1" showColumnStripes="0"/>
</table>
</file>

<file path=xl/tables/table3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1" xr:uid="{64D53E51-4039-4ABE-BEB8-92B2D1DF4AE4}" name="TimeEntries932942" displayName="TimeEntries932942" ref="A4023:G4024" totalsRowShown="0">
  <autoFilter ref="A4023:G4024" xr:uid="{1808C2CA-0DD3-496A-8C6E-6626025FE8D4}"/>
  <sortState xmlns:xlrd2="http://schemas.microsoft.com/office/spreadsheetml/2017/richdata2" ref="A4024:E4024">
    <sortCondition ref="A16:A17"/>
  </sortState>
  <tableColumns count="7">
    <tableColumn id="1" xr3:uid="{83780D64-BA9B-4E49-BAD0-918901B273E8}" name="Time entry no."/>
    <tableColumn id="2" xr3:uid="{558A656A-1E46-40E4-B964-4C49E6DB8482}" name="Start time" dataDxfId="343"/>
    <tableColumn id="3" xr3:uid="{389E4680-1ED6-42E9-886A-AB3F75F70316}" name="End time" dataDxfId="342"/>
    <tableColumn id="4" xr3:uid="{EF159371-18C9-4C18-BCDE-B31555FE62A7}" name="Time delta in h" dataDxfId="341">
      <calculatedColumnFormula>MAX((TimeEntries932942[[#This Row],[End time]]-TimeEntries932942[[#This Row],[Start time]])*24,0)</calculatedColumnFormula>
    </tableColumn>
    <tableColumn id="5" xr3:uid="{AE4E4AB6-07FC-49D0-A2C8-12936BEF8533}" name="Now?"/>
    <tableColumn id="6" xr3:uid="{52E7D5AA-376E-4467-A74D-128E613CFB09}" name="Action1" dataDxfId="340" dataCellStyle="Hyperlink"/>
    <tableColumn id="7" xr3:uid="{663AF888-BA20-473C-B149-7C3762C93BD1}" name="Action2" dataDxfId="339" dataCellStyle="Hyperlink"/>
  </tableColumns>
  <tableStyleInfo name="TableStyleDark1" showFirstColumn="0" showLastColumn="0" showRowStripes="1" showColumnStripes="0"/>
</table>
</file>

<file path=xl/tables/table3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2" xr:uid="{C0D90A49-9EE0-49B2-AB7E-4F697DDE2E0A}" name="Tabelle7367933943" displayName="Tabelle7367933943" ref="I4023:M4030" totalsRowShown="0">
  <autoFilter ref="I4023:M4030" xr:uid="{CAECCA5F-4D6E-4428-B0F4-BFBA33DE646A}"/>
  <tableColumns count="5">
    <tableColumn id="1" xr3:uid="{5425EC95-2A62-4C3B-AB8E-76EE733BFEE2}" name="Comparison entry no."/>
    <tableColumn id="2" xr3:uid="{14F20E30-C73E-4C29-92D3-D992B8C64FC5}" name="Propability Support point" dataDxfId="338"/>
    <tableColumn id="3" xr3:uid="{0244AAD8-A4BF-4D2D-99BA-BB7FDF9D1CF7}" name="EBS self time" dataDxfId="337"/>
    <tableColumn id="4" xr3:uid="{10E5CFAF-64A1-4FF9-A9D9-31024AB44788}" name="Total time">
      <calculatedColumnFormula>SUM(TimeEntries932942[Time delta in h])</calculatedColumnFormula>
    </tableColumn>
    <tableColumn id="5" xr3:uid="{76FC842D-F194-408F-AC83-0BF76A7CA7C3}" name="Total time / Your estimate" dataDxfId="336">
      <calculatedColumnFormula>Tabelle7367933943[[#This Row],[EBS self time]]/Tabelle7367933943[[#This Row],[Total time]]</calculatedColumnFormula>
    </tableColumn>
  </tableColumns>
  <tableStyleInfo name="TableStyleDark1" showFirstColumn="0" showLastColumn="0" showRowStripes="1" showColumnStripes="0"/>
</table>
</file>

<file path=xl/tables/table3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3" xr:uid="{DB827E81-2EA8-4F08-87C0-9984CE47C3C4}" name="TimeEntries934944" displayName="TimeEntries934944" ref="A4048:G4049" totalsRowShown="0">
  <autoFilter ref="A4048:G4049" xr:uid="{F225A19A-43C5-40C8-96CD-472D4BD8525C}"/>
  <sortState xmlns:xlrd2="http://schemas.microsoft.com/office/spreadsheetml/2017/richdata2" ref="A4049:E4049">
    <sortCondition ref="A16:A17"/>
  </sortState>
  <tableColumns count="7">
    <tableColumn id="1" xr3:uid="{4C04E754-74AC-4E8D-B28C-5C47AB1C38AD}" name="Time entry no."/>
    <tableColumn id="2" xr3:uid="{6556EA24-39F2-4FA1-8C66-95D3E31213E3}" name="Start time" dataDxfId="335"/>
    <tableColumn id="3" xr3:uid="{C13B9C5D-7CF1-4FDC-9D31-12A40E9846E0}" name="End time" dataDxfId="334"/>
    <tableColumn id="4" xr3:uid="{41AFEB19-3CF7-4570-8CBC-C5F9EAA157EF}" name="Time delta in h" dataDxfId="333">
      <calculatedColumnFormula>MAX((TimeEntries934944[[#This Row],[End time]]-TimeEntries934944[[#This Row],[Start time]])*24,0)</calculatedColumnFormula>
    </tableColumn>
    <tableColumn id="5" xr3:uid="{B95255CB-9B2B-4B41-B552-74E16550C1E8}" name="Now?"/>
    <tableColumn id="6" xr3:uid="{3CD9DF39-F05E-48F8-B254-07EE77C988A8}" name="Action1" dataDxfId="332" dataCellStyle="Hyperlink"/>
    <tableColumn id="7" xr3:uid="{17453875-AFBE-4680-A531-1F4768ED2431}" name="Action2" dataDxfId="331" dataCellStyle="Hyperlink"/>
  </tableColumns>
  <tableStyleInfo name="TableStyleDark1" showFirstColumn="0" showLastColumn="0" showRowStripes="1" showColumnStripes="0"/>
</table>
</file>

<file path=xl/tables/table3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4" xr:uid="{AF7EB63F-4F7D-4309-B26F-9F3D6FE4258A}" name="Tabelle7367935945" displayName="Tabelle7367935945" ref="I4048:M4049" totalsRowShown="0">
  <autoFilter ref="I4048:M4049" xr:uid="{0D51C521-0D66-4365-A7FB-C6882DB29CC8}"/>
  <tableColumns count="5">
    <tableColumn id="1" xr3:uid="{98B54122-4375-475E-8A08-65CC67F03137}" name="Comparison entry no."/>
    <tableColumn id="2" xr3:uid="{7B263B33-AB4E-4D2A-9FF2-A1E13D397253}" name="Propability Support point" dataDxfId="330"/>
    <tableColumn id="3" xr3:uid="{7B3D8C67-96B9-436C-AF7F-0C9D4D4290A6}" name="EBS self time" dataDxfId="329"/>
    <tableColumn id="4" xr3:uid="{01E6220B-4AA6-49D4-879C-16022290B352}" name="Total time">
      <calculatedColumnFormula>SUM(TimeEntries934944[Time delta in h])</calculatedColumnFormula>
    </tableColumn>
    <tableColumn id="5" xr3:uid="{D1CA40AD-F49C-4539-BE1C-8BD0CC903657}" name="Total time / Your estimate" dataDxfId="328">
      <calculatedColumnFormula>Tabelle7367935945[[#This Row],[EBS self time]]/Tabelle7367935945[[#This Row],[Total time]]</calculatedColumnFormula>
    </tableColumn>
  </tableColumns>
  <tableStyleInfo name="TableStyleDark1" showFirstColumn="0" showLastColumn="0" showRowStripes="1" showColumnStripes="0"/>
</table>
</file>

<file path=xl/tables/table3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5" xr:uid="{890AABC0-4678-4FA0-A54E-1BB8F8BA9C97}" name="TimeEntries936946" displayName="TimeEntries936946" ref="A4068:G4069" totalsRowShown="0">
  <autoFilter ref="A4068:G4069" xr:uid="{5F3CD9A8-F675-4051-BAB0-399098FC7DC5}"/>
  <sortState xmlns:xlrd2="http://schemas.microsoft.com/office/spreadsheetml/2017/richdata2" ref="A4069:E4069">
    <sortCondition ref="A16:A17"/>
  </sortState>
  <tableColumns count="7">
    <tableColumn id="1" xr3:uid="{F9D08BCB-7453-4C57-B360-132335253FAD}" name="Time entry no."/>
    <tableColumn id="2" xr3:uid="{0A29209F-C113-4ECB-8609-E46794FB87E2}" name="Start time" dataDxfId="327"/>
    <tableColumn id="3" xr3:uid="{20ADCB1F-A320-4173-AF7F-154E121F352C}" name="End time" dataDxfId="326"/>
    <tableColumn id="4" xr3:uid="{33975A37-9DF9-4E29-9ABE-26437DEDB50D}" name="Time delta in h" dataDxfId="325">
      <calculatedColumnFormula>MAX((TimeEntries936946[[#This Row],[End time]]-TimeEntries936946[[#This Row],[Start time]])*24,0)</calculatedColumnFormula>
    </tableColumn>
    <tableColumn id="5" xr3:uid="{1770487C-AA59-417B-8948-A76BA3EED837}" name="Now?"/>
    <tableColumn id="6" xr3:uid="{7E3DF8A6-C688-48DE-9B49-81776A7D34A1}" name="Action1" dataDxfId="324" dataCellStyle="Hyperlink"/>
    <tableColumn id="7" xr3:uid="{B2F02CEA-9BC6-47C7-B22C-4B73B78478F7}" name="Action2" dataDxfId="323" dataCellStyle="Hyperlink"/>
  </tableColumns>
  <tableStyleInfo name="TableStyleDark1" showFirstColumn="0" showLastColumn="0" showRowStripes="1" showColumnStripes="0"/>
</table>
</file>

<file path=xl/tables/table3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6" xr:uid="{6C5DD962-84E6-46B9-9DC2-2377A68121E4}" name="Tabelle7367937947" displayName="Tabelle7367937947" ref="I4068:M4075" totalsRowShown="0">
  <autoFilter ref="I4068:M4075" xr:uid="{C07A2E8B-AFEA-4F5D-85B2-21CA8CE27190}"/>
  <tableColumns count="5">
    <tableColumn id="1" xr3:uid="{8D8B0A5F-BD8F-4447-B64A-7D354620F7AD}" name="Comparison entry no."/>
    <tableColumn id="2" xr3:uid="{A070014A-D612-44E2-9974-DCB636E327DC}" name="Propability Support point" dataDxfId="322"/>
    <tableColumn id="3" xr3:uid="{239D183B-7B1B-46F5-B255-CD6F8AA9B253}" name="EBS self time" dataDxfId="321"/>
    <tableColumn id="4" xr3:uid="{2CE0AF02-3203-452A-8A43-827E45A83319}" name="Total time">
      <calculatedColumnFormula>SUM(TimeEntries936946[Time delta in h])</calculatedColumnFormula>
    </tableColumn>
    <tableColumn id="5" xr3:uid="{6B545D68-F700-4BAD-BD0D-63ADEE52CE1F}" name="Total time / Your estimate" dataDxfId="320">
      <calculatedColumnFormula>Tabelle7367937947[[#This Row],[EBS self time]]/Tabelle7367937947[[#This Row],[Total time]]</calculatedColumnFormula>
    </tableColumn>
  </tableColumns>
  <tableStyleInfo name="TableStyleDark1" showFirstColumn="0" showLastColumn="0" showRowStripes="1" showColumnStripes="0"/>
</table>
</file>

<file path=xl/tables/table3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1" xr:uid="{0AA32D96-9006-4E3E-BE9F-FAAA79800153}" name="TimeEntries938948952962" displayName="TimeEntries938948952962" ref="A4093:G4094" totalsRowShown="0">
  <autoFilter ref="A4093:G4094" xr:uid="{CE56C980-2160-4BE7-8FA7-A2F2E33BA494}"/>
  <sortState xmlns:xlrd2="http://schemas.microsoft.com/office/spreadsheetml/2017/richdata2" ref="A4094:E4094">
    <sortCondition ref="A16:A17"/>
  </sortState>
  <tableColumns count="7">
    <tableColumn id="1" xr3:uid="{338747DF-88DE-4FDC-BE63-7B768E852EE9}" name="Time entry no."/>
    <tableColumn id="2" xr3:uid="{65C02779-751A-402F-90F6-A3333DBD94A9}" name="Start time" dataDxfId="319"/>
    <tableColumn id="3" xr3:uid="{14B1677C-A1DE-4F49-89AF-DAB4C5C4D8F2}" name="End time" dataDxfId="318"/>
    <tableColumn id="4" xr3:uid="{3D2CEA40-24E1-42B5-90F8-EA6C6162D312}" name="Time delta in h" dataDxfId="317">
      <calculatedColumnFormula>MAX((TimeEntries938948952962[[#This Row],[End time]]-TimeEntries938948952962[[#This Row],[Start time]])*24,0)</calculatedColumnFormula>
    </tableColumn>
    <tableColumn id="5" xr3:uid="{0A73206C-0D6F-4BAE-9CF8-E9230E2C6776}" name="Now?"/>
    <tableColumn id="6" xr3:uid="{32AD91F5-8154-448F-B064-F7D0C3AE8F24}" name="Action1" dataDxfId="316" dataCellStyle="Hyperlink"/>
    <tableColumn id="7" xr3:uid="{548DC574-8237-4233-8CF2-3B3A9E5C8F68}" name="Action2" dataDxfId="315" dataCellStyle="Hyperlink"/>
  </tableColumns>
  <tableStyleInfo name="TableStyleDark1" showFirstColumn="0" showLastColumn="0" showRowStripes="1" showColumnStripes="0"/>
</table>
</file>

<file path=xl/tables/table3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2" xr:uid="{8D40DBC7-AD5F-491F-BBAA-1B499BCFB6CA}" name="Tabelle7367939949953963" displayName="Tabelle7367939949953963" ref="I4093:M4100" totalsRowShown="0">
  <autoFilter ref="I4093:M4100" xr:uid="{B1C6B1C5-7C91-4EC4-A8A0-63A18F37C5BA}"/>
  <tableColumns count="5">
    <tableColumn id="1" xr3:uid="{3977D1B9-5DC0-423C-9DEE-78A0FB2F6F72}" name="Comparison entry no."/>
    <tableColumn id="2" xr3:uid="{964B9B1D-1239-4348-A28B-24F6946CC63F}" name="Propability Support point" dataDxfId="314"/>
    <tableColumn id="3" xr3:uid="{1FBCA421-D4F7-45D2-8D93-FC7A1E7F1A06}" name="EBS self time" dataDxfId="313"/>
    <tableColumn id="4" xr3:uid="{44652347-0277-4688-9C88-4967E5763ADF}" name="Total time">
      <calculatedColumnFormula>SUM(TimeEntries938948952962[Time delta in h])</calculatedColumnFormula>
    </tableColumn>
    <tableColumn id="5" xr3:uid="{1DF0A437-1DA0-497C-9BEF-94D6FC4E42BA}" name="Total time / Your estimate" dataDxfId="312">
      <calculatedColumnFormula>Tabelle7367939949953963[[#This Row],[EBS self time]]/Tabelle7367939949953963[[#This Row],[Total time]]</calculatedColumnFormula>
    </tableColumn>
  </tableColumns>
  <tableStyleInfo name="TableStyleDark1" showFirstColumn="0" showLastColumn="0" showRowStripes="1" showColumnStripes="0"/>
</table>
</file>

<file path=xl/tables/table3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3" xr:uid="{1613C5DE-5955-438A-9BB3-B55C51936F36}" name="TimeEntries954964" displayName="TimeEntries954964" ref="A4118:G4119" totalsRowShown="0">
  <autoFilter ref="A4118:G4119" xr:uid="{A036076F-F0B4-45F1-A363-018251652328}"/>
  <sortState xmlns:xlrd2="http://schemas.microsoft.com/office/spreadsheetml/2017/richdata2" ref="A4119:E4119">
    <sortCondition ref="A16:A17"/>
  </sortState>
  <tableColumns count="7">
    <tableColumn id="1" xr3:uid="{3C5F8823-1B99-484D-A938-3D6A8246B5FE}" name="Time entry no."/>
    <tableColumn id="2" xr3:uid="{207F8480-09D1-4961-9E28-94B627BDBEB1}" name="Start time" dataDxfId="311"/>
    <tableColumn id="3" xr3:uid="{D8A9F103-1C6C-4C1C-8B56-19BEC59CD17F}" name="End time" dataDxfId="310"/>
    <tableColumn id="4" xr3:uid="{18E5FF1B-9121-4912-879F-7960B0E97DEE}" name="Time delta in h" dataDxfId="309">
      <calculatedColumnFormula>MAX((TimeEntries954964[[#This Row],[End time]]-TimeEntries954964[[#This Row],[Start time]])*24,0)</calculatedColumnFormula>
    </tableColumn>
    <tableColumn id="5" xr3:uid="{74F95A33-FE96-450E-A8F5-9BE7145106A9}" name="Now?"/>
    <tableColumn id="6" xr3:uid="{B3250334-9937-4B87-BAAF-81274AFAF35C}" name="Action1" dataDxfId="308" dataCellStyle="Hyperlink"/>
    <tableColumn id="7" xr3:uid="{D3967AA9-D3DF-4D8D-9112-584BBA2F9468}" name="Action2" dataDxfId="307" dataCellStyle="Hyperlink"/>
  </tableColumns>
  <tableStyleInfo name="TableStyleDark1" showFirstColumn="0" showLastColumn="0" showRowStripes="1" showColumnStripes="0"/>
</table>
</file>

<file path=xl/tables/table3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4" xr:uid="{92EA413B-F6E0-4861-A81B-92CC30358778}" name="Tabelle7367955965" displayName="Tabelle7367955965" ref="I4118:M4125" totalsRowShown="0">
  <autoFilter ref="I4118:M4125" xr:uid="{1021BC6A-4F1D-4F6E-894D-EF752DCB8E70}"/>
  <tableColumns count="5">
    <tableColumn id="1" xr3:uid="{541743BA-1B33-4653-BC25-EB1FCB46BDF2}" name="Comparison entry no."/>
    <tableColumn id="2" xr3:uid="{171371BE-3A97-410A-A375-59CBA717CBF9}" name="Propability Support point" dataDxfId="306"/>
    <tableColumn id="3" xr3:uid="{CC778683-43F6-4818-B4FC-9A4C3D5C25B9}" name="EBS self time" dataDxfId="305"/>
    <tableColumn id="4" xr3:uid="{9D458BC3-0A9D-41D8-8202-1AA792AD5DAA}" name="Total time">
      <calculatedColumnFormula>SUM(TimeEntries954964[Time delta in h])</calculatedColumnFormula>
    </tableColumn>
    <tableColumn id="5" xr3:uid="{4DBD83E9-D7E9-43B8-A45D-DC679CF166BC}" name="Total time / Your estimate" dataDxfId="304">
      <calculatedColumnFormula>Tabelle7367955965[[#This Row],[EBS self time]]/Tabelle7367955965[[#This Row],[Total time]]</calculatedColumnFormula>
    </tableColumn>
  </tableColumns>
  <tableStyleInfo name="TableStyleDark1" showFirstColumn="0" showLastColumn="0" showRowStripes="1" showColumnStripes="0"/>
</table>
</file>

<file path=xl/tables/table3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5" xr:uid="{19F8BE6F-208C-4CE4-BA34-6257F47FE9AF}" name="TimeEntries956966" displayName="TimeEntries956966" ref="A4143:G4144" totalsRowShown="0">
  <autoFilter ref="A4143:G4144" xr:uid="{A40D8D27-5F18-4424-B978-419F062E040D}"/>
  <sortState xmlns:xlrd2="http://schemas.microsoft.com/office/spreadsheetml/2017/richdata2" ref="A4144:E4144">
    <sortCondition ref="A16:A17"/>
  </sortState>
  <tableColumns count="7">
    <tableColumn id="1" xr3:uid="{B2A46DD4-6684-423F-A6B5-3DB9207E3CE8}" name="Time entry no."/>
    <tableColumn id="2" xr3:uid="{9ED8711E-3A87-4208-9AA6-80C3408C85F4}" name="Start time" dataDxfId="303"/>
    <tableColumn id="3" xr3:uid="{6AC66D28-F422-40AC-8A48-3856A599029D}" name="End time" dataDxfId="302"/>
    <tableColumn id="4" xr3:uid="{1CE0F340-40BE-49A3-9358-16D4A320F447}" name="Time delta in h" dataDxfId="301">
      <calculatedColumnFormula>MAX((TimeEntries956966[[#This Row],[End time]]-TimeEntries956966[[#This Row],[Start time]])*24,0)</calculatedColumnFormula>
    </tableColumn>
    <tableColumn id="5" xr3:uid="{A4353AEE-99E1-417D-8664-4C8690D86663}" name="Now?"/>
    <tableColumn id="6" xr3:uid="{871F83D8-883C-4E52-B728-18226EB9074F}" name="Action1" dataDxfId="300" dataCellStyle="Hyperlink"/>
    <tableColumn id="7" xr3:uid="{DBFEA6C7-99CB-4739-A668-10FB3922C418}" name="Action2" dataDxfId="299" dataCellStyle="Hyperlink"/>
  </tableColumns>
  <tableStyleInfo name="TableStyleDark1" showFirstColumn="0" showLastColumn="0" showRowStripes="1" showColumnStripes="0"/>
</table>
</file>

<file path=xl/tables/table3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6" xr:uid="{F031F626-1DAF-4584-9A51-91AB253DCA2A}" name="Tabelle7367957967" displayName="Tabelle7367957967" ref="I4143:M4150" totalsRowShown="0">
  <autoFilter ref="I4143:M4150" xr:uid="{6C761F31-1D2B-4257-B29C-8CE7C98E3852}"/>
  <tableColumns count="5">
    <tableColumn id="1" xr3:uid="{B8FDF878-82ED-4FEA-BBEF-B699C1AD6319}" name="Comparison entry no."/>
    <tableColumn id="2" xr3:uid="{A5957B02-A839-4300-B204-AFEA2605BDF6}" name="Propability Support point" dataDxfId="298"/>
    <tableColumn id="3" xr3:uid="{DF7F7AB2-5DF3-461E-9BE1-A7A310CC904E}" name="EBS self time" dataDxfId="297"/>
    <tableColumn id="4" xr3:uid="{401B801E-54D5-4F01-BFC4-940691C495F6}" name="Total time">
      <calculatedColumnFormula>SUM(TimeEntries956966[Time delta in h])</calculatedColumnFormula>
    </tableColumn>
    <tableColumn id="5" xr3:uid="{6893E0DE-36B6-471E-8D9A-63CAB03A6083}" name="Total time / Your estimate" dataDxfId="296">
      <calculatedColumnFormula>Tabelle7367957967[[#This Row],[EBS self time]]/Tabelle7367957967[[#This Row],[Total time]]</calculatedColumnFormula>
    </tableColumn>
  </tableColumns>
  <tableStyleInfo name="TableStyleDark1" showFirstColumn="0" showLastColumn="0" showRowStripes="1" showColumnStripes="0"/>
</table>
</file>

<file path=xl/tables/table3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5" xr:uid="{B9ADD10B-43D5-434E-A2F6-EB2825DCC039}" name="TimeEntries976986" displayName="TimeEntries976986" ref="A4168:G4169" totalsRowShown="0">
  <autoFilter ref="A4168:G4169" xr:uid="{0DD257EA-AF44-4763-A175-EAC0F7B917AD}"/>
  <sortState xmlns:xlrd2="http://schemas.microsoft.com/office/spreadsheetml/2017/richdata2" ref="A4169:E4169">
    <sortCondition ref="A16:A17"/>
  </sortState>
  <tableColumns count="7">
    <tableColumn id="1" xr3:uid="{D90E8551-E5E4-47CB-B0C9-0CAB008D6870}" name="Time entry no."/>
    <tableColumn id="2" xr3:uid="{491E8D8D-9F72-430D-A869-C4E2AC86B1E4}" name="Start time" dataDxfId="295"/>
    <tableColumn id="3" xr3:uid="{2056C21D-B696-46FB-94AE-1EE3A994408F}" name="End time" dataDxfId="294"/>
    <tableColumn id="4" xr3:uid="{BADD6326-C53A-4AC1-AB42-63BAD8912961}" name="Time delta in h" dataDxfId="293">
      <calculatedColumnFormula>MAX((TimeEntries976986[[#This Row],[End time]]-TimeEntries976986[[#This Row],[Start time]])*24,0)</calculatedColumnFormula>
    </tableColumn>
    <tableColumn id="5" xr3:uid="{C9F46907-4606-4319-9084-7ABB4B9F0D71}" name="Now?"/>
    <tableColumn id="6" xr3:uid="{232F5C78-ED5C-454C-AFFA-3B7741DF5885}" name="Action1" dataDxfId="292" dataCellStyle="Hyperlink"/>
    <tableColumn id="7" xr3:uid="{FF78B556-5198-44BE-A71C-73F5ECCC3871}" name="Action2" dataDxfId="291" dataCellStyle="Hyperlink"/>
  </tableColumns>
  <tableStyleInfo name="TableStyleDark1" showFirstColumn="0" showLastColumn="0" showRowStripes="1" showColumnStripes="0"/>
</table>
</file>

<file path=xl/tables/table3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6" xr:uid="{2960425E-CB22-4264-A90C-A5BBBD4E8519}" name="Tabelle7367977987" displayName="Tabelle7367977987" ref="I4168:M4169" totalsRowShown="0">
  <autoFilter ref="I4168:M4169" xr:uid="{7AF28163-7CED-48E7-A155-7DBFDBBC99F1}"/>
  <tableColumns count="5">
    <tableColumn id="1" xr3:uid="{B7190E27-0205-4209-81C0-5F2A17661024}" name="Comparison entry no."/>
    <tableColumn id="2" xr3:uid="{09145CEB-E6B5-4793-BBAF-D5F8253DA59B}" name="Propability Support point" dataDxfId="290"/>
    <tableColumn id="3" xr3:uid="{7A31739D-52DC-4B66-8F9F-36913AC6A032}" name="EBS self time" dataDxfId="289"/>
    <tableColumn id="4" xr3:uid="{CBEC083E-C4DF-4D3C-8FA0-FDE61DCF6672}" name="Total time">
      <calculatedColumnFormula>SUM(TimeEntries976986[Time delta in h])</calculatedColumnFormula>
    </tableColumn>
    <tableColumn id="5" xr3:uid="{157A22CE-E551-46C2-A88E-EAB40EBA58F8}" name="Total time / Your estimate" dataDxfId="288">
      <calculatedColumnFormula>Tabelle7367977987[[#This Row],[EBS self time]]/Tabelle7367977987[[#This Row],[Total time]]</calculatedColumnFormula>
    </tableColumn>
  </tableColumns>
  <tableStyleInfo name="TableStyleDark1" showFirstColumn="0" showLastColumn="0" showRowStripes="1" showColumnStripes="0"/>
</table>
</file>

<file path=xl/tables/table3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7" xr:uid="{FC2FB026-7D92-4BDE-A086-7ADB5DCA7DCA}" name="TimeEntries978988" displayName="TimeEntries978988" ref="A4188:G4189" totalsRowShown="0">
  <autoFilter ref="A4188:G4189" xr:uid="{84D33270-2B81-4A1B-99D2-2FD43F7917BE}"/>
  <sortState xmlns:xlrd2="http://schemas.microsoft.com/office/spreadsheetml/2017/richdata2" ref="A4189:E4189">
    <sortCondition ref="A16:A17"/>
  </sortState>
  <tableColumns count="7">
    <tableColumn id="1" xr3:uid="{5B3A410C-91A4-40A5-9A88-9213D8450C74}" name="Time entry no."/>
    <tableColumn id="2" xr3:uid="{9A113DF8-7894-4F9D-B425-2207B070BD5C}" name="Start time" dataDxfId="287"/>
    <tableColumn id="3" xr3:uid="{76915C91-FB53-4507-BED0-FB96C588EC05}" name="End time" dataDxfId="286"/>
    <tableColumn id="4" xr3:uid="{DDBE646F-05DE-4B95-AC38-4879A9CC8B0E}" name="Time delta in h" dataDxfId="285">
      <calculatedColumnFormula>MAX((TimeEntries978988[[#This Row],[End time]]-TimeEntries978988[[#This Row],[Start time]])*24,0)</calculatedColumnFormula>
    </tableColumn>
    <tableColumn id="5" xr3:uid="{1FE97DCD-92F4-4C5B-BB6B-88D8C9DAEDEE}" name="Now?"/>
    <tableColumn id="6" xr3:uid="{880B0929-9897-49F1-A25E-D24EB2269B72}" name="Action1" dataDxfId="284" dataCellStyle="Hyperlink"/>
    <tableColumn id="7" xr3:uid="{EEF98290-73BB-4FAB-8AD7-B48A5765CC6D}" name="Action2" dataDxfId="283" dataCellStyle="Hyperlink"/>
  </tableColumns>
  <tableStyleInfo name="TableStyleDark1" showFirstColumn="0" showLastColumn="0" showRowStripes="1" showColumnStripes="0"/>
</table>
</file>

<file path=xl/tables/table3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8" xr:uid="{770237A5-99D5-4A89-BBF6-A5F6CF9156B1}" name="Tabelle7367979989" displayName="Tabelle7367979989" ref="I4188:M4195" totalsRowShown="0">
  <autoFilter ref="I4188:M4195" xr:uid="{B17D09DC-ECBE-4C2B-A251-D3C3FE068736}"/>
  <tableColumns count="5">
    <tableColumn id="1" xr3:uid="{AD5A8BF7-8D6C-4F4D-958F-8CF8A76BFFF8}" name="Comparison entry no."/>
    <tableColumn id="2" xr3:uid="{206DBA0E-4CBC-45A2-AADF-DDBAF66589C1}" name="Propability Support point" dataDxfId="282"/>
    <tableColumn id="3" xr3:uid="{525EB9E9-10BC-4189-82F7-BD2DB5CF19D7}" name="EBS self time" dataDxfId="281"/>
    <tableColumn id="4" xr3:uid="{72EFA09C-F8ED-49F5-A45D-D9C030E34194}" name="Total time">
      <calculatedColumnFormula>SUM(TimeEntries978988[Time delta in h])</calculatedColumnFormula>
    </tableColumn>
    <tableColumn id="5" xr3:uid="{9C4ACA11-A877-455A-9150-C6B68E8B18F3}" name="Total time / Your estimate" dataDxfId="280">
      <calculatedColumnFormula>Tabelle7367979989[[#This Row],[EBS self time]]/Tabelle7367979989[[#This Row],[Total time]]</calculatedColumnFormula>
    </tableColumn>
  </tableColumns>
  <tableStyleInfo name="TableStyleDark1" showFirstColumn="0" showLastColumn="0" showRowStripes="1" showColumnStripes="0"/>
</table>
</file>

<file path=xl/tables/table3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9" xr:uid="{50D88875-68DC-4160-BF00-2B88D88ED076}" name="TimeEntries980990" displayName="TimeEntries980990" ref="A4213:G4214" totalsRowShown="0">
  <autoFilter ref="A4213:G4214" xr:uid="{D95E2570-0FDF-4213-8A8F-96D32AD852BD}"/>
  <sortState xmlns:xlrd2="http://schemas.microsoft.com/office/spreadsheetml/2017/richdata2" ref="A4214:E4214">
    <sortCondition ref="A16:A17"/>
  </sortState>
  <tableColumns count="7">
    <tableColumn id="1" xr3:uid="{51FDA220-DCF5-4757-AF4E-049631404CB4}" name="Time entry no."/>
    <tableColumn id="2" xr3:uid="{8D19C371-5300-4460-BE6E-B593B9B55712}" name="Start time" dataDxfId="279"/>
    <tableColumn id="3" xr3:uid="{BDD80F59-2C3B-4A13-9C92-E5DA1A49CE3D}" name="End time" dataDxfId="278"/>
    <tableColumn id="4" xr3:uid="{B66DB1FF-0698-4398-A637-B8FA419BAE49}" name="Time delta in h" dataDxfId="277">
      <calculatedColumnFormula>MAX((TimeEntries980990[[#This Row],[End time]]-TimeEntries980990[[#This Row],[Start time]])*24,0)</calculatedColumnFormula>
    </tableColumn>
    <tableColumn id="5" xr3:uid="{012580D5-E8AF-4B6A-A73F-74806F47432E}" name="Now?"/>
    <tableColumn id="6" xr3:uid="{D7CDAB46-F8A6-498C-8734-07DAD89A4A50}" name="Action1" dataDxfId="276" dataCellStyle="Hyperlink"/>
    <tableColumn id="7" xr3:uid="{13C6C275-87C7-4E0A-894F-BBCEAC986659}" name="Action2" dataDxfId="275" dataCellStyle="Hyperlink"/>
  </tableColumns>
  <tableStyleInfo name="TableStyleDark1" showFirstColumn="0" showLastColumn="0" showRowStripes="1" showColumnStripes="0"/>
</table>
</file>

<file path=xl/tables/table3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0" xr:uid="{43EC22CD-75EB-4A92-BD8A-945256C9FA7B}" name="Tabelle7367981991" displayName="Tabelle7367981991" ref="I4213:M4220" totalsRowShown="0">
  <autoFilter ref="I4213:M4220" xr:uid="{1169DB1A-F4C4-449E-AA9B-F9E9088E0499}"/>
  <tableColumns count="5">
    <tableColumn id="1" xr3:uid="{BA53EEC5-048F-404D-8CFF-D33943EDF811}" name="Comparison entry no."/>
    <tableColumn id="2" xr3:uid="{C2DC0178-8B5A-4C78-89ED-F3FA2A804EDE}" name="Propability Support point" dataDxfId="274"/>
    <tableColumn id="3" xr3:uid="{7677B6EA-4932-40C3-9B4F-6505B65EC145}" name="EBS self time" dataDxfId="273"/>
    <tableColumn id="4" xr3:uid="{6A772F60-B851-499A-BC55-EE9BB85CD7B4}" name="Total time">
      <calculatedColumnFormula>SUM(TimeEntries980990[Time delta in h])</calculatedColumnFormula>
    </tableColumn>
    <tableColumn id="5" xr3:uid="{68B00A5C-74D3-4992-9C2D-E95B42D6D17F}" name="Total time / Your estimate" dataDxfId="272">
      <calculatedColumnFormula>Tabelle7367981991[[#This Row],[EBS self time]]/Tabelle7367981991[[#This Row],[Total time]]</calculatedColumnFormula>
    </tableColumn>
  </tableColumns>
  <tableStyleInfo name="TableStyleDark1" showFirstColumn="0" showLastColumn="0" showRowStripes="1" showColumnStripes="0"/>
</table>
</file>

<file path=xl/tables/table3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5" xr:uid="{57BED6B3-E695-4229-97CC-7FB635C602C9}" name="TimeEntries9829929961006" displayName="TimeEntries9829929961006" ref="A4238:G4239" totalsRowShown="0">
  <autoFilter ref="A4238:G4239" xr:uid="{28D3F2A1-6EC5-44CD-8464-5222C8923EFF}"/>
  <sortState xmlns:xlrd2="http://schemas.microsoft.com/office/spreadsheetml/2017/richdata2" ref="A4239:E4239">
    <sortCondition ref="A16:A17"/>
  </sortState>
  <tableColumns count="7">
    <tableColumn id="1" xr3:uid="{0489C4EC-C8BA-46F0-AD6D-9291C04682C3}" name="Time entry no."/>
    <tableColumn id="2" xr3:uid="{68B7191E-88B3-4D50-8A66-F502AC27945C}" name="Start time" dataDxfId="271"/>
    <tableColumn id="3" xr3:uid="{D4972BE2-2878-4B6B-86FF-FAB5D948E18A}" name="End time" dataDxfId="270"/>
    <tableColumn id="4" xr3:uid="{D6ABD1CD-ACE3-47F9-9D34-C9FD4C90EA83}" name="Time delta in h" dataDxfId="269">
      <calculatedColumnFormula>MAX((TimeEntries9829929961006[[#This Row],[End time]]-TimeEntries9829929961006[[#This Row],[Start time]])*24,0)</calculatedColumnFormula>
    </tableColumn>
    <tableColumn id="5" xr3:uid="{6A229DD3-11AA-4C1C-9B3E-693BED98C136}" name="Now?"/>
    <tableColumn id="6" xr3:uid="{9CC5F441-13A4-449F-89BB-BD4D0B8D65ED}" name="Action1" dataDxfId="268" dataCellStyle="Hyperlink"/>
    <tableColumn id="7" xr3:uid="{EB832277-7BDD-4CED-9C8E-3659FD2CC1DE}" name="Action2" dataDxfId="267" dataCellStyle="Hyperlink"/>
  </tableColumns>
  <tableStyleInfo name="TableStyleDark1" showFirstColumn="0" showLastColumn="0" showRowStripes="1" showColumnStripes="0"/>
</table>
</file>

<file path=xl/tables/table3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6" xr:uid="{6CE79099-B243-4E94-B747-5CB095862468}" name="Tabelle73679839939971007" displayName="Tabelle73679839939971007" ref="I4238:M4245" totalsRowShown="0">
  <autoFilter ref="I4238:M4245" xr:uid="{052D5537-5430-4108-99CC-7DAD5D98F1EE}"/>
  <tableColumns count="5">
    <tableColumn id="1" xr3:uid="{E2C56EC7-BCD1-4E41-A94F-2CD661611AEB}" name="Comparison entry no."/>
    <tableColumn id="2" xr3:uid="{6C703C92-4F1D-4C09-A1B9-C6780527C3E0}" name="Propability Support point" dataDxfId="266"/>
    <tableColumn id="3" xr3:uid="{EEAA152B-75AC-4580-9CF4-F3E3B332396A}" name="EBS self time" dataDxfId="265"/>
    <tableColumn id="4" xr3:uid="{91A8AEE9-8E60-4CDF-881E-56BB190E8EC7}" name="Total time">
      <calculatedColumnFormula>SUM(TimeEntries9829929961006[Time delta in h])</calculatedColumnFormula>
    </tableColumn>
    <tableColumn id="5" xr3:uid="{BD4FD46A-F376-4415-B12B-9B20D67E77D0}" name="Total time / Your estimate" dataDxfId="264">
      <calculatedColumnFormula>Tabelle73679839939971007[[#This Row],[EBS self time]]/Tabelle73679839939971007[[#This Row],[Total time]]</calculatedColumnFormula>
    </tableColumn>
  </tableColumns>
  <tableStyleInfo name="TableStyleDark1" showFirstColumn="0" showLastColumn="0" showRowStripes="1" showColumnStripes="0"/>
</table>
</file>

<file path=xl/tables/table3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7" xr:uid="{E999FA93-2C0D-4293-B699-66135A59488A}" name="TimeEntries9981008" displayName="TimeEntries9981008" ref="A4263:G4264" totalsRowShown="0">
  <autoFilter ref="A4263:G4264" xr:uid="{A63ECF72-7ED2-438B-8F3D-AB19B731221D}"/>
  <sortState xmlns:xlrd2="http://schemas.microsoft.com/office/spreadsheetml/2017/richdata2" ref="A4264:E4264">
    <sortCondition ref="A16:A17"/>
  </sortState>
  <tableColumns count="7">
    <tableColumn id="1" xr3:uid="{A3BAEEA1-D20E-436F-BB32-5AC1DF38F518}" name="Time entry no."/>
    <tableColumn id="2" xr3:uid="{A55736D3-235D-4620-8876-0FB05DA313E5}" name="Start time" dataDxfId="263"/>
    <tableColumn id="3" xr3:uid="{B147A6A6-D3E0-4035-A27A-6824333FE271}" name="End time" dataDxfId="262"/>
    <tableColumn id="4" xr3:uid="{353B751A-A73C-4A83-B18E-FD5A99E6AB7B}" name="Time delta in h" dataDxfId="261">
      <calculatedColumnFormula>MAX((TimeEntries9981008[[#This Row],[End time]]-TimeEntries9981008[[#This Row],[Start time]])*24,0)</calculatedColumnFormula>
    </tableColumn>
    <tableColumn id="5" xr3:uid="{91386590-458C-43BA-B76F-473364870E89}" name="Now?"/>
    <tableColumn id="6" xr3:uid="{67A10597-0A6D-4A6C-A0DC-A1B75DE06679}" name="Action1" dataDxfId="260" dataCellStyle="Hyperlink"/>
    <tableColumn id="7" xr3:uid="{894B3DB9-F338-466A-9A43-C4B4AB78025A}" name="Action2" dataDxfId="259" dataCellStyle="Hyperlink"/>
  </tableColumns>
  <tableStyleInfo name="TableStyleDark1" showFirstColumn="0" showLastColumn="0" showRowStripes="1" showColumnStripes="0"/>
</table>
</file>

<file path=xl/tables/table3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8" xr:uid="{25F070CF-DE05-4019-A0A3-C4C93EAE23BF}" name="Tabelle73679991009" displayName="Tabelle73679991009" ref="I4263:M4270" totalsRowShown="0">
  <autoFilter ref="I4263:M4270" xr:uid="{94E0AA6B-FEED-4E7C-8FD3-6282FFC19A08}"/>
  <tableColumns count="5">
    <tableColumn id="1" xr3:uid="{BDA6AF9B-9A91-41ED-B4A7-7464F5588C08}" name="Comparison entry no."/>
    <tableColumn id="2" xr3:uid="{04032339-130D-4754-8C94-594006806BB8}" name="Propability Support point" dataDxfId="258"/>
    <tableColumn id="3" xr3:uid="{20275E7C-41CD-4ED9-B3EC-46317374DC02}" name="EBS self time" dataDxfId="257"/>
    <tableColumn id="4" xr3:uid="{AC61EC46-E7B5-4EBA-BD70-E7A515CFAFA4}" name="Total time">
      <calculatedColumnFormula>SUM(TimeEntries9981008[Time delta in h])</calculatedColumnFormula>
    </tableColumn>
    <tableColumn id="5" xr3:uid="{C25F5CAC-FCE4-40E9-8773-760580F66868}" name="Total time / Your estimate" dataDxfId="256">
      <calculatedColumnFormula>Tabelle73679991009[[#This Row],[EBS self time]]/Tabelle73679991009[[#This Row],[Total time]]</calculatedColumnFormula>
    </tableColumn>
  </tableColumns>
  <tableStyleInfo name="TableStyleDark1" showFirstColumn="0" showLastColumn="0" showRowStripes="1" showColumnStripes="0"/>
</table>
</file>

<file path=xl/tables/table3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9" xr:uid="{CC20DF0A-7B23-4170-B6CE-329B49FC70CC}" name="TimeEntries10001010" displayName="TimeEntries10001010" ref="A4288:G4289" totalsRowShown="0">
  <autoFilter ref="A4288:G4289" xr:uid="{D7BAAA6F-9381-420C-853C-24FE85C2C93C}"/>
  <sortState xmlns:xlrd2="http://schemas.microsoft.com/office/spreadsheetml/2017/richdata2" ref="A4289:E4289">
    <sortCondition ref="A16:A17"/>
  </sortState>
  <tableColumns count="7">
    <tableColumn id="1" xr3:uid="{0438091E-0EF7-471E-A704-50AF185DC047}" name="Time entry no."/>
    <tableColumn id="2" xr3:uid="{C95528E9-6162-4E90-81A6-C728BF85CE2B}" name="Start time" dataDxfId="255"/>
    <tableColumn id="3" xr3:uid="{BF27BFD6-DA5B-4CB7-9811-BE8D48116DFF}" name="End time" dataDxfId="254"/>
    <tableColumn id="4" xr3:uid="{F405146D-FA64-4657-9257-DAAA3ED6AE37}" name="Time delta in h" dataDxfId="253">
      <calculatedColumnFormula>MAX((TimeEntries10001010[[#This Row],[End time]]-TimeEntries10001010[[#This Row],[Start time]])*24,0)</calculatedColumnFormula>
    </tableColumn>
    <tableColumn id="5" xr3:uid="{138D9BF1-9AC8-4E44-9A7A-EF951FB7A953}" name="Now?"/>
    <tableColumn id="6" xr3:uid="{AB994DA1-1437-4567-88EC-A03766666647}" name="Action1" dataDxfId="252" dataCellStyle="Hyperlink"/>
    <tableColumn id="7" xr3:uid="{1261B00E-E542-40D6-839F-6F9662E16D14}" name="Action2" dataDxfId="251" dataCellStyle="Hyperlink"/>
  </tableColumns>
  <tableStyleInfo name="TableStyleDark1" showFirstColumn="0" showLastColumn="0" showRowStripes="1" showColumnStripes="0"/>
</table>
</file>

<file path=xl/tables/table3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0" xr:uid="{90954103-0F82-4CF3-B9C0-6CF8D17401E7}" name="Tabelle736710011011" displayName="Tabelle736710011011" ref="I4288:M4289" totalsRowShown="0">
  <autoFilter ref="I4288:M4289" xr:uid="{2047A8CC-0478-412B-B5CE-67C5B3607FEA}"/>
  <tableColumns count="5">
    <tableColumn id="1" xr3:uid="{76ED8B88-AD28-4645-B2F8-4765EE8BE4C3}" name="Comparison entry no."/>
    <tableColumn id="2" xr3:uid="{36EBA624-E568-4CB3-8869-D4EE608D39AD}" name="Propability Support point" dataDxfId="250"/>
    <tableColumn id="3" xr3:uid="{D4906E56-6204-46A4-9956-AAC729804919}" name="EBS self time" dataDxfId="249"/>
    <tableColumn id="4" xr3:uid="{9E5D18B1-6EB8-4963-94AC-21C9EE9979DF}" name="Total time">
      <calculatedColumnFormula>SUM(TimeEntries10001010[Time delta in h])</calculatedColumnFormula>
    </tableColumn>
    <tableColumn id="5" xr3:uid="{EC74B2AB-46CF-461D-809D-EBEF3A9578DC}" name="Total time / Your estimate" dataDxfId="248">
      <calculatedColumnFormula>Tabelle736710011011[[#This Row],[EBS self time]]/Tabelle736710011011[[#This Row],[Total time]]</calculatedColumnFormula>
    </tableColumn>
  </tableColumns>
  <tableStyleInfo name="TableStyleDark1" showFirstColumn="0" showLastColumn="0" showRowStripes="1" showColumnStripes="0"/>
</table>
</file>

<file path=xl/tables/table3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7" xr:uid="{3F492BBD-AC13-437E-992D-DFE1CDA4B9E2}" name="TimeEntries1004101410181028" displayName="TimeEntries1004101410181028" ref="A4308:G4309" totalsRowShown="0">
  <autoFilter ref="A4308:G4309" xr:uid="{798859F1-FE39-4261-8FB4-2758588AFBE1}"/>
  <sortState xmlns:xlrd2="http://schemas.microsoft.com/office/spreadsheetml/2017/richdata2" ref="A4309:E4309">
    <sortCondition ref="A16:A17"/>
  </sortState>
  <tableColumns count="7">
    <tableColumn id="1" xr3:uid="{8FB79132-51B8-45E8-B31F-0A23F4820554}" name="Time entry no."/>
    <tableColumn id="2" xr3:uid="{2D3DFDF7-A53D-49A0-BF96-511DB3223840}" name="Start time" dataDxfId="247"/>
    <tableColumn id="3" xr3:uid="{5711DC3C-A565-4620-B260-871DBE36490A}" name="End time" dataDxfId="246"/>
    <tableColumn id="4" xr3:uid="{43FAD852-1231-4DE3-8254-E72F418C4BBB}" name="Time delta in h" dataDxfId="245">
      <calculatedColumnFormula>MAX((TimeEntries1004101410181028[[#This Row],[End time]]-TimeEntries1004101410181028[[#This Row],[Start time]])*24,0)</calculatedColumnFormula>
    </tableColumn>
    <tableColumn id="5" xr3:uid="{AD167C41-7875-484A-AF4C-B62795119120}" name="Now?"/>
    <tableColumn id="6" xr3:uid="{A165A04E-6C3E-4EB4-8758-67AA4A8E9CB9}" name="Action1" dataDxfId="244" dataCellStyle="Hyperlink"/>
    <tableColumn id="7" xr3:uid="{7152D734-B938-44EF-A12E-09171D0EF8C7}" name="Action2" dataDxfId="243" dataCellStyle="Hyperlink"/>
  </tableColumns>
  <tableStyleInfo name="TableStyleDark1" showFirstColumn="0" showLastColumn="0" showRowStripes="1" showColumnStripes="0"/>
</table>
</file>

<file path=xl/tables/table3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8" xr:uid="{32E4B5CC-3B22-4F1C-9A70-26551579713E}" name="Tabelle73671005101510191029" displayName="Tabelle73671005101510191029" ref="I4308:M4309" totalsRowShown="0">
  <autoFilter ref="I4308:M4309" xr:uid="{21D43163-261B-4CC7-B15C-66867B74053F}"/>
  <tableColumns count="5">
    <tableColumn id="1" xr3:uid="{6E7EF1C4-F52E-4E03-AB44-1C553BA0659A}" name="Comparison entry no."/>
    <tableColumn id="2" xr3:uid="{66225F1B-1183-4B49-AA63-B0DCE089880F}" name="Propability Support point" dataDxfId="242"/>
    <tableColumn id="3" xr3:uid="{77F7E4CA-68B7-402F-AAC9-B5FB9CA7267C}" name="EBS self time" dataDxfId="241"/>
    <tableColumn id="4" xr3:uid="{D76348F3-AB5D-4278-BC6F-A0960C916E16}" name="Total time">
      <calculatedColumnFormula>SUM(TimeEntries1004101410181028[Time delta in h])</calculatedColumnFormula>
    </tableColumn>
    <tableColumn id="5" xr3:uid="{8979C4E8-0E5A-4CFB-A788-46506BE54AD2}" name="Total time / Your estimate" dataDxfId="240">
      <calculatedColumnFormula>Tabelle73671005101510191029[[#This Row],[EBS self time]]/Tabelle73671005101510191029[[#This Row],[Total time]]</calculatedColumnFormula>
    </tableColumn>
  </tableColumns>
  <tableStyleInfo name="TableStyleDark1" showFirstColumn="0" showLastColumn="0" showRowStripes="1" showColumnStripes="0"/>
</table>
</file>

<file path=xl/tables/table3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9" xr:uid="{0B0F2E8A-7EA4-44A9-A616-7569DD432567}" name="TimeEntries10201030" displayName="TimeEntries10201030" ref="A4328:G4329" totalsRowShown="0">
  <autoFilter ref="A4328:G4329" xr:uid="{EA469CC4-2940-4780-B61A-508443237CC6}"/>
  <sortState xmlns:xlrd2="http://schemas.microsoft.com/office/spreadsheetml/2017/richdata2" ref="A4329:E4329">
    <sortCondition ref="A16:A17"/>
  </sortState>
  <tableColumns count="7">
    <tableColumn id="1" xr3:uid="{5D023EDE-36B4-47EE-8725-3E12B510460E}" name="Time entry no."/>
    <tableColumn id="2" xr3:uid="{42C98A06-0930-48D6-8DC0-656BB74C9D0D}" name="Start time" dataDxfId="239"/>
    <tableColumn id="3" xr3:uid="{3C8DD12F-4DAF-4526-ABF3-CD056BBDC413}" name="End time" dataDxfId="238"/>
    <tableColumn id="4" xr3:uid="{D0B20F8B-BAA3-4A59-8C11-22A53257A535}" name="Time delta in h" dataDxfId="237">
      <calculatedColumnFormula>MAX((TimeEntries10201030[[#This Row],[End time]]-TimeEntries10201030[[#This Row],[Start time]])*24,0)</calculatedColumnFormula>
    </tableColumn>
    <tableColumn id="5" xr3:uid="{C2F8FFBA-4417-46CB-B786-268A8DBC543D}" name="Now?"/>
    <tableColumn id="6" xr3:uid="{1FEF7DEC-B9AB-4D19-88F6-5941A9209836}" name="Action1" dataDxfId="236" dataCellStyle="Hyperlink"/>
    <tableColumn id="7" xr3:uid="{C32D3E6C-EA61-4B45-A995-1460A049AA7F}" name="Action2" dataDxfId="235" dataCellStyle="Hyperlink"/>
  </tableColumns>
  <tableStyleInfo name="TableStyleDark1" showFirstColumn="0" showLastColumn="0" showRowStripes="1" showColumnStripes="0"/>
</table>
</file>

<file path=xl/tables/table3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0" xr:uid="{943FA597-5AE0-476F-8A4F-DDF8FF783ED9}" name="Tabelle736710211031" displayName="Tabelle736710211031" ref="I4328:M4335" totalsRowShown="0">
  <autoFilter ref="I4328:M4335" xr:uid="{7EF69AF1-3D60-493A-8D68-F7986BC0C8DC}"/>
  <tableColumns count="5">
    <tableColumn id="1" xr3:uid="{F7646802-0A8D-4182-9DEA-F14291C88026}" name="Comparison entry no."/>
    <tableColumn id="2" xr3:uid="{00FE0FE8-203F-4CEC-81AE-99A6CE5DD741}" name="Propability Support point" dataDxfId="234"/>
    <tableColumn id="3" xr3:uid="{40E601BD-78EF-4EC1-A6DC-FF08317F982C}" name="EBS self time" dataDxfId="233"/>
    <tableColumn id="4" xr3:uid="{8316C91B-6619-4A3B-8FA6-513A5BFE4B0B}" name="Total time">
      <calculatedColumnFormula>SUM(TimeEntries10201030[Time delta in h])</calculatedColumnFormula>
    </tableColumn>
    <tableColumn id="5" xr3:uid="{2666D88A-30F3-4422-B046-8D775D4434A1}" name="Total time / Your estimate" dataDxfId="232">
      <calculatedColumnFormula>Tabelle736710211031[[#This Row],[EBS self time]]/Tabelle736710211031[[#This Row],[Total time]]</calculatedColumnFormula>
    </tableColumn>
  </tableColumns>
  <tableStyleInfo name="TableStyleDark1" showFirstColumn="0" showLastColumn="0" showRowStripes="1" showColumnStripes="0"/>
</table>
</file>

<file path=xl/tables/table3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1" xr:uid="{FA63D558-C331-4BF7-B25F-F11CE9E8D3A5}" name="TimeEntries10221032" displayName="TimeEntries10221032" ref="A4353:G4354" totalsRowShown="0">
  <autoFilter ref="A4353:G4354" xr:uid="{656E282D-1B45-4834-9F69-29F4C282B1AA}"/>
  <sortState xmlns:xlrd2="http://schemas.microsoft.com/office/spreadsheetml/2017/richdata2" ref="A4354:E4354">
    <sortCondition ref="A16:A17"/>
  </sortState>
  <tableColumns count="7">
    <tableColumn id="1" xr3:uid="{DA7D4CCA-D657-45C9-8AE9-783D44463582}" name="Time entry no."/>
    <tableColumn id="2" xr3:uid="{F1B27693-9E31-455F-BDD2-32BBB992D23B}" name="Start time" dataDxfId="231"/>
    <tableColumn id="3" xr3:uid="{327FD8E9-66DB-44AC-AAF6-2CB9E6F475AD}" name="End time" dataDxfId="230"/>
    <tableColumn id="4" xr3:uid="{76055A72-D290-4DF0-8054-CCA28A5DCD1B}" name="Time delta in h" dataDxfId="229">
      <calculatedColumnFormula>MAX((TimeEntries10221032[[#This Row],[End time]]-TimeEntries10221032[[#This Row],[Start time]])*24,0)</calculatedColumnFormula>
    </tableColumn>
    <tableColumn id="5" xr3:uid="{0F0E7EF5-82DD-47AC-9924-9308ECB231C3}" name="Now?"/>
    <tableColumn id="6" xr3:uid="{B1908F30-088E-4C08-84B6-FBE5D902F992}" name="Action1" dataDxfId="228" dataCellStyle="Hyperlink"/>
    <tableColumn id="7" xr3:uid="{530DA2B0-A8BB-4035-A097-6C5568F13A4B}" name="Action2" dataDxfId="227" dataCellStyle="Hyperlink"/>
  </tableColumns>
  <tableStyleInfo name="TableStyleDark1" showFirstColumn="0" showLastColumn="0" showRowStripes="1" showColumnStripes="0"/>
</table>
</file>

<file path=xl/tables/table3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2" xr:uid="{075D859C-909B-42E4-83D0-E8C8A0C4EC1F}" name="Tabelle736710231033" displayName="Tabelle736710231033" ref="I4353:M4360" totalsRowShown="0">
  <autoFilter ref="I4353:M4360" xr:uid="{F124BBFF-4D3A-47FA-86CC-8250408F44C2}"/>
  <tableColumns count="5">
    <tableColumn id="1" xr3:uid="{586457E8-938B-4F68-AC56-434D7E7BE2F5}" name="Comparison entry no."/>
    <tableColumn id="2" xr3:uid="{112D3701-B7A1-4046-BF1C-C5BD92737BC7}" name="Propability Support point" dataDxfId="226"/>
    <tableColumn id="3" xr3:uid="{F231C913-CEC0-498E-974F-E4385864E08E}" name="EBS self time" dataDxfId="225"/>
    <tableColumn id="4" xr3:uid="{24AF9189-DC85-4E70-BD19-2A18BF319FEF}" name="Total time">
      <calculatedColumnFormula>SUM(TimeEntries10221032[Time delta in h])</calculatedColumnFormula>
    </tableColumn>
    <tableColumn id="5" xr3:uid="{3E813AD9-3DD9-4DE7-969F-7364B3BA6311}" name="Total time / Your estimate" dataDxfId="224">
      <calculatedColumnFormula>Tabelle736710231033[[#This Row],[EBS self time]]/Tabelle736710231033[[#This Row],[Total time]]</calculatedColumnFormula>
    </tableColumn>
  </tableColumns>
  <tableStyleInfo name="TableStyleDark1" showFirstColumn="0" showLastColumn="0" showRowStripes="1" showColumnStripes="0"/>
</table>
</file>

<file path=xl/tables/table3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9" xr:uid="{81A21852-A28D-4832-BDDA-AC95104F974B}" name="TimeEntries1026103610401050" displayName="TimeEntries1026103610401050" ref="A4378:G4379" totalsRowShown="0">
  <autoFilter ref="A4378:G4379" xr:uid="{A9826354-8E6F-4B37-9F17-E60901A2EDB0}"/>
  <sortState xmlns:xlrd2="http://schemas.microsoft.com/office/spreadsheetml/2017/richdata2" ref="A4379:E4379">
    <sortCondition ref="A16:A17"/>
  </sortState>
  <tableColumns count="7">
    <tableColumn id="1" xr3:uid="{314D29D8-1E51-45D7-B4DA-8ADECCA55F70}" name="Time entry no."/>
    <tableColumn id="2" xr3:uid="{F3BFBC5E-5DB8-4E63-B3C5-F651841C4B7E}" name="Start time" dataDxfId="223"/>
    <tableColumn id="3" xr3:uid="{7DEAC210-9BB2-4A1E-9A9E-FAC96BB639A9}" name="End time" dataDxfId="222"/>
    <tableColumn id="4" xr3:uid="{374AD408-B856-413F-81C7-97EA95A6434B}" name="Time delta in h" dataDxfId="221">
      <calculatedColumnFormula>MAX((TimeEntries1026103610401050[[#This Row],[End time]]-TimeEntries1026103610401050[[#This Row],[Start time]])*24,0)</calculatedColumnFormula>
    </tableColumn>
    <tableColumn id="5" xr3:uid="{BABF32B6-63A3-4179-A413-73F4AA8B3FF8}" name="Now?"/>
    <tableColumn id="6" xr3:uid="{169B6AF3-D729-4DCB-BDFC-E031D80F9FDC}" name="Action1" dataDxfId="220" dataCellStyle="Hyperlink"/>
    <tableColumn id="7" xr3:uid="{C8EAA633-2697-4649-B17B-01D6B5A2B83C}" name="Action2" dataDxfId="219" dataCellStyle="Hyperlink"/>
  </tableColumns>
  <tableStyleInfo name="TableStyleDark1" showFirstColumn="0" showLastColumn="0" showRowStripes="1" showColumnStripes="0"/>
</table>
</file>

<file path=xl/tables/table3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0" xr:uid="{AB3C82C8-244C-48A5-B83D-EE64412486AC}" name="Tabelle73671027103710411051" displayName="Tabelle73671027103710411051" ref="I4378:M4379" totalsRowShown="0">
  <autoFilter ref="I4378:M4379" xr:uid="{A0890DD2-B12C-4E03-BD2D-AD226CC1C5B4}"/>
  <tableColumns count="5">
    <tableColumn id="1" xr3:uid="{A3207E7B-6933-4589-B26F-418D53A75F64}" name="Comparison entry no."/>
    <tableColumn id="2" xr3:uid="{9404AD3C-F12D-4817-8762-4E0E541929C5}" name="Propability Support point" dataDxfId="218"/>
    <tableColumn id="3" xr3:uid="{44CDD7B2-D9E1-4C3F-8DE1-B9078A63CC9F}" name="EBS self time" dataDxfId="217"/>
    <tableColumn id="4" xr3:uid="{1939DB49-3C73-4D17-8CBF-D808737F92B9}" name="Total time">
      <calculatedColumnFormula>SUM(TimeEntries1026103610401050[Time delta in h])</calculatedColumnFormula>
    </tableColumn>
    <tableColumn id="5" xr3:uid="{9B80C4F1-5131-4F05-83C3-F998F511DE70}" name="Total time / Your estimate" dataDxfId="216">
      <calculatedColumnFormula>Tabelle73671027103710411051[[#This Row],[EBS self time]]/Tabelle73671027103710411051[[#This Row],[Total time]]</calculatedColumnFormula>
    </tableColumn>
  </tableColumns>
  <tableStyleInfo name="TableStyleDark1" showFirstColumn="0" showLastColumn="0" showRowStripes="1" showColumnStripes="0"/>
</table>
</file>

<file path=xl/tables/table3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1" xr:uid="{C9F6B48F-2D39-4D98-89AF-38638234E0CC}" name="TimeEntries10421052" displayName="TimeEntries10421052" ref="A4398:G4399" totalsRowShown="0">
  <autoFilter ref="A4398:G4399" xr:uid="{49FFD152-8E35-40BF-8F96-22715CA8646D}"/>
  <sortState xmlns:xlrd2="http://schemas.microsoft.com/office/spreadsheetml/2017/richdata2" ref="A4399:E4399">
    <sortCondition ref="A16:A17"/>
  </sortState>
  <tableColumns count="7">
    <tableColumn id="1" xr3:uid="{13AE8881-3A99-4DF6-82D3-12721C11A492}" name="Time entry no."/>
    <tableColumn id="2" xr3:uid="{462C5335-306B-4065-A11A-0D869C0D566F}" name="Start time" dataDxfId="215"/>
    <tableColumn id="3" xr3:uid="{77A4B4EC-41A2-4A7D-9B83-664756FCB8D3}" name="End time" dataDxfId="214"/>
    <tableColumn id="4" xr3:uid="{E0B4DDE8-2CC8-43B1-A6C3-BC5011A48951}" name="Time delta in h" dataDxfId="213">
      <calculatedColumnFormula>MAX((TimeEntries10421052[[#This Row],[End time]]-TimeEntries10421052[[#This Row],[Start time]])*24,0)</calculatedColumnFormula>
    </tableColumn>
    <tableColumn id="5" xr3:uid="{9FEDFF0E-26D7-4EA5-948B-1B4F2E4B0AF2}" name="Now?"/>
    <tableColumn id="6" xr3:uid="{CFF7F2E9-7E89-4E75-968E-98AE877609E4}" name="Action1" dataDxfId="212" dataCellStyle="Hyperlink"/>
    <tableColumn id="7" xr3:uid="{EB1E1865-B6EE-45C7-AF3C-4B32DB9FAA3C}" name="Action2" dataDxfId="211" dataCellStyle="Hyperlink"/>
  </tableColumns>
  <tableStyleInfo name="TableStyleDark1" showFirstColumn="0" showLastColumn="0" showRowStripes="1" showColumnStripes="0"/>
</table>
</file>

<file path=xl/tables/table3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2" xr:uid="{DF4510D4-C570-48D8-A706-F3D3F23EBCDE}" name="Tabelle736710431053" displayName="Tabelle736710431053" ref="I4398:M4405" totalsRowShown="0">
  <autoFilter ref="I4398:M4405" xr:uid="{8B0B6ACA-ED7F-4ECB-A86F-235973090086}"/>
  <tableColumns count="5">
    <tableColumn id="1" xr3:uid="{5B1413F7-B077-4078-89D0-E8BE436426B4}" name="Comparison entry no."/>
    <tableColumn id="2" xr3:uid="{F3EA129D-E64F-48DA-8634-8E616B9CB52C}" name="Propability Support point" dataDxfId="210"/>
    <tableColumn id="3" xr3:uid="{7821B050-687C-465C-A5A0-26A16B37243F}" name="EBS self time" dataDxfId="209"/>
    <tableColumn id="4" xr3:uid="{BF3205FF-7E0D-41A2-A9D0-E64EBC0FE94E}" name="Total time">
      <calculatedColumnFormula>SUM(TimeEntries10421052[Time delta in h])</calculatedColumnFormula>
    </tableColumn>
    <tableColumn id="5" xr3:uid="{F4465469-9033-45C1-BA56-432F280675BA}" name="Total time / Your estimate" dataDxfId="208">
      <calculatedColumnFormula>Tabelle736710431053[[#This Row],[EBS self time]]/Tabelle736710431053[[#This Row],[Total time]]</calculatedColumnFormula>
    </tableColumn>
  </tableColumns>
  <tableStyleInfo name="TableStyleDark1" showFirstColumn="0" showLastColumn="0" showRowStripes="1" showColumnStripes="0"/>
</table>
</file>

<file path=xl/tables/table3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3" xr:uid="{08C05BEE-FA25-4CB8-819C-7536BBF5924B}" name="TimeEntries10441054" displayName="TimeEntries10441054" ref="A4423:G4424" totalsRowShown="0">
  <autoFilter ref="A4423:G4424" xr:uid="{EE2E4F15-817B-457E-A729-8F1B062EC7B4}"/>
  <sortState xmlns:xlrd2="http://schemas.microsoft.com/office/spreadsheetml/2017/richdata2" ref="A4424:E4424">
    <sortCondition ref="A16:A17"/>
  </sortState>
  <tableColumns count="7">
    <tableColumn id="1" xr3:uid="{CC51C602-2151-4617-8E1B-EC236745B9F9}" name="Time entry no."/>
    <tableColumn id="2" xr3:uid="{573B3709-75EE-412B-8E5D-2BC13C8850FF}" name="Start time" dataDxfId="207"/>
    <tableColumn id="3" xr3:uid="{9B9F01E1-E0E7-44DD-8A70-3FD45D44964C}" name="End time" dataDxfId="206"/>
    <tableColumn id="4" xr3:uid="{54638E0D-3C8C-4918-9DC5-F54ACEA68798}" name="Time delta in h" dataDxfId="205">
      <calculatedColumnFormula>MAX((TimeEntries10441054[[#This Row],[End time]]-TimeEntries10441054[[#This Row],[Start time]])*24,0)</calculatedColumnFormula>
    </tableColumn>
    <tableColumn id="5" xr3:uid="{F68D2137-264C-420F-A22A-C512340694B3}" name="Now?"/>
    <tableColumn id="6" xr3:uid="{5272A8E5-4553-48CA-BCE1-8281D42A1FA3}" name="Action1" dataDxfId="204" dataCellStyle="Hyperlink"/>
    <tableColumn id="7" xr3:uid="{D842D4DF-452E-4EBF-AB51-28CA6C7963B1}" name="Action2" dataDxfId="203" dataCellStyle="Hyperlink"/>
  </tableColumns>
  <tableStyleInfo name="TableStyleDark1" showFirstColumn="0" showLastColumn="0" showRowStripes="1" showColumnStripes="0"/>
</table>
</file>

<file path=xl/tables/table3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4" xr:uid="{48E71610-5446-444D-AFD0-A8BC2074A7E0}" name="Tabelle736710451055" displayName="Tabelle736710451055" ref="I4423:M4430" totalsRowShown="0">
  <autoFilter ref="I4423:M4430" xr:uid="{A3D1C16E-6C17-40BC-B9C1-CDD920268FFC}"/>
  <tableColumns count="5">
    <tableColumn id="1" xr3:uid="{0AA43651-F22A-4819-8ECA-8E415AC0AAEF}" name="Comparison entry no."/>
    <tableColumn id="2" xr3:uid="{F330E623-6EAF-4E66-90F2-BDFC03586AB9}" name="Propability Support point" dataDxfId="202"/>
    <tableColumn id="3" xr3:uid="{2408618E-7532-487E-899F-653AD1010121}" name="EBS self time" dataDxfId="201"/>
    <tableColumn id="4" xr3:uid="{30BF2E37-3CCD-4F10-B2DD-E8103CF213C8}" name="Total time">
      <calculatedColumnFormula>SUM(TimeEntries10441054[Time delta in h])</calculatedColumnFormula>
    </tableColumn>
    <tableColumn id="5" xr3:uid="{F7B0B82E-AE8D-4743-A8B3-631B0529217E}" name="Total time / Your estimate" dataDxfId="200">
      <calculatedColumnFormula>Tabelle736710451055[[#This Row],[EBS self time]]/Tabelle736710451055[[#This Row],[Total time]]</calculatedColumnFormula>
    </tableColumn>
  </tableColumns>
  <tableStyleInfo name="TableStyleDark1" showFirstColumn="0" showLastColumn="0" showRowStripes="1" showColumnStripes="0"/>
</table>
</file>

<file path=xl/tables/table3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5" xr:uid="{ECE4595A-FC4A-4BB9-A585-80AA5737236D}" name="TimeEntries10461056" displayName="TimeEntries10461056" ref="A4448:G4449" totalsRowShown="0">
  <autoFilter ref="A4448:G4449" xr:uid="{F591B4EE-F892-4AA9-8FF4-6A620B6F8715}"/>
  <sortState xmlns:xlrd2="http://schemas.microsoft.com/office/spreadsheetml/2017/richdata2" ref="A4449:E4449">
    <sortCondition ref="A16:A17"/>
  </sortState>
  <tableColumns count="7">
    <tableColumn id="1" xr3:uid="{5DFA5B59-F0D7-4299-B16C-8D0153C6FB4C}" name="Time entry no."/>
    <tableColumn id="2" xr3:uid="{F789F914-E714-4A52-B985-2972E55EBD4B}" name="Start time" dataDxfId="199"/>
    <tableColumn id="3" xr3:uid="{BAA22917-225C-4194-A59B-6D23917A092D}" name="End time" dataDxfId="198"/>
    <tableColumn id="4" xr3:uid="{E141330A-29B7-4361-99AE-DF26C3190764}" name="Time delta in h" dataDxfId="197">
      <calculatedColumnFormula>MAX((TimeEntries10461056[[#This Row],[End time]]-TimeEntries10461056[[#This Row],[Start time]])*24,0)</calculatedColumnFormula>
    </tableColumn>
    <tableColumn id="5" xr3:uid="{773B4456-8DE9-42AE-BB40-89D097AD65A8}" name="Now?"/>
    <tableColumn id="6" xr3:uid="{7A79490B-6982-4DB4-9EC6-49BA498167B0}" name="Action1" dataDxfId="196" dataCellStyle="Hyperlink"/>
    <tableColumn id="7" xr3:uid="{8A3DE794-3BF6-4C5E-980D-F271E7F2D30E}" name="Action2" dataDxfId="195" dataCellStyle="Hyperlink"/>
  </tableColumns>
  <tableStyleInfo name="TableStyleDark1" showFirstColumn="0" showLastColumn="0" showRowStripes="1" showColumnStripes="0"/>
</table>
</file>

<file path=xl/tables/table3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6" xr:uid="{A364DB2B-84DE-4C0F-9068-536C7B74D8BF}" name="Tabelle736710471057" displayName="Tabelle736710471057" ref="I4448:M4455" totalsRowShown="0">
  <autoFilter ref="I4448:M4455" xr:uid="{CEA36C32-B820-42AF-A7ED-C5EE6C2D1118}"/>
  <tableColumns count="5">
    <tableColumn id="1" xr3:uid="{7E03745E-F209-44A3-8688-E888654F79EA}" name="Comparison entry no."/>
    <tableColumn id="2" xr3:uid="{7A704A7F-763E-4E48-B73A-4BA39AECCB74}" name="Propability Support point" dataDxfId="194"/>
    <tableColumn id="3" xr3:uid="{BB3F2EE4-F814-44ED-AD0C-9E99BE2DB863}" name="EBS self time" dataDxfId="193"/>
    <tableColumn id="4" xr3:uid="{269B386C-EAD5-413C-BE88-7EFCA543FC72}" name="Total time">
      <calculatedColumnFormula>SUM(TimeEntries10461056[Time delta in h])</calculatedColumnFormula>
    </tableColumn>
    <tableColumn id="5" xr3:uid="{CE3EB277-4BEA-47A7-9499-1D89D7728216}" name="Total time / Your estimate" dataDxfId="192">
      <calculatedColumnFormula>Tabelle736710471057[[#This Row],[EBS self time]]/Tabelle736710471057[[#This Row],[Total time]]</calculatedColumnFormula>
    </tableColumn>
  </tableColumns>
  <tableStyleInfo name="TableStyleDark1" showFirstColumn="0" showLastColumn="0" showRowStripes="1" showColumnStripes="0"/>
</table>
</file>

<file path=xl/tables/table3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1" xr:uid="{95E15A8A-6611-4FDA-810E-2DF3D60D17A9}" name="TimeEntries1048105810621072" displayName="TimeEntries1048105810621072" ref="A4473:G4474" totalsRowShown="0">
  <autoFilter ref="A4473:G4474" xr:uid="{353B6EBA-91F4-4EE7-A7E3-47B0D29E2145}"/>
  <sortState xmlns:xlrd2="http://schemas.microsoft.com/office/spreadsheetml/2017/richdata2" ref="A4474:E4474">
    <sortCondition ref="A16:A17"/>
  </sortState>
  <tableColumns count="7">
    <tableColumn id="1" xr3:uid="{359185D6-0E78-4A77-A95B-55F0359F86A6}" name="Time entry no."/>
    <tableColumn id="2" xr3:uid="{0EDEFE85-5AF2-459A-9874-B5093DFE4D19}" name="Start time" dataDxfId="191"/>
    <tableColumn id="3" xr3:uid="{6996C967-A14D-4BAE-951C-182FD0689AE3}" name="End time" dataDxfId="190"/>
    <tableColumn id="4" xr3:uid="{B4FEE1A2-2A77-416B-A283-635E4AD3B44B}" name="Time delta in h" dataDxfId="189">
      <calculatedColumnFormula>MAX((TimeEntries1048105810621072[[#This Row],[End time]]-TimeEntries1048105810621072[[#This Row],[Start time]])*24,0)</calculatedColumnFormula>
    </tableColumn>
    <tableColumn id="5" xr3:uid="{16277620-B195-4066-AC86-DC927686B4BB}" name="Now?"/>
    <tableColumn id="6" xr3:uid="{4C7F6E79-D793-49DD-A859-A4753833B392}" name="Action1" dataDxfId="188" dataCellStyle="Hyperlink"/>
    <tableColumn id="7" xr3:uid="{91DB0E60-13BE-4509-AE2A-3FB2B8AC7149}" name="Action2" dataDxfId="187" dataCellStyle="Hyperlink"/>
  </tableColumns>
  <tableStyleInfo name="TableStyleDark1" showFirstColumn="0" showLastColumn="0" showRowStripes="1" showColumnStripes="0"/>
</table>
</file>

<file path=xl/tables/table3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2" xr:uid="{269D3C73-7874-40FF-9B4A-FE5DBAA237B0}" name="Tabelle73671049105910631073" displayName="Tabelle73671049105910631073" ref="I4473:M4474" totalsRowShown="0">
  <autoFilter ref="I4473:M4474" xr:uid="{6AEED2E6-3489-43E3-A6AD-EFD681483F26}"/>
  <tableColumns count="5">
    <tableColumn id="1" xr3:uid="{D85B3887-38AD-4323-AE53-54D35060A4D0}" name="Comparison entry no."/>
    <tableColumn id="2" xr3:uid="{5C5E84F1-215E-4048-A2AE-F35559CD6C2C}" name="Propability Support point" dataDxfId="186"/>
    <tableColumn id="3" xr3:uid="{55272F7F-7E15-4D10-9A8D-1813FBB6AB4B}" name="EBS self time" dataDxfId="185"/>
    <tableColumn id="4" xr3:uid="{4FC32499-0178-46BD-A22C-BB33F3F0616D}" name="Total time">
      <calculatedColumnFormula>SUM(TimeEntries1048105810621072[Time delta in h])</calculatedColumnFormula>
    </tableColumn>
    <tableColumn id="5" xr3:uid="{58C1EC7C-3156-4068-8CBD-7AE0A23EF21F}" name="Total time / Your estimate" dataDxfId="184">
      <calculatedColumnFormula>Tabelle73671049105910631073[[#This Row],[EBS self time]]/Tabelle73671049105910631073[[#This Row],[Total time]]</calculatedColumnFormula>
    </tableColumn>
  </tableColumns>
  <tableStyleInfo name="TableStyleDark1" showFirstColumn="0" showLastColumn="0" showRowStripes="1" showColumnStripes="0"/>
</table>
</file>

<file path=xl/tables/table3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3" xr:uid="{8FE21349-0517-4908-A087-70B502BAB1B4}" name="TimeEntries10641074" displayName="TimeEntries10641074" ref="A4493:G4494" totalsRowShown="0">
  <autoFilter ref="A4493:G4494" xr:uid="{3E4086D1-2450-4CAE-AB5E-72CD26FC63E2}"/>
  <sortState xmlns:xlrd2="http://schemas.microsoft.com/office/spreadsheetml/2017/richdata2" ref="A4494:E4494">
    <sortCondition ref="A16:A17"/>
  </sortState>
  <tableColumns count="7">
    <tableColumn id="1" xr3:uid="{EA3608AA-D6FE-4E7B-AB9D-889E336FFEC1}" name="Time entry no."/>
    <tableColumn id="2" xr3:uid="{EB31EFCA-BF13-4043-B5DA-D69F9555BAF6}" name="Start time" dataDxfId="183"/>
    <tableColumn id="3" xr3:uid="{CC681258-F4DE-4057-8DF7-D99E2A83CF9A}" name="End time" dataDxfId="182"/>
    <tableColumn id="4" xr3:uid="{9C84E8E1-23F8-4466-8136-CDAC71D8DFF9}" name="Time delta in h" dataDxfId="181">
      <calculatedColumnFormula>MAX((TimeEntries10641074[[#This Row],[End time]]-TimeEntries10641074[[#This Row],[Start time]])*24,0)</calculatedColumnFormula>
    </tableColumn>
    <tableColumn id="5" xr3:uid="{05514CA8-09E8-47AC-8F63-B4AE56665435}" name="Now?"/>
    <tableColumn id="6" xr3:uid="{CE146822-52A2-49E0-A9A4-B0735DCF4FEC}" name="Action1" dataDxfId="180" dataCellStyle="Hyperlink"/>
    <tableColumn id="7" xr3:uid="{A5F70026-138B-46A7-98CE-A5DDFA273D51}" name="Action2" dataDxfId="179" dataCellStyle="Hyperlink"/>
  </tableColumns>
  <tableStyleInfo name="TableStyleDark1" showFirstColumn="0" showLastColumn="0" showRowStripes="1" showColumnStripes="0"/>
</table>
</file>

<file path=xl/tables/table3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4" xr:uid="{8620BD0A-92FB-475C-81CA-947CEFA60B21}" name="Tabelle736710651075" displayName="Tabelle736710651075" ref="I4493:M4500" totalsRowShown="0">
  <autoFilter ref="I4493:M4500" xr:uid="{25BE9C94-1AF6-44B3-A4AD-F8C789432232}"/>
  <tableColumns count="5">
    <tableColumn id="1" xr3:uid="{2745766C-2C24-43D6-AE24-180CB5AD0D80}" name="Comparison entry no."/>
    <tableColumn id="2" xr3:uid="{0254FA45-2EFB-40D7-97CC-94DEBD37E20F}" name="Propability Support point" dataDxfId="178"/>
    <tableColumn id="3" xr3:uid="{80D810BA-B3E0-42A2-B664-1AC2B3C519EA}" name="EBS self time" dataDxfId="177"/>
    <tableColumn id="4" xr3:uid="{0906D26A-8A44-4D0C-9B26-37C648D8D30A}" name="Total time">
      <calculatedColumnFormula>SUM(TimeEntries10641074[Time delta in h])</calculatedColumnFormula>
    </tableColumn>
    <tableColumn id="5" xr3:uid="{838AA751-5142-4D4C-81BD-4FBAF72F6A8F}" name="Total time / Your estimate" dataDxfId="176">
      <calculatedColumnFormula>Tabelle736710651075[[#This Row],[EBS self time]]/Tabelle736710651075[[#This Row],[Total time]]</calculatedColumnFormula>
    </tableColumn>
  </tableColumns>
  <tableStyleInfo name="TableStyleDark1" showFirstColumn="0" showLastColumn="0" showRowStripes="1" showColumnStripes="0"/>
</table>
</file>

<file path=xl/tables/table3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5" xr:uid="{A3AAB3A2-05AA-4681-AE31-676AF6FF5387}" name="TimeEntries10661076" displayName="TimeEntries10661076" ref="A4518:G4519" totalsRowShown="0">
  <autoFilter ref="A4518:G4519" xr:uid="{D8AC4C49-F48D-430F-A19C-7D906AED3CDF}"/>
  <sortState xmlns:xlrd2="http://schemas.microsoft.com/office/spreadsheetml/2017/richdata2" ref="A4519:E4519">
    <sortCondition ref="A16:A17"/>
  </sortState>
  <tableColumns count="7">
    <tableColumn id="1" xr3:uid="{38BC4762-033F-43E0-9730-051390E30D4C}" name="Time entry no."/>
    <tableColumn id="2" xr3:uid="{F7C71972-88BC-4C35-BB05-94A60B17262B}" name="Start time" dataDxfId="175"/>
    <tableColumn id="3" xr3:uid="{1FF70120-B856-4809-A32D-2E60ABCE6686}" name="End time" dataDxfId="174"/>
    <tableColumn id="4" xr3:uid="{FAE314D1-5188-47EA-8AD2-E5995D071BA2}" name="Time delta in h" dataDxfId="173">
      <calculatedColumnFormula>MAX((TimeEntries10661076[[#This Row],[End time]]-TimeEntries10661076[[#This Row],[Start time]])*24,0)</calculatedColumnFormula>
    </tableColumn>
    <tableColumn id="5" xr3:uid="{DDBAB5E8-FA9F-453F-9DCF-A1E58B5D6C74}" name="Now?"/>
    <tableColumn id="6" xr3:uid="{8D9C073F-C6C7-4F38-8ACC-8D958A76A7EC}" name="Action1" dataDxfId="172" dataCellStyle="Hyperlink"/>
    <tableColumn id="7" xr3:uid="{F443EE28-32F3-4AF0-B04E-BFDC9DC9264D}" name="Action2" dataDxfId="171" dataCellStyle="Hyperlink"/>
  </tableColumns>
  <tableStyleInfo name="TableStyleDark1" showFirstColumn="0" showLastColumn="0" showRowStripes="1" showColumnStripes="0"/>
</table>
</file>

<file path=xl/tables/table3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6" xr:uid="{E08521AA-4ECA-40BA-9A72-DF6E1B03901B}" name="Tabelle736710671077" displayName="Tabelle736710671077" ref="I4518:M4525" totalsRowShown="0">
  <autoFilter ref="I4518:M4525" xr:uid="{25C977E1-8AA5-4F30-90A9-C30A30E3EDFB}"/>
  <tableColumns count="5">
    <tableColumn id="1" xr3:uid="{E1E0F621-D90E-4AFA-BF8F-0F360068DAFF}" name="Comparison entry no."/>
    <tableColumn id="2" xr3:uid="{09D41D5E-0EA0-4B98-870A-85894E524D95}" name="Propability Support point" dataDxfId="170"/>
    <tableColumn id="3" xr3:uid="{3CF50C3F-6EE6-4A84-A957-A8178A65278E}" name="EBS self time" dataDxfId="169"/>
    <tableColumn id="4" xr3:uid="{AAFB08D1-8673-4B97-A42E-40BC51D08678}" name="Total time">
      <calculatedColumnFormula>SUM(TimeEntries10661076[Time delta in h])</calculatedColumnFormula>
    </tableColumn>
    <tableColumn id="5" xr3:uid="{8995E11C-50DE-4B03-A8F4-B99A72CC5646}" name="Total time / Your estimate" dataDxfId="168">
      <calculatedColumnFormula>Tabelle736710671077[[#This Row],[EBS self time]]/Tabelle736710671077[[#This Row],[Total time]]</calculatedColumnFormula>
    </tableColumn>
  </tableColumns>
  <tableStyleInfo name="TableStyleDark1" showFirstColumn="0" showLastColumn="0" showRowStripes="1" showColumnStripes="0"/>
</table>
</file>

<file path=xl/tables/table3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7" xr:uid="{1BC1AB8C-0959-413C-8783-9DAAA2FBE96D}" name="TimeEntries10681078" displayName="TimeEntries10681078" ref="A4543:G4544" totalsRowShown="0">
  <autoFilter ref="A4543:G4544" xr:uid="{EACA4A22-78A3-41F6-9263-6DB2B00247DC}"/>
  <sortState xmlns:xlrd2="http://schemas.microsoft.com/office/spreadsheetml/2017/richdata2" ref="A4544:E4544">
    <sortCondition ref="A16:A17"/>
  </sortState>
  <tableColumns count="7">
    <tableColumn id="1" xr3:uid="{57651285-4A26-41B9-BF94-98AB4E044E32}" name="Time entry no."/>
    <tableColumn id="2" xr3:uid="{0EED2A03-22B1-4010-B5D6-6EE2704D75B7}" name="Start time" dataDxfId="167"/>
    <tableColumn id="3" xr3:uid="{997B3F99-B35F-4B68-9294-77021FF4D2C9}" name="End time" dataDxfId="166"/>
    <tableColumn id="4" xr3:uid="{A6BF221C-0690-49F6-BFF2-6D7ECE935D82}" name="Time delta in h" dataDxfId="165">
      <calculatedColumnFormula>MAX((TimeEntries10681078[[#This Row],[End time]]-TimeEntries10681078[[#This Row],[Start time]])*24,0)</calculatedColumnFormula>
    </tableColumn>
    <tableColumn id="5" xr3:uid="{60703A33-16A8-4008-BCC0-25A05FB693AF}" name="Now?"/>
    <tableColumn id="6" xr3:uid="{733C52B3-EDBC-4AAC-8F10-3C00AAF4A972}" name="Action1" dataDxfId="164" dataCellStyle="Hyperlink"/>
    <tableColumn id="7" xr3:uid="{463063F1-CCC2-40A6-AD1A-9E253C53CD21}" name="Action2" dataDxfId="163" dataCellStyle="Hyperlink"/>
  </tableColumns>
  <tableStyleInfo name="TableStyleDark1" showFirstColumn="0" showLastColumn="0" showRowStripes="1" showColumnStripes="0"/>
</table>
</file>

<file path=xl/tables/table3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8" xr:uid="{EDBF7852-30FB-4BB2-A6F2-1F3E4F762161}" name="Tabelle736710691079" displayName="Tabelle736710691079" ref="I4543:M4544" totalsRowShown="0">
  <autoFilter ref="I4543:M4544" xr:uid="{86334C92-A6B3-4E72-9BBA-281F5B9E5A14}"/>
  <tableColumns count="5">
    <tableColumn id="1" xr3:uid="{B4FB1675-8878-45D0-8A22-7C63552780FF}" name="Comparison entry no."/>
    <tableColumn id="2" xr3:uid="{19772D80-0988-426E-9B9E-425C78BA8B9A}" name="Propability Support point" dataDxfId="162"/>
    <tableColumn id="3" xr3:uid="{464EF495-1CB2-4DEC-BEB2-EA0A34DC18D2}" name="EBS self time" dataDxfId="161"/>
    <tableColumn id="4" xr3:uid="{4A83B32D-3E65-4E36-8D1E-503AAC851B23}" name="Total time">
      <calculatedColumnFormula>SUM(TimeEntries10681078[Time delta in h])</calculatedColumnFormula>
    </tableColumn>
    <tableColumn id="5" xr3:uid="{A9022559-44F9-4F17-B910-4C9C6267F4F6}" name="Total time / Your estimate" dataDxfId="160">
      <calculatedColumnFormula>Tabelle736710691079[[#This Row],[EBS self time]]/Tabelle736710691079[[#This Row],[Total time]]</calculatedColumnFormula>
    </tableColumn>
  </tableColumns>
  <tableStyleInfo name="TableStyleDark1" showFirstColumn="0" showLastColumn="0" showRowStripes="1" showColumnStripes="0"/>
</table>
</file>

<file path=xl/tables/table3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3" xr:uid="{DD8D1A80-09CC-4C07-8843-E716F0E19963}" name="TimeEntries1070108010841094" displayName="TimeEntries1070108010841094" ref="A4563:G4564" totalsRowShown="0">
  <autoFilter ref="A4563:G4564" xr:uid="{40EA7EFB-6903-4D9C-9968-9530811AE394}"/>
  <sortState xmlns:xlrd2="http://schemas.microsoft.com/office/spreadsheetml/2017/richdata2" ref="A4564:E4564">
    <sortCondition ref="A16:A17"/>
  </sortState>
  <tableColumns count="7">
    <tableColumn id="1" xr3:uid="{49D1B75A-C453-4019-BCD2-183467E08D18}" name="Time entry no."/>
    <tableColumn id="2" xr3:uid="{4CD2B220-9909-4BEB-ACA8-FA4AB29EE8A8}" name="Start time" dataDxfId="159"/>
    <tableColumn id="3" xr3:uid="{486BCFB1-BD1C-4F87-8F3B-27B227A1A642}" name="End time" dataDxfId="158"/>
    <tableColumn id="4" xr3:uid="{A0ED9EA9-E4A7-4080-8702-AE08A8927883}" name="Time delta in h" dataDxfId="157">
      <calculatedColumnFormula>MAX((TimeEntries1070108010841094[[#This Row],[End time]]-TimeEntries1070108010841094[[#This Row],[Start time]])*24,0)</calculatedColumnFormula>
    </tableColumn>
    <tableColumn id="5" xr3:uid="{C37D57D9-32E5-4839-A50B-A260CC64E867}" name="Now?"/>
    <tableColumn id="6" xr3:uid="{38D90052-A01A-4316-A961-517A8B26EC43}" name="Action1" dataDxfId="156" dataCellStyle="Hyperlink"/>
    <tableColumn id="7" xr3:uid="{73614F5E-0CC9-467B-ACD9-5D9498B565ED}" name="Action2" dataDxfId="155" dataCellStyle="Hyperlink"/>
  </tableColumns>
  <tableStyleInfo name="TableStyleDark1" showFirstColumn="0" showLastColumn="0" showRowStripes="1" showColumnStripes="0"/>
</table>
</file>

<file path=xl/tables/table3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4" xr:uid="{D17B43D7-C7BA-43F9-8010-3E5BC36A57D1}" name="Tabelle73671071108110851095" displayName="Tabelle73671071108110851095" ref="I4563:M4570" totalsRowShown="0">
  <autoFilter ref="I4563:M4570" xr:uid="{9F6A75D4-E586-4AA9-9A8B-E3136DF1D54D}"/>
  <tableColumns count="5">
    <tableColumn id="1" xr3:uid="{9010EC4E-2B6A-4505-8C96-B46162D90488}" name="Comparison entry no."/>
    <tableColumn id="2" xr3:uid="{97ED6D12-9BA0-42DE-93D7-9B48ED269DD2}" name="Propability Support point" dataDxfId="154"/>
    <tableColumn id="3" xr3:uid="{1A506614-3C2B-4484-B3A5-C69E3E8BCB94}" name="EBS self time" dataDxfId="153"/>
    <tableColumn id="4" xr3:uid="{CE385409-581F-4D43-9A29-9B9F5BA02C4C}" name="Total time">
      <calculatedColumnFormula>SUM(TimeEntries1070108010841094[Time delta in h])</calculatedColumnFormula>
    </tableColumn>
    <tableColumn id="5" xr3:uid="{B772F3B0-8CC1-4C0C-8788-A94ED7B834CA}" name="Total time / Your estimate" dataDxfId="152">
      <calculatedColumnFormula>Tabelle73671071108110851095[[#This Row],[EBS self time]]/Tabelle73671071108110851095[[#This Row],[Total time]]</calculatedColumnFormula>
    </tableColumn>
  </tableColumns>
  <tableStyleInfo name="TableStyleDark1" showFirstColumn="0" showLastColumn="0" showRowStripes="1" showColumnStripes="0"/>
</table>
</file>

<file path=xl/tables/table3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5" xr:uid="{27F2741B-1F1A-469B-AA24-9022CCACAFAA}" name="TimeEntries10861096" displayName="TimeEntries10861096" ref="A4588:G4589" totalsRowShown="0">
  <autoFilter ref="A4588:G4589" xr:uid="{DC42C762-FA4C-44E1-BF6B-4BCB36B4CC61}"/>
  <sortState xmlns:xlrd2="http://schemas.microsoft.com/office/spreadsheetml/2017/richdata2" ref="A4589:E4589">
    <sortCondition ref="A16:A17"/>
  </sortState>
  <tableColumns count="7">
    <tableColumn id="1" xr3:uid="{46420A6A-F6F8-4E73-A548-63D918408F5D}" name="Time entry no."/>
    <tableColumn id="2" xr3:uid="{695ACF35-E79A-4E34-A836-41AF034B18D6}" name="Start time" dataDxfId="151"/>
    <tableColumn id="3" xr3:uid="{300F2737-1B07-4F71-B40E-70C4BD90F313}" name="End time" dataDxfId="150"/>
    <tableColumn id="4" xr3:uid="{03987189-32FF-489E-8F72-8B4D6D9635B2}" name="Time delta in h" dataDxfId="149">
      <calculatedColumnFormula>MAX((TimeEntries10861096[[#This Row],[End time]]-TimeEntries10861096[[#This Row],[Start time]])*24,0)</calculatedColumnFormula>
    </tableColumn>
    <tableColumn id="5" xr3:uid="{F710E6E8-ED76-4281-B2AA-F1EFF6A89E5E}" name="Now?"/>
    <tableColumn id="6" xr3:uid="{1B8F0906-B67A-45CE-B750-719FFD183E7A}" name="Action1" dataDxfId="148" dataCellStyle="Hyperlink"/>
    <tableColumn id="7" xr3:uid="{0E7B37B7-2CD2-45EC-ABF0-6291C454C7D5}" name="Action2" dataDxfId="147" dataCellStyle="Hyperlink"/>
  </tableColumns>
  <tableStyleInfo name="TableStyleDark1" showFirstColumn="0" showLastColumn="0" showRowStripes="1" showColumnStripes="0"/>
</table>
</file>

<file path=xl/tables/table3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7" xr:uid="{8A92FD01-98A2-4599-B261-71C83945A8FF}" name="Tabelle736710871098" displayName="Tabelle736710871098" ref="I4588:M4595" totalsRowShown="0">
  <autoFilter ref="I4588:M4595" xr:uid="{BF2D7405-5E10-4707-917C-13355C267837}"/>
  <tableColumns count="5">
    <tableColumn id="1" xr3:uid="{13BFD56D-69F1-4977-940C-AF2A6B781DB5}" name="Comparison entry no."/>
    <tableColumn id="2" xr3:uid="{421244EC-EC42-4B51-8B52-CD3FC8F11F64}" name="Propability Support point" dataDxfId="146"/>
    <tableColumn id="3" xr3:uid="{DB153EC1-5CF0-4586-8731-B853CC5FFACD}" name="EBS self time" dataDxfId="145"/>
    <tableColumn id="4" xr3:uid="{B63FAE77-512D-444C-B3CC-3174879053CA}" name="Total time">
      <calculatedColumnFormula>SUM(TimeEntries10861096[Time delta in h])</calculatedColumnFormula>
    </tableColumn>
    <tableColumn id="5" xr3:uid="{D5755C19-030F-40D0-AB1C-2968AA414A22}" name="Total time / Your estimate" dataDxfId="144">
      <calculatedColumnFormula>Tabelle736710871098[[#This Row],[EBS self time]]/Tabelle736710871098[[#This Row],[Total time]]</calculatedColumnFormula>
    </tableColumn>
  </tableColumns>
  <tableStyleInfo name="TableStyleDark1" showFirstColumn="0" showLastColumn="0" showRowStripes="1" showColumnStripes="0"/>
</table>
</file>

<file path=xl/tables/table3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8" xr:uid="{42B22DE3-0E1F-41DE-B9C5-5828F554B60E}" name="TimeEntries10881099" displayName="TimeEntries10881099" ref="A4613:G4614" totalsRowShown="0">
  <autoFilter ref="A4613:G4614" xr:uid="{3BA19AEC-95EB-41D3-A3C2-4980A71B6395}"/>
  <sortState xmlns:xlrd2="http://schemas.microsoft.com/office/spreadsheetml/2017/richdata2" ref="A4614:E4614">
    <sortCondition ref="A16:A17"/>
  </sortState>
  <tableColumns count="7">
    <tableColumn id="1" xr3:uid="{AD89BD7D-5CDD-4F58-A411-E1C205199E35}" name="Time entry no."/>
    <tableColumn id="2" xr3:uid="{65AEF312-DC51-4A0D-9D2B-A16E1E213AE3}" name="Start time" dataDxfId="143"/>
    <tableColumn id="3" xr3:uid="{E5AEE41D-C662-41DF-9B7A-B5BD1E6719EB}" name="End time" dataDxfId="142"/>
    <tableColumn id="4" xr3:uid="{FBD71CB3-D67C-416D-BFF1-14E8A8A3B57C}" name="Time delta in h" dataDxfId="141">
      <calculatedColumnFormula>MAX((TimeEntries10881099[[#This Row],[End time]]-TimeEntries10881099[[#This Row],[Start time]])*24,0)</calculatedColumnFormula>
    </tableColumn>
    <tableColumn id="5" xr3:uid="{8541788C-58C5-4536-8FD6-82511ACB46AA}" name="Now?"/>
    <tableColumn id="6" xr3:uid="{8561A7BF-07A7-452D-AFCD-307F0595C8D5}" name="Action1" dataDxfId="140" dataCellStyle="Hyperlink"/>
    <tableColumn id="7" xr3:uid="{040F976D-EDCD-4FF3-BB67-759A6850B161}" name="Action2" dataDxfId="139" dataCellStyle="Hyperlink"/>
  </tableColumns>
  <tableStyleInfo name="TableStyleDark1" showFirstColumn="0" showLastColumn="0" showRowStripes="1" showColumnStripes="0"/>
</table>
</file>

<file path=xl/tables/table3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9" xr:uid="{E090F68D-A730-43FC-A227-0F7D0B63A455}" name="Tabelle736710891100" displayName="Tabelle736710891100" ref="I4613:M4620" totalsRowShown="0">
  <autoFilter ref="I4613:M4620" xr:uid="{C4945664-880A-4457-A526-E5DE37C32701}"/>
  <tableColumns count="5">
    <tableColumn id="1" xr3:uid="{01BCC098-19F7-4E69-9306-0C1A7ECD34EE}" name="Comparison entry no."/>
    <tableColumn id="2" xr3:uid="{4D617C70-0F5D-481A-B959-6D1494CB1DA5}" name="Propability Support point" dataDxfId="138"/>
    <tableColumn id="3" xr3:uid="{D967C0C1-4ABF-4C6B-ADEB-C5C093E9CA39}" name="EBS self time" dataDxfId="137"/>
    <tableColumn id="4" xr3:uid="{082BF924-1EB0-42EF-9E16-397C624D792A}" name="Total time">
      <calculatedColumnFormula>SUM(TimeEntries10881099[Time delta in h])</calculatedColumnFormula>
    </tableColumn>
    <tableColumn id="5" xr3:uid="{0E77F414-33F6-4A8B-BE4A-C266C5451C12}" name="Total time / Your estimate" dataDxfId="136">
      <calculatedColumnFormula>Tabelle736710891100[[#This Row],[EBS self time]]/Tabelle736710891100[[#This Row],[Total time]]</calculatedColumnFormula>
    </tableColumn>
  </tableColumns>
  <tableStyleInfo name="TableStyleDark1" showFirstColumn="0" showLastColumn="0" showRowStripes="1" showColumnStripes="0"/>
</table>
</file>

<file path=xl/tables/table3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0" xr:uid="{AB2859FE-9A0D-41AB-BAC7-359DE855F1A9}" name="TimeEntries10901101" displayName="TimeEntries10901101" ref="A4638:G4639" totalsRowShown="0">
  <autoFilter ref="A4638:G4639" xr:uid="{2D002031-2AFB-4A4E-9F70-AF1C1E445855}"/>
  <sortState xmlns:xlrd2="http://schemas.microsoft.com/office/spreadsheetml/2017/richdata2" ref="A4639:E4639">
    <sortCondition ref="A16:A17"/>
  </sortState>
  <tableColumns count="7">
    <tableColumn id="1" xr3:uid="{77D41B22-8EA1-48BE-8B67-DFEF6319F6EB}" name="Time entry no."/>
    <tableColumn id="2" xr3:uid="{C7965DC9-61E1-42D4-B1BA-1BB4B67BBB7D}" name="Start time" dataDxfId="135"/>
    <tableColumn id="3" xr3:uid="{BA5A37C3-2A91-4495-962D-3C234895E374}" name="End time" dataDxfId="134"/>
    <tableColumn id="4" xr3:uid="{51BA24CB-BCC6-4597-899D-7A3C3873D502}" name="Time delta in h" dataDxfId="133">
      <calculatedColumnFormula>MAX((TimeEntries10901101[[#This Row],[End time]]-TimeEntries10901101[[#This Row],[Start time]])*24,0)</calculatedColumnFormula>
    </tableColumn>
    <tableColumn id="5" xr3:uid="{6E69413A-F6C8-4509-885F-1550FD8E4B8B}" name="Now?"/>
    <tableColumn id="6" xr3:uid="{7B4ABBCE-6C9D-4E33-BA22-D63AA99EA9F9}" name="Action1" dataDxfId="132" dataCellStyle="Hyperlink"/>
    <tableColumn id="7" xr3:uid="{87A2FA3C-C93B-4BE3-B912-DC347ADAFCFA}" name="Action2" dataDxfId="131" dataCellStyle="Hyperlink"/>
  </tableColumns>
  <tableStyleInfo name="TableStyleDark1" showFirstColumn="0" showLastColumn="0" showRowStripes="1" showColumnStripes="0"/>
</table>
</file>

<file path=xl/tables/table3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1" xr:uid="{3DDB0BE1-CA4C-4971-A455-E58A664E8D54}" name="Tabelle736710911102" displayName="Tabelle736710911102" ref="I4638:M4639" totalsRowShown="0">
  <autoFilter ref="I4638:M4639" xr:uid="{AC84BC8F-F3D2-466E-BB78-6D1524A3F286}"/>
  <tableColumns count="5">
    <tableColumn id="1" xr3:uid="{9D99A885-2C39-40C5-B095-42D4E7735C01}" name="Comparison entry no."/>
    <tableColumn id="2" xr3:uid="{56836A67-8AA8-4748-BC89-9724CF85B632}" name="Propability Support point" dataDxfId="130"/>
    <tableColumn id="3" xr3:uid="{CEBADF67-9970-4B62-B481-B01DD7074D54}" name="EBS self time" dataDxfId="129"/>
    <tableColumn id="4" xr3:uid="{C11CF562-3661-46F1-B9B3-8D26DFFDFE4F}" name="Total time">
      <calculatedColumnFormula>SUM(TimeEntries10901101[Time delta in h])</calculatedColumnFormula>
    </tableColumn>
    <tableColumn id="5" xr3:uid="{B7674399-D8E9-4ABF-9A99-16FE73A9B697}" name="Total time / Your estimate" dataDxfId="128">
      <calculatedColumnFormula>Tabelle736710911102[[#This Row],[EBS self time]]/Tabelle736710911102[[#This Row],[Total time]]</calculatedColumnFormula>
    </tableColumn>
  </tableColumns>
  <tableStyleInfo name="TableStyleDark1" showFirstColumn="0" showLastColumn="0" showRowStripes="1" showColumnStripes="0"/>
</table>
</file>

<file path=xl/tables/table3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6747B35-5771-4967-A50C-08325F8C914D}" name="TimeEntries10921103110715" displayName="TimeEntries10921103110715" ref="A4658:G4659" totalsRowShown="0">
  <autoFilter ref="A4658:G4659" xr:uid="{0DF0582A-52B3-45EE-A99E-5CA9E250A6DD}"/>
  <sortState xmlns:xlrd2="http://schemas.microsoft.com/office/spreadsheetml/2017/richdata2" ref="A4659:E4659">
    <sortCondition ref="A16:A17"/>
  </sortState>
  <tableColumns count="7">
    <tableColumn id="1" xr3:uid="{E2C2C6E3-4D1F-4B60-81F2-E5ADAA854C2D}" name="Time entry no."/>
    <tableColumn id="2" xr3:uid="{D695FD2C-3CF6-4AC3-850D-4FAAA7A0585C}" name="Start time" dataDxfId="127"/>
    <tableColumn id="3" xr3:uid="{5932D757-5CAC-4EFA-93DE-3B6CAB28F9C5}" name="End time" dataDxfId="126"/>
    <tableColumn id="4" xr3:uid="{486E1A0F-D0FA-4F46-A39B-518EED9A6A68}" name="Time delta in h" dataDxfId="125">
      <calculatedColumnFormula>MAX((TimeEntries10921103110715[[#This Row],[End time]]-TimeEntries10921103110715[[#This Row],[Start time]])*24,0)</calculatedColumnFormula>
    </tableColumn>
    <tableColumn id="5" xr3:uid="{B31EC299-43F5-4D43-855B-73403631334C}" name="Now?"/>
    <tableColumn id="6" xr3:uid="{4601BCE9-A72A-4417-AEF8-8B9FAC9D67BC}" name="Action1" dataDxfId="124" dataCellStyle="Hyperlink"/>
    <tableColumn id="7" xr3:uid="{51A18E2F-E58A-451D-8F5A-153110D60C17}" name="Action2" dataDxfId="123" dataCellStyle="Hyperlink"/>
  </tableColumns>
  <tableStyleInfo name="TableStyleDark1" showFirstColumn="0" showLastColumn="0" showRowStripes="1" showColumnStripes="0"/>
</table>
</file>

<file path=xl/tables/table4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5FBF689-85B4-4070-9E83-05138230A813}" name="Tabelle736710931104110816" displayName="Tabelle736710931104110816" ref="I4658:M4659" totalsRowShown="0">
  <autoFilter ref="I4658:M4659" xr:uid="{787D4223-4A28-4C52-907C-FF8AB930C543}"/>
  <tableColumns count="5">
    <tableColumn id="1" xr3:uid="{FF82BE45-5818-410F-9CD1-4EAD9605A3C9}" name="Comparison entry no."/>
    <tableColumn id="2" xr3:uid="{BCB640E2-586C-4AE4-AD8E-B1C528BB8656}" name="Propability Support point" dataDxfId="122"/>
    <tableColumn id="3" xr3:uid="{1E68380E-153D-4C0B-9B54-D71CA8F132B4}" name="EBS self time" dataDxfId="121"/>
    <tableColumn id="4" xr3:uid="{62C121AE-2AF4-4BBA-B964-48280A7B59C2}" name="Total time">
      <calculatedColumnFormula>SUM(TimeEntries10921103110715[Time delta in h])</calculatedColumnFormula>
    </tableColumn>
    <tableColumn id="5" xr3:uid="{12462FF4-660C-4404-840D-73334CE00840}" name="Total time / Your estimate" dataDxfId="120">
      <calculatedColumnFormula>Tabelle736710931104110816[[#This Row],[EBS self time]]/Tabelle736710931104110816[[#This Row],[Total time]]</calculatedColumnFormula>
    </tableColumn>
  </tableColumns>
  <tableStyleInfo name="TableStyleDark1" showFirstColumn="0" showLastColumn="0" showRowStripes="1" showColumnStripes="0"/>
</table>
</file>

<file path=xl/tables/table4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84D8D42-177C-4932-B142-CE2E8B91D556}" name="TimeEntries110928" displayName="TimeEntries110928" ref="A4678:G4679" totalsRowShown="0">
  <autoFilter ref="A4678:G4679" xr:uid="{E26AF422-EA4E-4E22-A044-946016111A44}"/>
  <sortState xmlns:xlrd2="http://schemas.microsoft.com/office/spreadsheetml/2017/richdata2" ref="A4679:E4679">
    <sortCondition ref="A16:A17"/>
  </sortState>
  <tableColumns count="7">
    <tableColumn id="1" xr3:uid="{61F6B7DB-E8F8-4171-8432-1544DB0354C2}" name="Time entry no."/>
    <tableColumn id="2" xr3:uid="{C1327257-7E06-4879-8E54-946D2E73AB13}" name="Start time" dataDxfId="119"/>
    <tableColumn id="3" xr3:uid="{8363A254-3174-4974-87E7-834432A9E9AF}" name="End time" dataDxfId="118"/>
    <tableColumn id="4" xr3:uid="{58277440-ABF3-4DB3-8E9E-158774814830}" name="Time delta in h" dataDxfId="117">
      <calculatedColumnFormula>MAX((TimeEntries110928[[#This Row],[End time]]-TimeEntries110928[[#This Row],[Start time]])*24,0)</calculatedColumnFormula>
    </tableColumn>
    <tableColumn id="5" xr3:uid="{406520C4-2F8A-4B4D-A8FB-27CF27417277}" name="Now?"/>
    <tableColumn id="6" xr3:uid="{FE081A39-22E8-473A-BBE1-1E253EFED209}" name="Action1" dataDxfId="116" dataCellStyle="Hyperlink"/>
    <tableColumn id="7" xr3:uid="{A2F77A14-FD54-446C-98DD-D6C1740C3FA5}" name="Action2" dataDxfId="115" dataCellStyle="Hyperlink"/>
  </tableColumns>
  <tableStyleInfo name="TableStyleDark1" showFirstColumn="0" showLastColumn="0" showRowStripes="1" showColumnStripes="0"/>
</table>
</file>

<file path=xl/tables/table4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881ABC4-0CA9-444F-8385-698047A2A2F4}" name="Tabelle7367111029" displayName="Tabelle7367111029" ref="I4678:M4679" totalsRowShown="0">
  <autoFilter ref="I4678:M4679" xr:uid="{93C33AC6-4DD7-44D6-954B-842905CA1335}"/>
  <tableColumns count="5">
    <tableColumn id="1" xr3:uid="{7F91145A-287A-4A93-9935-2340FB9B74A2}" name="Comparison entry no."/>
    <tableColumn id="2" xr3:uid="{F6AFCB33-32D2-4049-9E58-CD250B70D1A8}" name="Propability Support point" dataDxfId="114"/>
    <tableColumn id="3" xr3:uid="{6F39303B-317B-4A89-9963-ACE1E9084916}" name="EBS self time" dataDxfId="113"/>
    <tableColumn id="4" xr3:uid="{EE22C89E-F790-494C-BAEF-DB97C841DB93}" name="Total time">
      <calculatedColumnFormula>SUM(TimeEntries110928[Time delta in h])</calculatedColumnFormula>
    </tableColumn>
    <tableColumn id="5" xr3:uid="{AC6288EC-F6A9-4F9F-AE7A-047B3476AA74}" name="Total time / Your estimate" dataDxfId="112">
      <calculatedColumnFormula>Tabelle7367111029[[#This Row],[EBS self time]]/Tabelle7367111029[[#This Row],[Total time]]</calculatedColumnFormula>
    </tableColumn>
  </tableColumns>
  <tableStyleInfo name="TableStyleDark1" showFirstColumn="0" showLastColumn="0" showRowStripes="1" showColumnStripes="0"/>
</table>
</file>

<file path=xl/tables/table4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AADBDBE-B1B5-4CBA-8F17-C9094B1F7A39}" name="TimeEntries111130" displayName="TimeEntries111130" ref="A4698:G4699" totalsRowShown="0">
  <autoFilter ref="A4698:G4699" xr:uid="{D7AE8AD2-310F-44D9-B607-C067CA5E7B6B}"/>
  <sortState xmlns:xlrd2="http://schemas.microsoft.com/office/spreadsheetml/2017/richdata2" ref="A4699:E4699">
    <sortCondition ref="A16:A17"/>
  </sortState>
  <tableColumns count="7">
    <tableColumn id="1" xr3:uid="{25C46E1F-3DDD-4F83-B6EF-06FF803F4506}" name="Time entry no."/>
    <tableColumn id="2" xr3:uid="{02DAEF5B-82D5-422C-9967-2B48204EDBAE}" name="Start time" dataDxfId="111"/>
    <tableColumn id="3" xr3:uid="{B199E696-A43C-4BEC-BBB8-E9B0BCF670EB}" name="End time" dataDxfId="110"/>
    <tableColumn id="4" xr3:uid="{E7E22707-7A06-4CC2-BBDA-0BE7FF4DD018}" name="Time delta in h" dataDxfId="109">
      <calculatedColumnFormula>MAX((TimeEntries111130[[#This Row],[End time]]-TimeEntries111130[[#This Row],[Start time]])*24,0)</calculatedColumnFormula>
    </tableColumn>
    <tableColumn id="5" xr3:uid="{2D921FEA-E560-465D-B33D-ED7C689A7E32}" name="Now?"/>
    <tableColumn id="6" xr3:uid="{C985D87A-7A60-497C-A07C-4E749195257A}" name="Action1" dataDxfId="108" dataCellStyle="Hyperlink"/>
    <tableColumn id="7" xr3:uid="{C567FC19-C2F1-4AD3-94DE-F2E777ED891F}" name="Action2" dataDxfId="107" dataCellStyle="Hyperlink"/>
  </tableColumns>
  <tableStyleInfo name="TableStyleDark1" showFirstColumn="0" showLastColumn="0" showRowStripes="1" showColumnStripes="0"/>
</table>
</file>

<file path=xl/tables/table4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E433EA9-70D0-44EA-AD39-9C09D3E7C245}" name="Tabelle7367111231" displayName="Tabelle7367111231" ref="I4698:M4699" totalsRowShown="0">
  <autoFilter ref="I4698:M4699" xr:uid="{998DE983-9D6E-4961-8B8E-E0CA1161EB61}"/>
  <tableColumns count="5">
    <tableColumn id="1" xr3:uid="{67E2D8B6-372D-4472-92BD-C7A4EE2C992D}" name="Comparison entry no."/>
    <tableColumn id="2" xr3:uid="{4FC8DFE4-3A97-40B1-9CB4-39F1EF00E621}" name="Propability Support point" dataDxfId="106"/>
    <tableColumn id="3" xr3:uid="{19EF4B8B-8EE7-44AB-A98D-2C1F623D2DE7}" name="EBS self time" dataDxfId="105"/>
    <tableColumn id="4" xr3:uid="{7654D236-C78D-4234-9076-03BCF9DE27CC}" name="Total time">
      <calculatedColumnFormula>SUM(TimeEntries111130[Time delta in h])</calculatedColumnFormula>
    </tableColumn>
    <tableColumn id="5" xr3:uid="{1C4154BA-EEA1-4960-AA85-E62AE5BE4A96}" name="Total time / Your estimate" dataDxfId="104">
      <calculatedColumnFormula>Tabelle7367111231[[#This Row],[EBS self time]]/Tabelle7367111231[[#This Row],[Total time]]</calculatedColumnFormula>
    </tableColumn>
  </tableColumns>
  <tableStyleInfo name="TableStyleDark1" showFirstColumn="0" showLastColumn="0" showRowStripes="1" showColumnStripes="0"/>
</table>
</file>

<file path=xl/tables/table4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8E2E55F-85E4-4096-9E63-21F5C462BF5F}" name="TimeEntries111332" displayName="TimeEntries111332" ref="A4718:G4719" totalsRowShown="0">
  <autoFilter ref="A4718:G4719" xr:uid="{2F875998-026C-46F0-8E1C-0EC2947BC830}"/>
  <sortState xmlns:xlrd2="http://schemas.microsoft.com/office/spreadsheetml/2017/richdata2" ref="A4719:E4719">
    <sortCondition ref="A16:A17"/>
  </sortState>
  <tableColumns count="7">
    <tableColumn id="1" xr3:uid="{535B4C2B-4AF9-47DE-B577-576089092FA3}" name="Time entry no."/>
    <tableColumn id="2" xr3:uid="{077F9384-BDD2-40AE-9956-BD09E48563AD}" name="Start time" dataDxfId="103"/>
    <tableColumn id="3" xr3:uid="{CD0E9141-06C5-4546-9DA1-93388700D2FD}" name="End time" dataDxfId="102"/>
    <tableColumn id="4" xr3:uid="{3E6BA03D-54D3-440D-8582-5AECA20C3C05}" name="Time delta in h" dataDxfId="101">
      <calculatedColumnFormula>MAX((TimeEntries111332[[#This Row],[End time]]-TimeEntries111332[[#This Row],[Start time]])*24,0)</calculatedColumnFormula>
    </tableColumn>
    <tableColumn id="5" xr3:uid="{E11F5E14-40A3-4361-A732-881C96783400}" name="Now?"/>
    <tableColumn id="6" xr3:uid="{008104D6-439B-4C2F-8992-4E7531FFBC48}" name="Action1" dataDxfId="100" dataCellStyle="Hyperlink"/>
    <tableColumn id="7" xr3:uid="{8BD757E4-8776-40D6-ACDD-E65064C15E7E}" name="Action2" dataDxfId="99" dataCellStyle="Hyperlink"/>
  </tableColumns>
  <tableStyleInfo name="TableStyleDark1" showFirstColumn="0" showLastColumn="0" showRowStripes="1" showColumnStripes="0"/>
</table>
</file>

<file path=xl/tables/table4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8C56104-8F2D-44F8-8629-BF91A9375891}" name="Tabelle7367111433" displayName="Tabelle7367111433" ref="I4718:M4719" totalsRowShown="0">
  <autoFilter ref="I4718:M4719" xr:uid="{547E42C8-F8FD-42F5-8FC7-CB06A48F1F16}"/>
  <tableColumns count="5">
    <tableColumn id="1" xr3:uid="{0DCB697B-3DE0-4B9F-ADE5-07CAAF04EED3}" name="Comparison entry no."/>
    <tableColumn id="2" xr3:uid="{D77BBA71-8879-4700-80D6-5CA0D6B1B87C}" name="Propability Support point" dataDxfId="98"/>
    <tableColumn id="3" xr3:uid="{220DA4F3-2D6B-41AF-8CD2-8C90D8980C8D}" name="EBS self time" dataDxfId="97"/>
    <tableColumn id="4" xr3:uid="{89CF20D8-3869-47CE-90F3-8F8293A6D4A2}" name="Total time">
      <calculatedColumnFormula>SUM(TimeEntries111332[Time delta in h])</calculatedColumnFormula>
    </tableColumn>
    <tableColumn id="5" xr3:uid="{EA285F93-2184-4248-BA4B-A5EE75A77F79}" name="Total time / Your estimate" dataDxfId="96">
      <calculatedColumnFormula>Tabelle7367111433[[#This Row],[EBS self time]]/Tabelle7367111433[[#This Row],[Total time]]</calculatedColumnFormula>
    </tableColumn>
  </tableColumns>
  <tableStyleInfo name="TableStyleDark1" showFirstColumn="0" showLastColumn="0" showRowStripes="1" showColumnStripes="0"/>
</table>
</file>

<file path=xl/tables/table4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A477397-8A09-4F50-9275-A8A27C3FCC06}" name="TimeEntries10241034634" displayName="TimeEntries10241034634" ref="A4738:G4739" totalsRowShown="0">
  <autoFilter ref="A4738:G4739" xr:uid="{63FA4775-680C-4CC6-A874-68335A9143A8}"/>
  <sortState xmlns:xlrd2="http://schemas.microsoft.com/office/spreadsheetml/2017/richdata2" ref="A4739:E4739">
    <sortCondition ref="A16:A17"/>
  </sortState>
  <tableColumns count="7">
    <tableColumn id="1" xr3:uid="{41DE7C80-22ED-4329-94BA-DE4F3E2FB7CC}" name="Time entry no."/>
    <tableColumn id="2" xr3:uid="{F68D6C18-450C-41C2-AA92-F2AD472E34AE}" name="Start time" dataDxfId="95"/>
    <tableColumn id="3" xr3:uid="{A77B15B8-45BA-4C14-9EDE-26A22A256D7F}" name="End time" dataDxfId="94"/>
    <tableColumn id="4" xr3:uid="{FEDAEC3C-C790-47EE-A290-89E9D1C14FA6}" name="Time delta in h" dataDxfId="93">
      <calculatedColumnFormula>MAX((TimeEntries10241034634[[#This Row],[End time]]-TimeEntries10241034634[[#This Row],[Start time]])*24,0)</calculatedColumnFormula>
    </tableColumn>
    <tableColumn id="5" xr3:uid="{E4D32CF4-F69F-4F29-95A1-DAA331BD9187}" name="Now?"/>
    <tableColumn id="6" xr3:uid="{F0DA5BF4-E9FE-4D66-9F06-E1E7AF83EA6A}" name="Action1" dataDxfId="92" dataCellStyle="Hyperlink"/>
    <tableColumn id="7" xr3:uid="{78B6CF95-B0A7-41BF-B5CA-ECC1D7A9C89B}" name="Action2" dataDxfId="91" dataCellStyle="Hyperlink"/>
  </tableColumns>
  <tableStyleInfo name="TableStyleDark1" showFirstColumn="0" showLastColumn="0" showRowStripes="1" showColumnStripes="0"/>
</table>
</file>

<file path=xl/tables/table4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02A4C6D-7E3C-4C1D-9DF7-9365C1F50E07}" name="Tabelle736710251035735" displayName="Tabelle736710251035735" ref="I4738:M4745" totalsRowShown="0">
  <autoFilter ref="I4738:M4745" xr:uid="{3AD7C7BF-B222-4FF0-A7E8-5C594E82258A}"/>
  <tableColumns count="5">
    <tableColumn id="1" xr3:uid="{ACD7C8F2-0E47-4839-A111-1450B13752A4}" name="Comparison entry no."/>
    <tableColumn id="2" xr3:uid="{91A981E4-41F7-4464-8FEF-FC19FC9F5C83}" name="Propability Support point" dataDxfId="90"/>
    <tableColumn id="3" xr3:uid="{0D02F88C-6CEE-40FC-A0DB-3CDD7E4D7994}" name="EBS self time" dataDxfId="89"/>
    <tableColumn id="4" xr3:uid="{6E144490-7C18-4399-840D-5E4D08A05002}" name="Total time">
      <calculatedColumnFormula>SUM(TimeEntries10241034634[Time delta in h])</calculatedColumnFormula>
    </tableColumn>
    <tableColumn id="5" xr3:uid="{D6F9E599-DE07-4EA5-B0BB-D19FCFC6373B}" name="Total time / Your estimate" dataDxfId="88">
      <calculatedColumnFormula>Tabelle736710251035735[[#This Row],[EBS self time]]/Tabelle736710251035735[[#This Row],[Total time]]</calculatedColumnFormula>
    </tableColumn>
  </tableColumns>
  <tableStyleInfo name="TableStyleDark1" showFirstColumn="0" showLastColumn="0" showRowStripes="1" showColumnStripes="0"/>
</table>
</file>

<file path=xl/tables/table4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V210" totalsRowShown="0" dataDxfId="0">
  <autoFilter ref="A3:V210" xr:uid="{520F3973-795E-47E6-97CD-1C1265CA838A}">
    <filterColumn colId="12">
      <filters>
        <filter val="Done"/>
      </filters>
    </filterColumn>
    <filterColumn colId="15">
      <filters>
        <dateGroupItem year="2020" dateTimeGrouping="year"/>
      </filters>
    </filterColumn>
  </autoFilter>
  <sortState xmlns:xlrd2="http://schemas.microsoft.com/office/spreadsheetml/2017/richdata2" ref="A158:V209">
    <sortCondition ref="U3:U210"/>
  </sortState>
  <tableColumns count="22">
    <tableColumn id="1" xr3:uid="{78BB2EF9-C626-4B0D-94B3-1781BE57C67F}" name="Task no." dataDxfId="22"/>
    <tableColumn id="3" xr3:uid="{3AD21368-826B-4507-A159-BE8BE5B02C1F}" name="Now?" dataDxfId="21"/>
    <tableColumn id="2" xr3:uid="{C139B307-7150-4838-B1FD-482AAB7B1208}" name="Task name" dataDxfId="20"/>
    <tableColumn id="13" xr3:uid="{500C3031-A1C8-4FCF-AE88-FB2DB0E81277}" name="#1" dataDxfId="19"/>
    <tableColumn id="18" xr3:uid="{3B298737-E571-4F23-9C71-2BC3C2385355}" name="Comment" dataDxfId="18"/>
    <tableColumn id="7" xr3:uid="{5DC94B1C-A20E-47F8-8963-B0674A9C27B4}" name="#2" dataDxfId="17"/>
    <tableColumn id="4" xr3:uid="{E2EAEAF6-33EC-4D8C-B42E-C249C36E3D3C}" name="%Tag 1" dataDxfId="16"/>
    <tableColumn id="14" xr3:uid="{A6D882A1-C3C1-4F0C-8834-5B299F196767}" name="#3" dataDxfId="15"/>
    <tableColumn id="5" xr3:uid="{1E4EAD98-8B30-4F09-AA64-D7613D00651F}" name="%Tag 2" dataDxfId="14"/>
    <tableColumn id="21" xr3:uid="{91C37425-DDD8-4756-A39F-CDA868D3035B}" name="#4" dataDxfId="13"/>
    <tableColumn id="6" xr3:uid="{9E1E50BB-6DA2-47A1-BB20-8C9FAC4B0DB5}" name="%Tag 3" dataDxfId="12"/>
    <tableColumn id="22" xr3:uid="{F4250AF8-5AFE-4C03-B563-438A86E41810}" name="#5" dataDxfId="11"/>
    <tableColumn id="10" xr3:uid="{85CEF83B-6217-49AE-8974-E4D5953E2637}" name="Kanban list" dataDxfId="10"/>
    <tableColumn id="11" xr3:uid="{E542542F-D34F-488A-95AF-76A724785E5A}" name="User time estimate" dataDxfId="9"/>
    <tableColumn id="12" xr3:uid="{7DA005F8-D924-4031-B65E-6C6F60E3212D}" name="Total time" dataDxfId="8"/>
    <tableColumn id="16" xr3:uid="{209AEE68-BDAE-4E8C-BCF6-6EEA4F9A7FDE}" name="Finished on" dataDxfId="7"/>
    <tableColumn id="8" xr3:uid="{727785B7-29B9-493D-A20B-C319B38E1DF3}" name="EBS 50% time" dataDxfId="6"/>
    <tableColumn id="9" xr3:uid="{B12BA9B8-3C81-408C-AFE4-25993FD8491D}" name="EBS 80% date" dataDxfId="5"/>
    <tableColumn id="20" xr3:uid="{DAE27A09-2EB0-4A47-A9F0-48ED802D8570}" name="Due date" dataDxfId="4"/>
    <tableColumn id="19" xr3:uid="{7A8CB495-6AE9-4A1E-AC5B-8B6487C84135}" name="Contributor" dataDxfId="3"/>
    <tableColumn id="17" xr3:uid="{EF767A93-0B38-4A66-A27B-92321C0E655C}" name="Priority" dataDxfId="2"/>
    <tableColumn id="15" xr3:uid="{2ADBC76B-EB88-4BCD-8956-7B4B22C5A3D4}" name="tHASH" dataDxfId="1"/>
  </tableColumns>
  <tableStyleInfo name="TableStyleDark1" showFirstColumn="0" showLastColumn="0" showRowStripes="1" showColumnStripes="0"/>
</table>
</file>

<file path=xl/tables/table4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FF6FE455-3EEA-486F-9A71-D51F8DAE3D3F}" name="TimeEntries1002101246" displayName="TimeEntries1002101246" ref="A16:G17" totalsRowShown="0">
  <autoFilter ref="A16:G17" xr:uid="{648303FB-50DC-429B-8AFC-34039C5D9E75}"/>
  <sortState xmlns:xlrd2="http://schemas.microsoft.com/office/spreadsheetml/2017/richdata2" ref="A17:E17">
    <sortCondition ref="A16:A17"/>
  </sortState>
  <tableColumns count="7">
    <tableColumn id="1" xr3:uid="{52911368-10E3-4D5F-9730-B7D7ED5F8B43}" name="Time entry no."/>
    <tableColumn id="2" xr3:uid="{25E1913C-5023-4DCD-9699-EA45F73BED45}" name="Start time" dataDxfId="87"/>
    <tableColumn id="3" xr3:uid="{FD39D801-30BC-41B0-A9F5-9ED033192768}" name="End time" dataDxfId="86"/>
    <tableColumn id="4" xr3:uid="{7394D6BB-F030-41B3-B515-E2CAC19A9CDC}" name="Time delta in h" dataDxfId="85">
      <calculatedColumnFormula>MAX((TimeEntries1002101246[[#This Row],[End time]]-TimeEntries1002101246[[#This Row],[Start time]])*24,0)</calculatedColumnFormula>
    </tableColumn>
    <tableColumn id="5" xr3:uid="{41E0C8D0-3D6B-4D9A-93D2-AFB45CA2795E}" name="Now?"/>
    <tableColumn id="6" xr3:uid="{380DDCB0-9CDB-427A-A969-EF1B50E4CD83}" name="Action1" dataDxfId="84" dataCellStyle="Hyperlink"/>
    <tableColumn id="7" xr3:uid="{E2E8E14D-88F2-40E9-BB53-3908F9976602}" name="Action2" dataDxfId="83" dataCellStyle="Hyperlink"/>
  </tableColumns>
  <tableStyleInfo name="TableStyleDark1" showFirstColumn="0" showLastColumn="0" showRowStripes="1" showColumnStripes="0"/>
</table>
</file>

<file path=xl/tables/table4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C4D322B-50FE-4176-85A3-D7F5D1510732}" name="Tabelle73671003101347" displayName="Tabelle73671003101347" ref="I16:M23" totalsRowShown="0">
  <autoFilter ref="I16:M23" xr:uid="{31C10038-B35B-406F-B016-0C6709030A69}"/>
  <tableColumns count="5">
    <tableColumn id="1" xr3:uid="{2121BC71-C2A8-4FA8-B1E5-6537C5A48308}" name="Comparison entry no."/>
    <tableColumn id="2" xr3:uid="{035C06AC-8CFE-449B-A6FE-0F21B0E62702}" name="Propability Support point" dataDxfId="82"/>
    <tableColumn id="3" xr3:uid="{EA9D54FC-C208-43D9-9B96-66D6CA7F81E8}" name="EBS self time" dataDxfId="81"/>
    <tableColumn id="4" xr3:uid="{2A470914-7CF8-4546-9626-441881B75594}" name="Total time">
      <calculatedColumnFormula>SUM(TimeEntries1002101246[Time delta in h])</calculatedColumnFormula>
    </tableColumn>
    <tableColumn id="5" xr3:uid="{F1F0B914-DEED-4727-8B3E-389105A6B8CD}" name="Total time / Your estimate" dataDxfId="80">
      <calculatedColumnFormula>Tabelle73671003101347[[#This Row],[EBS self time]]/Tabelle73671003101347[[#This Row],[Total time]]</calculatedColumnFormula>
    </tableColumn>
  </tableColumns>
  <tableStyleInfo name="TableStyleDark1" showFirstColumn="0" showLastColumn="0" showRowStripes="1" showColumnStripes="0"/>
</table>
</file>

<file path=xl/tables/table4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CAE2F044-88B7-4678-A986-916E4D8A83FC}" name="TimeEntries96097097498450" displayName="TimeEntries96097097498450" ref="A16:G17" totalsRowShown="0">
  <autoFilter ref="A16:G17" xr:uid="{93AA7AF6-D550-4CAF-BF57-08D2BA947366}"/>
  <sortState xmlns:xlrd2="http://schemas.microsoft.com/office/spreadsheetml/2017/richdata2" ref="A17:E17">
    <sortCondition ref="A16:A17"/>
  </sortState>
  <tableColumns count="7">
    <tableColumn id="1" xr3:uid="{EA2F96EF-AB65-49F2-9F08-C251E997D758}" name="Time entry no."/>
    <tableColumn id="2" xr3:uid="{5EBB0581-A460-43AE-8D9F-D3E3E2C4202E}" name="Start time" dataDxfId="79"/>
    <tableColumn id="3" xr3:uid="{256C03B1-5D08-4108-87D4-33A7F015121C}" name="End time" dataDxfId="78"/>
    <tableColumn id="4" xr3:uid="{0A0CB34D-4A4F-4ADF-BE37-F4FCCC792032}" name="Time delta in h" dataDxfId="77">
      <calculatedColumnFormula>MAX((TimeEntries96097097498450[[#This Row],[End time]]-TimeEntries96097097498450[[#This Row],[Start time]])*24,0)</calculatedColumnFormula>
    </tableColumn>
    <tableColumn id="5" xr3:uid="{A53C89EB-8761-44E1-A0DE-85CD438835D1}" name="Now?"/>
    <tableColumn id="6" xr3:uid="{3EB2F942-474E-48E9-B527-0E162617E916}" name="Action1" dataDxfId="76" dataCellStyle="Hyperlink"/>
    <tableColumn id="7" xr3:uid="{8D225A91-2423-4B32-A4B3-C495AD7CF1A9}" name="Action2" dataDxfId="75" dataCellStyle="Hyperlink"/>
  </tableColumns>
  <tableStyleInfo name="TableStyleDark1" showFirstColumn="0" showLastColumn="0" showRowStripes="1" showColumnStripes="0"/>
</table>
</file>

<file path=xl/tables/table4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D039AE36-9C2E-4F49-8135-03AB95564605}" name="Tabelle736796197197598551" displayName="Tabelle736796197197598551" ref="I16:M23" totalsRowShown="0">
  <autoFilter ref="I16:M23" xr:uid="{34A781A8-9154-4757-BB1C-54A3CA071942}"/>
  <tableColumns count="5">
    <tableColumn id="1" xr3:uid="{9F40E118-EA92-4615-AA06-7D21943CE502}" name="Comparison entry no."/>
    <tableColumn id="2" xr3:uid="{5F55EB3B-F7EF-4231-8141-F78CC4E87C1B}" name="Propability Support point" dataDxfId="74"/>
    <tableColumn id="3" xr3:uid="{440F024A-B714-4AFA-A440-6B227DC98078}" name="EBS self time" dataDxfId="73"/>
    <tableColumn id="4" xr3:uid="{0D495D8F-9206-4030-8F8F-58927F87B956}" name="Total time">
      <calculatedColumnFormula>SUM(TimeEntries96097097498450[Time delta in h])</calculatedColumnFormula>
    </tableColumn>
    <tableColumn id="5" xr3:uid="{2E0A2CE4-F8EE-40AE-BDDA-7F4A23F9E9D0}" name="Total time / Your estimate" dataDxfId="72">
      <calculatedColumnFormula>Tabelle736796197197598551[[#This Row],[EBS self time]]/Tabelle736796197197598551[[#This Row],[Total time]]</calculatedColumnFormula>
    </tableColumn>
  </tableColumns>
  <tableStyleInfo name="TableStyleDark1" showFirstColumn="0" showLastColumn="0" showRowStripes="1" showColumnStripes="0"/>
</table>
</file>

<file path=xl/tables/table4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CAAB3F3-A8E1-40AD-9D03-7C6654547DA1}" name="TimeEntries95896854" displayName="TimeEntries95896854" ref="A16:G17" totalsRowShown="0">
  <autoFilter ref="A16:G17" xr:uid="{EB8890B9-B733-4D8C-BAEA-E3E653861186}"/>
  <sortState xmlns:xlrd2="http://schemas.microsoft.com/office/spreadsheetml/2017/richdata2" ref="A17:E17">
    <sortCondition ref="A16:A17"/>
  </sortState>
  <tableColumns count="7">
    <tableColumn id="1" xr3:uid="{4EB1664B-28DB-4A36-A8BC-DCBBD9C47080}" name="Time entry no."/>
    <tableColumn id="2" xr3:uid="{101656C8-CE52-4A58-AF2F-FB012CA157A7}" name="Start time" dataDxfId="71"/>
    <tableColumn id="3" xr3:uid="{87045490-857B-4953-B9F9-243492B1A37F}" name="End time" dataDxfId="70"/>
    <tableColumn id="4" xr3:uid="{DC1015E1-5608-4123-BE4A-02028DA7AE6B}" name="Time delta in h" dataDxfId="69">
      <calculatedColumnFormula>MAX((TimeEntries95896854[[#This Row],[End time]]-TimeEntries95896854[[#This Row],[Start time]])*24,0)</calculatedColumnFormula>
    </tableColumn>
    <tableColumn id="5" xr3:uid="{4AC6BAFF-4F42-41BD-9519-ACF1148DD552}" name="Now?"/>
    <tableColumn id="6" xr3:uid="{8ADC809F-74D4-4DDF-AFBF-A98266B0BB6A}" name="Action1" dataDxfId="68" dataCellStyle="Hyperlink"/>
    <tableColumn id="7" xr3:uid="{5021C84B-30B8-4FF4-91DB-5C96D980DEB7}" name="Action2" dataDxfId="67" dataCellStyle="Hyperlink"/>
  </tableColumns>
  <tableStyleInfo name="TableStyleDark1" showFirstColumn="0" showLastColumn="0" showRowStripes="1" showColumnStripes="0"/>
</table>
</file>

<file path=xl/tables/table4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CB5DF922-7057-4164-BE55-9AAD68961630}" name="Tabelle736795996956" displayName="Tabelle736795996956" ref="I16:M23" totalsRowShown="0">
  <autoFilter ref="I16:M23" xr:uid="{F1324342-89CF-43C9-AFB6-725F6C71471E}"/>
  <tableColumns count="5">
    <tableColumn id="1" xr3:uid="{FDE74080-791D-4A1F-8774-FCD312EFA826}" name="Comparison entry no."/>
    <tableColumn id="2" xr3:uid="{DC5B8B1D-3448-4CBD-9370-5153565FD3A2}" name="Propability Support point" dataDxfId="66"/>
    <tableColumn id="3" xr3:uid="{95243A58-FCAB-4231-B38D-BA3F6FC3ED18}" name="EBS self time" dataDxfId="65"/>
    <tableColumn id="4" xr3:uid="{45885BEE-7077-4E2F-9F85-542058FB05FB}" name="Total time">
      <calculatedColumnFormula>SUM(TimeEntries95896854[Time delta in h])</calculatedColumnFormula>
    </tableColumn>
    <tableColumn id="5" xr3:uid="{CB379F1C-9926-4008-B8C6-27DC23115B48}" name="Total time / Your estimate" dataDxfId="64">
      <calculatedColumnFormula>Tabelle736795996956[[#This Row],[EBS self time]]/Tabelle736795996956[[#This Row],[Total time]]</calculatedColumnFormula>
    </tableColumn>
  </tableColumns>
  <tableStyleInfo name="TableStyleDark1" showFirstColumn="0" showLastColumn="0" showRowStripes="1" showColumnStripes="0"/>
</table>
</file>

<file path=xl/tables/table4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6" xr:uid="{8D3BB6F6-2EE5-4A14-AFE8-34D86363E7C4}" name="EbsBaseData432627041117" displayName="EbsBaseData432627041117" ref="A18:H20" totalsRowShown="0">
  <autoFilter ref="A18:H20" xr:uid="{1948C160-1F52-48A7-8061-8AFF06D47134}"/>
  <tableColumns count="8">
    <tableColumn id="1" xr3:uid="{84B4E3CE-0A68-42DF-982E-03A894074063}" name="EBS entry no."/>
    <tableColumn id="4" xr3:uid="{80E5940D-E751-4EAE-991E-D76A58A94936}" name="EBS run date" dataDxfId="63"/>
    <tableColumn id="8" xr3:uid="{62338CC1-39AB-497B-89B6-F49AE7C7225F}" name="[Velocity pool]"/>
    <tableColumn id="2" xr3:uid="{079E8690-DA15-4CB3-B78F-A2D36666CDE6}" name="Show pool?"/>
    <tableColumn id="3" xr3:uid="{6A904E33-BE1C-4DBF-88DB-F2F3ED77F0A1}" name="[Propability support points]"/>
    <tableColumn id="5" xr3:uid="{C9A5BE99-C210-40C6-AE79-285B53303141}" name="[Project time estimates]"/>
    <tableColumn id="6" xr3:uid="{4F716EA9-2DB9-481D-98A0-A72F4019D5E7}" name="[Project date estimates]"/>
    <tableColumn id="7" xr3:uid="{DA218A21-6614-46C3-9365-904931103A54}" name="eHASH"/>
  </tableColumns>
  <tableStyleInfo name="TableStyleDark1" showFirstColumn="0" showLastColumn="0" showRowStripes="1" showColumnStripes="0"/>
</table>
</file>

<file path=xl/tables/table4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7" xr:uid="{481E173E-8F77-48DD-ACE9-6492F7DE4047}" name="EbsTaskData959271121118" displayName="EbsTaskData959271121118" ref="J18:T117" totalsRowShown="0">
  <autoFilter ref="J18:T117" xr:uid="{2297DC20-55A3-4C75-B785-3C4ABEF5CB9C}"/>
  <tableColumns count="11">
    <tableColumn id="1" xr3:uid="{D3FDF2B9-5CE9-48E9-89BE-A36E24271250}" name="Data entry no."/>
    <tableColumn id="10" xr3:uid="{849F9766-B1FA-4866-8F4C-19F6FE8D5D19}" name="tHASH"/>
    <tableColumn id="5" xr3:uid="{F29518B5-D07F-493A-8411-D328FD467B4F}" name="Logged Priority"/>
    <tableColumn id="7" xr3:uid="{0403A1D3-0A42-4841-8917-507D2B721C48}" name="Time spent so far" dataDxfId="62"/>
    <tableColumn id="4" xr3:uid="{86A62B5B-97FC-4FEF-ADA5-5EA43785BADC}" name="User time estimate" dataDxfId="61"/>
    <tableColumn id="3" xr3:uid="{F525AA98-0F14-475D-A60E-8D3B4CEAACF3}" name="[Monte Carlo estimate pool]"/>
    <tableColumn id="2" xr3:uid="{A01C49BE-D765-49D8-9AB7-0C62DF427AE6}" name="[Remaining time pool]"/>
    <tableColumn id="6" xr3:uid="{7408400D-C8C9-4B35-9FD3-7E551A66A884}" name="[Accumulated time pool]"/>
    <tableColumn id="8" xr3:uid="{F2CD1D5C-4D87-4ED3-B276-06F5150ED184}" name="[Propability support points]"/>
    <tableColumn id="9" xr3:uid="{38A7059E-B959-43C0-AE88-FAEFF80E8AFD}" name="[Interpolated time estimates]"/>
    <tableColumn id="11" xr3:uid="{DBF34ACB-F289-4274-8AE2-E9B04BDCA5AB}" name="[Interpolated date estimates]"/>
  </tableColumns>
  <tableStyleInfo name="TableStyleDark1" showFirstColumn="0" showLastColumn="0" showRowStripes="1" showColumnStripes="0"/>
</table>
</file>

<file path=xl/tables/table4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60" dataDxfId="58" headerRowBorderDxfId="59">
  <autoFilter ref="A8:D10" xr:uid="{8E9EC0C1-7901-48B6-A59A-1CE6ABEE7A55}"/>
  <tableColumns count="4">
    <tableColumn id="1" xr3:uid="{58BB2187-C79D-4A1A-A9A3-DA2F074C476C}" name="Split entry no." dataDxfId="57"/>
    <tableColumn id="2" xr3:uid="{A755482D-FFF4-43D8-8021-1956CE3A7021}" name="Split start" dataDxfId="56"/>
    <tableColumn id="3" xr3:uid="{FE0A0B8D-1F8A-4CEC-9FB3-C945A45F99BF}" name="Split end" dataDxfId="55"/>
    <tableColumn id="4" xr3:uid="{5443222D-0CE3-4625-9EDB-D13B87B6C388}" name="Time spent" dataDxfId="54"/>
  </tableColumns>
  <tableStyleInfo name="TableStyleDark1" showFirstColumn="0" showLastColumn="0" showRowStripes="1" showColumnStripes="0"/>
</table>
</file>

<file path=xl/tables/table4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53"/>
    <tableColumn id="9" xr3:uid="{0037D127-E2BA-445A-BC63-1395BA3AC441}" name="Calendar ID" dataDxfId="52"/>
    <tableColumn id="10" xr3:uid="{37CA3B7B-8FF0-4042-97C6-E23A79A74325}" name="Store ID"/>
    <tableColumn id="6" xr3:uid="{044D8005-25C5-4D31-940A-B6DE4C6B0EA5}" name="WorkingDays" dataDxfId="51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50"/>
    <tableColumn id="8" xr3:uid="{1177B0FB-46B2-406D-B988-C64E0ABA6972}" name="AppointmentOffsetHours" dataDxfId="49">
      <calculatedColumnFormula>5/60</calculatedColumnFormula>
    </tableColumn>
  </tableColumns>
  <tableStyleInfo name="TableStyleDark1" showFirstColumn="0" showLastColumn="0" showRowStripes="1" showColumnStripes="0"/>
</table>
</file>

<file path=xl/tables/table4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4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48"/>
    <tableColumn id="3" xr3:uid="{78DABF02-3853-48FF-81AD-5801C74BED1B}" name="End time" dataDxfId="47"/>
    <tableColumn id="4" xr3:uid="{76C994F9-216A-4848-9FB6-16BAF8B0EEEA}" name="Time delta in h" dataDxfId="46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4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45"/>
    <tableColumn id="3" xr3:uid="{A62B365F-400F-45A4-B789-FE7B5FDBD312}" name="EBS self time" dataDxfId="44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43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4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3EA860-2836-4157-AE22-C22C89F1AB99}" name="ListValidationData" displayName="ListValidationData" ref="A1:C8" totalsRowShown="0">
  <autoFilter ref="A1:C8" xr:uid="{ED3B515D-E3C7-48C5-BEFD-2E84A823CA04}"/>
  <tableColumns count="3">
    <tableColumn id="4" xr3:uid="{E9656253-DE46-4189-93F3-78DCDC75B318}" name="%Tag 2"/>
    <tableColumn id="3" xr3:uid="{10B2B6B0-3A25-4430-B6A8-E3549A026D20}" name="%Tag 1"/>
    <tableColumn id="2" xr3:uid="{CDD41AE9-0986-4A6F-A992-5D4777E32F99}" name="Kanban list"/>
  </tableColumns>
  <tableStyleInfo name="TableStyleDark1" showFirstColumn="0" showLastColumn="0" showRowStripes="1" showColumnStripes="0"/>
</table>
</file>

<file path=xl/tables/table4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4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4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41"/>
    <tableColumn id="4" xr3:uid="{F9EDA55E-5206-49A7-A846-6A0B14C04CAF}" name="User time estimate" dataDxfId="4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64A2CD4-C5C9-489D-AFCB-A29C41C62E0A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117.xml"/><Relationship Id="rId299" Type="http://schemas.openxmlformats.org/officeDocument/2006/relationships/table" Target="../tables/table299.xml"/><Relationship Id="rId21" Type="http://schemas.openxmlformats.org/officeDocument/2006/relationships/table" Target="../tables/table21.xml"/><Relationship Id="rId63" Type="http://schemas.openxmlformats.org/officeDocument/2006/relationships/table" Target="../tables/table63.xml"/><Relationship Id="rId159" Type="http://schemas.openxmlformats.org/officeDocument/2006/relationships/table" Target="../tables/table159.xml"/><Relationship Id="rId324" Type="http://schemas.openxmlformats.org/officeDocument/2006/relationships/table" Target="../tables/table324.xml"/><Relationship Id="rId366" Type="http://schemas.openxmlformats.org/officeDocument/2006/relationships/table" Target="../tables/table366.xml"/><Relationship Id="rId170" Type="http://schemas.openxmlformats.org/officeDocument/2006/relationships/table" Target="../tables/table170.xml"/><Relationship Id="rId226" Type="http://schemas.openxmlformats.org/officeDocument/2006/relationships/table" Target="../tables/table226.xml"/><Relationship Id="rId268" Type="http://schemas.openxmlformats.org/officeDocument/2006/relationships/table" Target="../tables/table268.xml"/><Relationship Id="rId32" Type="http://schemas.openxmlformats.org/officeDocument/2006/relationships/table" Target="../tables/table32.xml"/><Relationship Id="rId74" Type="http://schemas.openxmlformats.org/officeDocument/2006/relationships/table" Target="../tables/table74.xml"/><Relationship Id="rId128" Type="http://schemas.openxmlformats.org/officeDocument/2006/relationships/table" Target="../tables/table128.xml"/><Relationship Id="rId335" Type="http://schemas.openxmlformats.org/officeDocument/2006/relationships/table" Target="../tables/table335.xml"/><Relationship Id="rId377" Type="http://schemas.openxmlformats.org/officeDocument/2006/relationships/table" Target="../tables/table377.xml"/><Relationship Id="rId5" Type="http://schemas.openxmlformats.org/officeDocument/2006/relationships/table" Target="../tables/table5.xml"/><Relationship Id="rId181" Type="http://schemas.openxmlformats.org/officeDocument/2006/relationships/table" Target="../tables/table181.xml"/><Relationship Id="rId237" Type="http://schemas.openxmlformats.org/officeDocument/2006/relationships/table" Target="../tables/table237.xml"/><Relationship Id="rId402" Type="http://schemas.openxmlformats.org/officeDocument/2006/relationships/table" Target="../tables/table402.xml"/><Relationship Id="rId279" Type="http://schemas.openxmlformats.org/officeDocument/2006/relationships/table" Target="../tables/table279.xml"/><Relationship Id="rId43" Type="http://schemas.openxmlformats.org/officeDocument/2006/relationships/table" Target="../tables/table43.xml"/><Relationship Id="rId139" Type="http://schemas.openxmlformats.org/officeDocument/2006/relationships/table" Target="../tables/table139.xml"/><Relationship Id="rId290" Type="http://schemas.openxmlformats.org/officeDocument/2006/relationships/table" Target="../tables/table290.xml"/><Relationship Id="rId304" Type="http://schemas.openxmlformats.org/officeDocument/2006/relationships/table" Target="../tables/table304.xml"/><Relationship Id="rId346" Type="http://schemas.openxmlformats.org/officeDocument/2006/relationships/table" Target="../tables/table346.xml"/><Relationship Id="rId388" Type="http://schemas.openxmlformats.org/officeDocument/2006/relationships/table" Target="../tables/table388.xml"/><Relationship Id="rId85" Type="http://schemas.openxmlformats.org/officeDocument/2006/relationships/table" Target="../tables/table85.xml"/><Relationship Id="rId150" Type="http://schemas.openxmlformats.org/officeDocument/2006/relationships/table" Target="../tables/table150.xml"/><Relationship Id="rId192" Type="http://schemas.openxmlformats.org/officeDocument/2006/relationships/table" Target="../tables/table192.xml"/><Relationship Id="rId206" Type="http://schemas.openxmlformats.org/officeDocument/2006/relationships/table" Target="../tables/table206.xml"/><Relationship Id="rId248" Type="http://schemas.openxmlformats.org/officeDocument/2006/relationships/table" Target="../tables/table248.xml"/><Relationship Id="rId12" Type="http://schemas.openxmlformats.org/officeDocument/2006/relationships/table" Target="../tables/table12.xml"/><Relationship Id="rId108" Type="http://schemas.openxmlformats.org/officeDocument/2006/relationships/table" Target="../tables/table108.xml"/><Relationship Id="rId315" Type="http://schemas.openxmlformats.org/officeDocument/2006/relationships/table" Target="../tables/table315.xml"/><Relationship Id="rId357" Type="http://schemas.openxmlformats.org/officeDocument/2006/relationships/table" Target="../tables/table357.xml"/><Relationship Id="rId54" Type="http://schemas.openxmlformats.org/officeDocument/2006/relationships/table" Target="../tables/table54.xml"/><Relationship Id="rId96" Type="http://schemas.openxmlformats.org/officeDocument/2006/relationships/table" Target="../tables/table96.xml"/><Relationship Id="rId161" Type="http://schemas.openxmlformats.org/officeDocument/2006/relationships/table" Target="../tables/table161.xml"/><Relationship Id="rId217" Type="http://schemas.openxmlformats.org/officeDocument/2006/relationships/table" Target="../tables/table217.xml"/><Relationship Id="rId399" Type="http://schemas.openxmlformats.org/officeDocument/2006/relationships/table" Target="../tables/table399.xml"/><Relationship Id="rId259" Type="http://schemas.openxmlformats.org/officeDocument/2006/relationships/table" Target="../tables/table259.xml"/><Relationship Id="rId23" Type="http://schemas.openxmlformats.org/officeDocument/2006/relationships/table" Target="../tables/table23.xml"/><Relationship Id="rId119" Type="http://schemas.openxmlformats.org/officeDocument/2006/relationships/table" Target="../tables/table119.xml"/><Relationship Id="rId270" Type="http://schemas.openxmlformats.org/officeDocument/2006/relationships/table" Target="../tables/table270.xml"/><Relationship Id="rId326" Type="http://schemas.openxmlformats.org/officeDocument/2006/relationships/table" Target="../tables/table326.xml"/><Relationship Id="rId65" Type="http://schemas.openxmlformats.org/officeDocument/2006/relationships/table" Target="../tables/table65.xml"/><Relationship Id="rId130" Type="http://schemas.openxmlformats.org/officeDocument/2006/relationships/table" Target="../tables/table130.xml"/><Relationship Id="rId368" Type="http://schemas.openxmlformats.org/officeDocument/2006/relationships/table" Target="../tables/table368.xml"/><Relationship Id="rId172" Type="http://schemas.openxmlformats.org/officeDocument/2006/relationships/table" Target="../tables/table172.xml"/><Relationship Id="rId228" Type="http://schemas.openxmlformats.org/officeDocument/2006/relationships/table" Target="../tables/table228.xml"/><Relationship Id="rId281" Type="http://schemas.openxmlformats.org/officeDocument/2006/relationships/table" Target="../tables/table281.xml"/><Relationship Id="rId337" Type="http://schemas.openxmlformats.org/officeDocument/2006/relationships/table" Target="../tables/table337.xml"/><Relationship Id="rId34" Type="http://schemas.openxmlformats.org/officeDocument/2006/relationships/table" Target="../tables/table34.xml"/><Relationship Id="rId76" Type="http://schemas.openxmlformats.org/officeDocument/2006/relationships/table" Target="../tables/table76.xml"/><Relationship Id="rId141" Type="http://schemas.openxmlformats.org/officeDocument/2006/relationships/table" Target="../tables/table141.xml"/><Relationship Id="rId379" Type="http://schemas.openxmlformats.org/officeDocument/2006/relationships/table" Target="../tables/table379.xml"/><Relationship Id="rId7" Type="http://schemas.openxmlformats.org/officeDocument/2006/relationships/table" Target="../tables/table7.xml"/><Relationship Id="rId183" Type="http://schemas.openxmlformats.org/officeDocument/2006/relationships/table" Target="../tables/table183.xml"/><Relationship Id="rId239" Type="http://schemas.openxmlformats.org/officeDocument/2006/relationships/table" Target="../tables/table239.xml"/><Relationship Id="rId390" Type="http://schemas.openxmlformats.org/officeDocument/2006/relationships/table" Target="../tables/table390.xml"/><Relationship Id="rId404" Type="http://schemas.openxmlformats.org/officeDocument/2006/relationships/table" Target="../tables/table404.xml"/><Relationship Id="rId250" Type="http://schemas.openxmlformats.org/officeDocument/2006/relationships/table" Target="../tables/table250.xml"/><Relationship Id="rId292" Type="http://schemas.openxmlformats.org/officeDocument/2006/relationships/table" Target="../tables/table292.xml"/><Relationship Id="rId306" Type="http://schemas.openxmlformats.org/officeDocument/2006/relationships/table" Target="../tables/table306.xml"/><Relationship Id="rId45" Type="http://schemas.openxmlformats.org/officeDocument/2006/relationships/table" Target="../tables/table45.xml"/><Relationship Id="rId87" Type="http://schemas.openxmlformats.org/officeDocument/2006/relationships/table" Target="../tables/table87.xml"/><Relationship Id="rId110" Type="http://schemas.openxmlformats.org/officeDocument/2006/relationships/table" Target="../tables/table110.xml"/><Relationship Id="rId348" Type="http://schemas.openxmlformats.org/officeDocument/2006/relationships/table" Target="../tables/table348.xml"/><Relationship Id="rId152" Type="http://schemas.openxmlformats.org/officeDocument/2006/relationships/table" Target="../tables/table152.xml"/><Relationship Id="rId194" Type="http://schemas.openxmlformats.org/officeDocument/2006/relationships/table" Target="../tables/table194.xml"/><Relationship Id="rId208" Type="http://schemas.openxmlformats.org/officeDocument/2006/relationships/table" Target="../tables/table208.xml"/><Relationship Id="rId261" Type="http://schemas.openxmlformats.org/officeDocument/2006/relationships/table" Target="../tables/table261.xml"/><Relationship Id="rId14" Type="http://schemas.openxmlformats.org/officeDocument/2006/relationships/table" Target="../tables/table14.xml"/><Relationship Id="rId56" Type="http://schemas.openxmlformats.org/officeDocument/2006/relationships/table" Target="../tables/table56.xml"/><Relationship Id="rId317" Type="http://schemas.openxmlformats.org/officeDocument/2006/relationships/table" Target="../tables/table317.xml"/><Relationship Id="rId359" Type="http://schemas.openxmlformats.org/officeDocument/2006/relationships/table" Target="../tables/table359.xml"/><Relationship Id="rId98" Type="http://schemas.openxmlformats.org/officeDocument/2006/relationships/table" Target="../tables/table98.xml"/><Relationship Id="rId121" Type="http://schemas.openxmlformats.org/officeDocument/2006/relationships/table" Target="../tables/table121.xml"/><Relationship Id="rId163" Type="http://schemas.openxmlformats.org/officeDocument/2006/relationships/table" Target="../tables/table163.xml"/><Relationship Id="rId219" Type="http://schemas.openxmlformats.org/officeDocument/2006/relationships/table" Target="../tables/table219.xml"/><Relationship Id="rId370" Type="http://schemas.openxmlformats.org/officeDocument/2006/relationships/table" Target="../tables/table370.xml"/><Relationship Id="rId230" Type="http://schemas.openxmlformats.org/officeDocument/2006/relationships/table" Target="../tables/table230.xml"/><Relationship Id="rId25" Type="http://schemas.openxmlformats.org/officeDocument/2006/relationships/table" Target="../tables/table25.xml"/><Relationship Id="rId67" Type="http://schemas.openxmlformats.org/officeDocument/2006/relationships/table" Target="../tables/table67.xml"/><Relationship Id="rId272" Type="http://schemas.openxmlformats.org/officeDocument/2006/relationships/table" Target="../tables/table272.xml"/><Relationship Id="rId328" Type="http://schemas.openxmlformats.org/officeDocument/2006/relationships/table" Target="../tables/table328.xml"/><Relationship Id="rId132" Type="http://schemas.openxmlformats.org/officeDocument/2006/relationships/table" Target="../tables/table132.xml"/><Relationship Id="rId174" Type="http://schemas.openxmlformats.org/officeDocument/2006/relationships/table" Target="../tables/table174.xml"/><Relationship Id="rId381" Type="http://schemas.openxmlformats.org/officeDocument/2006/relationships/table" Target="../tables/table381.xml"/><Relationship Id="rId241" Type="http://schemas.openxmlformats.org/officeDocument/2006/relationships/table" Target="../tables/table241.xml"/><Relationship Id="rId36" Type="http://schemas.openxmlformats.org/officeDocument/2006/relationships/table" Target="../tables/table36.xml"/><Relationship Id="rId283" Type="http://schemas.openxmlformats.org/officeDocument/2006/relationships/table" Target="../tables/table283.xml"/><Relationship Id="rId339" Type="http://schemas.openxmlformats.org/officeDocument/2006/relationships/table" Target="../tables/table339.xml"/><Relationship Id="rId78" Type="http://schemas.openxmlformats.org/officeDocument/2006/relationships/table" Target="../tables/table78.xml"/><Relationship Id="rId101" Type="http://schemas.openxmlformats.org/officeDocument/2006/relationships/table" Target="../tables/table101.xml"/><Relationship Id="rId143" Type="http://schemas.openxmlformats.org/officeDocument/2006/relationships/table" Target="../tables/table143.xml"/><Relationship Id="rId185" Type="http://schemas.openxmlformats.org/officeDocument/2006/relationships/table" Target="../tables/table185.xml"/><Relationship Id="rId350" Type="http://schemas.openxmlformats.org/officeDocument/2006/relationships/table" Target="../tables/table350.xml"/><Relationship Id="rId406" Type="http://schemas.openxmlformats.org/officeDocument/2006/relationships/table" Target="../tables/table406.xml"/><Relationship Id="rId9" Type="http://schemas.openxmlformats.org/officeDocument/2006/relationships/table" Target="../tables/table9.xml"/><Relationship Id="rId210" Type="http://schemas.openxmlformats.org/officeDocument/2006/relationships/table" Target="../tables/table210.xml"/><Relationship Id="rId392" Type="http://schemas.openxmlformats.org/officeDocument/2006/relationships/table" Target="../tables/table392.xml"/><Relationship Id="rId252" Type="http://schemas.openxmlformats.org/officeDocument/2006/relationships/table" Target="../tables/table252.xml"/><Relationship Id="rId294" Type="http://schemas.openxmlformats.org/officeDocument/2006/relationships/table" Target="../tables/table294.xml"/><Relationship Id="rId308" Type="http://schemas.openxmlformats.org/officeDocument/2006/relationships/table" Target="../tables/table308.xml"/><Relationship Id="rId47" Type="http://schemas.openxmlformats.org/officeDocument/2006/relationships/table" Target="../tables/table47.xml"/><Relationship Id="rId89" Type="http://schemas.openxmlformats.org/officeDocument/2006/relationships/table" Target="../tables/table89.xml"/><Relationship Id="rId112" Type="http://schemas.openxmlformats.org/officeDocument/2006/relationships/table" Target="../tables/table112.xml"/><Relationship Id="rId154" Type="http://schemas.openxmlformats.org/officeDocument/2006/relationships/table" Target="../tables/table154.xml"/><Relationship Id="rId361" Type="http://schemas.openxmlformats.org/officeDocument/2006/relationships/table" Target="../tables/table361.xml"/><Relationship Id="rId196" Type="http://schemas.openxmlformats.org/officeDocument/2006/relationships/table" Target="../tables/table196.xml"/><Relationship Id="rId16" Type="http://schemas.openxmlformats.org/officeDocument/2006/relationships/table" Target="../tables/table16.xml"/><Relationship Id="rId221" Type="http://schemas.openxmlformats.org/officeDocument/2006/relationships/table" Target="../tables/table221.xml"/><Relationship Id="rId263" Type="http://schemas.openxmlformats.org/officeDocument/2006/relationships/table" Target="../tables/table263.xml"/><Relationship Id="rId319" Type="http://schemas.openxmlformats.org/officeDocument/2006/relationships/table" Target="../tables/table319.xml"/><Relationship Id="rId58" Type="http://schemas.openxmlformats.org/officeDocument/2006/relationships/table" Target="../tables/table58.xml"/><Relationship Id="rId123" Type="http://schemas.openxmlformats.org/officeDocument/2006/relationships/table" Target="../tables/table123.xml"/><Relationship Id="rId330" Type="http://schemas.openxmlformats.org/officeDocument/2006/relationships/table" Target="../tables/table330.xml"/><Relationship Id="rId165" Type="http://schemas.openxmlformats.org/officeDocument/2006/relationships/table" Target="../tables/table165.xml"/><Relationship Id="rId372" Type="http://schemas.openxmlformats.org/officeDocument/2006/relationships/table" Target="../tables/table372.xml"/><Relationship Id="rId211" Type="http://schemas.openxmlformats.org/officeDocument/2006/relationships/table" Target="../tables/table211.xml"/><Relationship Id="rId232" Type="http://schemas.openxmlformats.org/officeDocument/2006/relationships/table" Target="../tables/table232.xml"/><Relationship Id="rId253" Type="http://schemas.openxmlformats.org/officeDocument/2006/relationships/table" Target="../tables/table253.xml"/><Relationship Id="rId274" Type="http://schemas.openxmlformats.org/officeDocument/2006/relationships/table" Target="../tables/table274.xml"/><Relationship Id="rId295" Type="http://schemas.openxmlformats.org/officeDocument/2006/relationships/table" Target="../tables/table295.xml"/><Relationship Id="rId309" Type="http://schemas.openxmlformats.org/officeDocument/2006/relationships/table" Target="../tables/table309.xml"/><Relationship Id="rId27" Type="http://schemas.openxmlformats.org/officeDocument/2006/relationships/table" Target="../tables/table27.xml"/><Relationship Id="rId48" Type="http://schemas.openxmlformats.org/officeDocument/2006/relationships/table" Target="../tables/table48.xml"/><Relationship Id="rId69" Type="http://schemas.openxmlformats.org/officeDocument/2006/relationships/table" Target="../tables/table69.xml"/><Relationship Id="rId113" Type="http://schemas.openxmlformats.org/officeDocument/2006/relationships/table" Target="../tables/table113.xml"/><Relationship Id="rId134" Type="http://schemas.openxmlformats.org/officeDocument/2006/relationships/table" Target="../tables/table134.xml"/><Relationship Id="rId320" Type="http://schemas.openxmlformats.org/officeDocument/2006/relationships/table" Target="../tables/table320.xml"/><Relationship Id="rId80" Type="http://schemas.openxmlformats.org/officeDocument/2006/relationships/table" Target="../tables/table80.xml"/><Relationship Id="rId155" Type="http://schemas.openxmlformats.org/officeDocument/2006/relationships/table" Target="../tables/table155.xml"/><Relationship Id="rId176" Type="http://schemas.openxmlformats.org/officeDocument/2006/relationships/table" Target="../tables/table176.xml"/><Relationship Id="rId197" Type="http://schemas.openxmlformats.org/officeDocument/2006/relationships/table" Target="../tables/table197.xml"/><Relationship Id="rId341" Type="http://schemas.openxmlformats.org/officeDocument/2006/relationships/table" Target="../tables/table341.xml"/><Relationship Id="rId362" Type="http://schemas.openxmlformats.org/officeDocument/2006/relationships/table" Target="../tables/table362.xml"/><Relationship Id="rId383" Type="http://schemas.openxmlformats.org/officeDocument/2006/relationships/table" Target="../tables/table383.xml"/><Relationship Id="rId201" Type="http://schemas.openxmlformats.org/officeDocument/2006/relationships/table" Target="../tables/table201.xml"/><Relationship Id="rId222" Type="http://schemas.openxmlformats.org/officeDocument/2006/relationships/table" Target="../tables/table222.xml"/><Relationship Id="rId243" Type="http://schemas.openxmlformats.org/officeDocument/2006/relationships/table" Target="../tables/table243.xml"/><Relationship Id="rId264" Type="http://schemas.openxmlformats.org/officeDocument/2006/relationships/table" Target="../tables/table264.xml"/><Relationship Id="rId285" Type="http://schemas.openxmlformats.org/officeDocument/2006/relationships/table" Target="../tables/table285.xml"/><Relationship Id="rId17" Type="http://schemas.openxmlformats.org/officeDocument/2006/relationships/table" Target="../tables/table17.xml"/><Relationship Id="rId38" Type="http://schemas.openxmlformats.org/officeDocument/2006/relationships/table" Target="../tables/table38.xml"/><Relationship Id="rId59" Type="http://schemas.openxmlformats.org/officeDocument/2006/relationships/table" Target="../tables/table59.xml"/><Relationship Id="rId103" Type="http://schemas.openxmlformats.org/officeDocument/2006/relationships/table" Target="../tables/table103.xml"/><Relationship Id="rId124" Type="http://schemas.openxmlformats.org/officeDocument/2006/relationships/table" Target="../tables/table124.xml"/><Relationship Id="rId310" Type="http://schemas.openxmlformats.org/officeDocument/2006/relationships/table" Target="../tables/table310.xml"/><Relationship Id="rId70" Type="http://schemas.openxmlformats.org/officeDocument/2006/relationships/table" Target="../tables/table70.xml"/><Relationship Id="rId91" Type="http://schemas.openxmlformats.org/officeDocument/2006/relationships/table" Target="../tables/table91.xml"/><Relationship Id="rId145" Type="http://schemas.openxmlformats.org/officeDocument/2006/relationships/table" Target="../tables/table145.xml"/><Relationship Id="rId166" Type="http://schemas.openxmlformats.org/officeDocument/2006/relationships/table" Target="../tables/table166.xml"/><Relationship Id="rId187" Type="http://schemas.openxmlformats.org/officeDocument/2006/relationships/table" Target="../tables/table187.xml"/><Relationship Id="rId331" Type="http://schemas.openxmlformats.org/officeDocument/2006/relationships/table" Target="../tables/table331.xml"/><Relationship Id="rId352" Type="http://schemas.openxmlformats.org/officeDocument/2006/relationships/table" Target="../tables/table352.xml"/><Relationship Id="rId373" Type="http://schemas.openxmlformats.org/officeDocument/2006/relationships/table" Target="../tables/table373.xml"/><Relationship Id="rId394" Type="http://schemas.openxmlformats.org/officeDocument/2006/relationships/table" Target="../tables/table394.xml"/><Relationship Id="rId408" Type="http://schemas.openxmlformats.org/officeDocument/2006/relationships/table" Target="../tables/table408.xml"/><Relationship Id="rId1" Type="http://schemas.openxmlformats.org/officeDocument/2006/relationships/table" Target="../tables/table1.xml"/><Relationship Id="rId212" Type="http://schemas.openxmlformats.org/officeDocument/2006/relationships/table" Target="../tables/table212.xml"/><Relationship Id="rId233" Type="http://schemas.openxmlformats.org/officeDocument/2006/relationships/table" Target="../tables/table233.xml"/><Relationship Id="rId254" Type="http://schemas.openxmlformats.org/officeDocument/2006/relationships/table" Target="../tables/table254.xml"/><Relationship Id="rId28" Type="http://schemas.openxmlformats.org/officeDocument/2006/relationships/table" Target="../tables/table28.xml"/><Relationship Id="rId49" Type="http://schemas.openxmlformats.org/officeDocument/2006/relationships/table" Target="../tables/table49.xml"/><Relationship Id="rId114" Type="http://schemas.openxmlformats.org/officeDocument/2006/relationships/table" Target="../tables/table114.xml"/><Relationship Id="rId275" Type="http://schemas.openxmlformats.org/officeDocument/2006/relationships/table" Target="../tables/table275.xml"/><Relationship Id="rId296" Type="http://schemas.openxmlformats.org/officeDocument/2006/relationships/table" Target="../tables/table296.xml"/><Relationship Id="rId300" Type="http://schemas.openxmlformats.org/officeDocument/2006/relationships/table" Target="../tables/table300.xml"/><Relationship Id="rId60" Type="http://schemas.openxmlformats.org/officeDocument/2006/relationships/table" Target="../tables/table60.xml"/><Relationship Id="rId81" Type="http://schemas.openxmlformats.org/officeDocument/2006/relationships/table" Target="../tables/table81.xml"/><Relationship Id="rId135" Type="http://schemas.openxmlformats.org/officeDocument/2006/relationships/table" Target="../tables/table135.xml"/><Relationship Id="rId156" Type="http://schemas.openxmlformats.org/officeDocument/2006/relationships/table" Target="../tables/table156.xml"/><Relationship Id="rId177" Type="http://schemas.openxmlformats.org/officeDocument/2006/relationships/table" Target="../tables/table177.xml"/><Relationship Id="rId198" Type="http://schemas.openxmlformats.org/officeDocument/2006/relationships/table" Target="../tables/table198.xml"/><Relationship Id="rId321" Type="http://schemas.openxmlformats.org/officeDocument/2006/relationships/table" Target="../tables/table321.xml"/><Relationship Id="rId342" Type="http://schemas.openxmlformats.org/officeDocument/2006/relationships/table" Target="../tables/table342.xml"/><Relationship Id="rId363" Type="http://schemas.openxmlformats.org/officeDocument/2006/relationships/table" Target="../tables/table363.xml"/><Relationship Id="rId384" Type="http://schemas.openxmlformats.org/officeDocument/2006/relationships/table" Target="../tables/table384.xml"/><Relationship Id="rId202" Type="http://schemas.openxmlformats.org/officeDocument/2006/relationships/table" Target="../tables/table202.xml"/><Relationship Id="rId223" Type="http://schemas.openxmlformats.org/officeDocument/2006/relationships/table" Target="../tables/table223.xml"/><Relationship Id="rId244" Type="http://schemas.openxmlformats.org/officeDocument/2006/relationships/table" Target="../tables/table244.xml"/><Relationship Id="rId18" Type="http://schemas.openxmlformats.org/officeDocument/2006/relationships/table" Target="../tables/table18.xml"/><Relationship Id="rId39" Type="http://schemas.openxmlformats.org/officeDocument/2006/relationships/table" Target="../tables/table39.xml"/><Relationship Id="rId265" Type="http://schemas.openxmlformats.org/officeDocument/2006/relationships/table" Target="../tables/table265.xml"/><Relationship Id="rId286" Type="http://schemas.openxmlformats.org/officeDocument/2006/relationships/table" Target="../tables/table286.xml"/><Relationship Id="rId50" Type="http://schemas.openxmlformats.org/officeDocument/2006/relationships/table" Target="../tables/table50.xml"/><Relationship Id="rId104" Type="http://schemas.openxmlformats.org/officeDocument/2006/relationships/table" Target="../tables/table104.xml"/><Relationship Id="rId125" Type="http://schemas.openxmlformats.org/officeDocument/2006/relationships/table" Target="../tables/table125.xml"/><Relationship Id="rId146" Type="http://schemas.openxmlformats.org/officeDocument/2006/relationships/table" Target="../tables/table146.xml"/><Relationship Id="rId167" Type="http://schemas.openxmlformats.org/officeDocument/2006/relationships/table" Target="../tables/table167.xml"/><Relationship Id="rId188" Type="http://schemas.openxmlformats.org/officeDocument/2006/relationships/table" Target="../tables/table188.xml"/><Relationship Id="rId311" Type="http://schemas.openxmlformats.org/officeDocument/2006/relationships/table" Target="../tables/table311.xml"/><Relationship Id="rId332" Type="http://schemas.openxmlformats.org/officeDocument/2006/relationships/table" Target="../tables/table332.xml"/><Relationship Id="rId353" Type="http://schemas.openxmlformats.org/officeDocument/2006/relationships/table" Target="../tables/table353.xml"/><Relationship Id="rId374" Type="http://schemas.openxmlformats.org/officeDocument/2006/relationships/table" Target="../tables/table374.xml"/><Relationship Id="rId395" Type="http://schemas.openxmlformats.org/officeDocument/2006/relationships/table" Target="../tables/table395.xml"/><Relationship Id="rId71" Type="http://schemas.openxmlformats.org/officeDocument/2006/relationships/table" Target="../tables/table71.xml"/><Relationship Id="rId92" Type="http://schemas.openxmlformats.org/officeDocument/2006/relationships/table" Target="../tables/table92.xml"/><Relationship Id="rId213" Type="http://schemas.openxmlformats.org/officeDocument/2006/relationships/table" Target="../tables/table213.xml"/><Relationship Id="rId234" Type="http://schemas.openxmlformats.org/officeDocument/2006/relationships/table" Target="../tables/table234.xml"/><Relationship Id="rId2" Type="http://schemas.openxmlformats.org/officeDocument/2006/relationships/table" Target="../tables/table2.xml"/><Relationship Id="rId29" Type="http://schemas.openxmlformats.org/officeDocument/2006/relationships/table" Target="../tables/table29.xml"/><Relationship Id="rId255" Type="http://schemas.openxmlformats.org/officeDocument/2006/relationships/table" Target="../tables/table255.xml"/><Relationship Id="rId276" Type="http://schemas.openxmlformats.org/officeDocument/2006/relationships/table" Target="../tables/table276.xml"/><Relationship Id="rId297" Type="http://schemas.openxmlformats.org/officeDocument/2006/relationships/table" Target="../tables/table297.xml"/><Relationship Id="rId40" Type="http://schemas.openxmlformats.org/officeDocument/2006/relationships/table" Target="../tables/table40.xml"/><Relationship Id="rId115" Type="http://schemas.openxmlformats.org/officeDocument/2006/relationships/table" Target="../tables/table115.xml"/><Relationship Id="rId136" Type="http://schemas.openxmlformats.org/officeDocument/2006/relationships/table" Target="../tables/table136.xml"/><Relationship Id="rId157" Type="http://schemas.openxmlformats.org/officeDocument/2006/relationships/table" Target="../tables/table157.xml"/><Relationship Id="rId178" Type="http://schemas.openxmlformats.org/officeDocument/2006/relationships/table" Target="../tables/table178.xml"/><Relationship Id="rId301" Type="http://schemas.openxmlformats.org/officeDocument/2006/relationships/table" Target="../tables/table301.xml"/><Relationship Id="rId322" Type="http://schemas.openxmlformats.org/officeDocument/2006/relationships/table" Target="../tables/table322.xml"/><Relationship Id="rId343" Type="http://schemas.openxmlformats.org/officeDocument/2006/relationships/table" Target="../tables/table343.xml"/><Relationship Id="rId364" Type="http://schemas.openxmlformats.org/officeDocument/2006/relationships/table" Target="../tables/table364.xml"/><Relationship Id="rId61" Type="http://schemas.openxmlformats.org/officeDocument/2006/relationships/table" Target="../tables/table61.xml"/><Relationship Id="rId82" Type="http://schemas.openxmlformats.org/officeDocument/2006/relationships/table" Target="../tables/table82.xml"/><Relationship Id="rId199" Type="http://schemas.openxmlformats.org/officeDocument/2006/relationships/table" Target="../tables/table199.xml"/><Relationship Id="rId203" Type="http://schemas.openxmlformats.org/officeDocument/2006/relationships/table" Target="../tables/table203.xml"/><Relationship Id="rId385" Type="http://schemas.openxmlformats.org/officeDocument/2006/relationships/table" Target="../tables/table385.xml"/><Relationship Id="rId19" Type="http://schemas.openxmlformats.org/officeDocument/2006/relationships/table" Target="../tables/table19.xml"/><Relationship Id="rId224" Type="http://schemas.openxmlformats.org/officeDocument/2006/relationships/table" Target="../tables/table224.xml"/><Relationship Id="rId245" Type="http://schemas.openxmlformats.org/officeDocument/2006/relationships/table" Target="../tables/table245.xml"/><Relationship Id="rId266" Type="http://schemas.openxmlformats.org/officeDocument/2006/relationships/table" Target="../tables/table266.xml"/><Relationship Id="rId287" Type="http://schemas.openxmlformats.org/officeDocument/2006/relationships/table" Target="../tables/table287.xml"/><Relationship Id="rId30" Type="http://schemas.openxmlformats.org/officeDocument/2006/relationships/table" Target="../tables/table30.xml"/><Relationship Id="rId105" Type="http://schemas.openxmlformats.org/officeDocument/2006/relationships/table" Target="../tables/table105.xml"/><Relationship Id="rId126" Type="http://schemas.openxmlformats.org/officeDocument/2006/relationships/table" Target="../tables/table126.xml"/><Relationship Id="rId147" Type="http://schemas.openxmlformats.org/officeDocument/2006/relationships/table" Target="../tables/table147.xml"/><Relationship Id="rId168" Type="http://schemas.openxmlformats.org/officeDocument/2006/relationships/table" Target="../tables/table168.xml"/><Relationship Id="rId312" Type="http://schemas.openxmlformats.org/officeDocument/2006/relationships/table" Target="../tables/table312.xml"/><Relationship Id="rId333" Type="http://schemas.openxmlformats.org/officeDocument/2006/relationships/table" Target="../tables/table333.xml"/><Relationship Id="rId354" Type="http://schemas.openxmlformats.org/officeDocument/2006/relationships/table" Target="../tables/table354.xml"/><Relationship Id="rId51" Type="http://schemas.openxmlformats.org/officeDocument/2006/relationships/table" Target="../tables/table51.xml"/><Relationship Id="rId72" Type="http://schemas.openxmlformats.org/officeDocument/2006/relationships/table" Target="../tables/table72.xml"/><Relationship Id="rId93" Type="http://schemas.openxmlformats.org/officeDocument/2006/relationships/table" Target="../tables/table93.xml"/><Relationship Id="rId189" Type="http://schemas.openxmlformats.org/officeDocument/2006/relationships/table" Target="../tables/table189.xml"/><Relationship Id="rId375" Type="http://schemas.openxmlformats.org/officeDocument/2006/relationships/table" Target="../tables/table375.xml"/><Relationship Id="rId396" Type="http://schemas.openxmlformats.org/officeDocument/2006/relationships/table" Target="../tables/table396.xml"/><Relationship Id="rId3" Type="http://schemas.openxmlformats.org/officeDocument/2006/relationships/table" Target="../tables/table3.xml"/><Relationship Id="rId214" Type="http://schemas.openxmlformats.org/officeDocument/2006/relationships/table" Target="../tables/table214.xml"/><Relationship Id="rId235" Type="http://schemas.openxmlformats.org/officeDocument/2006/relationships/table" Target="../tables/table235.xml"/><Relationship Id="rId256" Type="http://schemas.openxmlformats.org/officeDocument/2006/relationships/table" Target="../tables/table256.xml"/><Relationship Id="rId277" Type="http://schemas.openxmlformats.org/officeDocument/2006/relationships/table" Target="../tables/table277.xml"/><Relationship Id="rId298" Type="http://schemas.openxmlformats.org/officeDocument/2006/relationships/table" Target="../tables/table298.xml"/><Relationship Id="rId400" Type="http://schemas.openxmlformats.org/officeDocument/2006/relationships/table" Target="../tables/table400.xml"/><Relationship Id="rId116" Type="http://schemas.openxmlformats.org/officeDocument/2006/relationships/table" Target="../tables/table116.xml"/><Relationship Id="rId137" Type="http://schemas.openxmlformats.org/officeDocument/2006/relationships/table" Target="../tables/table137.xml"/><Relationship Id="rId158" Type="http://schemas.openxmlformats.org/officeDocument/2006/relationships/table" Target="../tables/table158.xml"/><Relationship Id="rId302" Type="http://schemas.openxmlformats.org/officeDocument/2006/relationships/table" Target="../tables/table302.xml"/><Relationship Id="rId323" Type="http://schemas.openxmlformats.org/officeDocument/2006/relationships/table" Target="../tables/table323.xml"/><Relationship Id="rId344" Type="http://schemas.openxmlformats.org/officeDocument/2006/relationships/table" Target="../tables/table344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Relationship Id="rId62" Type="http://schemas.openxmlformats.org/officeDocument/2006/relationships/table" Target="../tables/table62.xml"/><Relationship Id="rId83" Type="http://schemas.openxmlformats.org/officeDocument/2006/relationships/table" Target="../tables/table83.xml"/><Relationship Id="rId179" Type="http://schemas.openxmlformats.org/officeDocument/2006/relationships/table" Target="../tables/table179.xml"/><Relationship Id="rId365" Type="http://schemas.openxmlformats.org/officeDocument/2006/relationships/table" Target="../tables/table365.xml"/><Relationship Id="rId386" Type="http://schemas.openxmlformats.org/officeDocument/2006/relationships/table" Target="../tables/table386.xml"/><Relationship Id="rId190" Type="http://schemas.openxmlformats.org/officeDocument/2006/relationships/table" Target="../tables/table190.xml"/><Relationship Id="rId204" Type="http://schemas.openxmlformats.org/officeDocument/2006/relationships/table" Target="../tables/table204.xml"/><Relationship Id="rId225" Type="http://schemas.openxmlformats.org/officeDocument/2006/relationships/table" Target="../tables/table225.xml"/><Relationship Id="rId246" Type="http://schemas.openxmlformats.org/officeDocument/2006/relationships/table" Target="../tables/table246.xml"/><Relationship Id="rId267" Type="http://schemas.openxmlformats.org/officeDocument/2006/relationships/table" Target="../tables/table267.xml"/><Relationship Id="rId288" Type="http://schemas.openxmlformats.org/officeDocument/2006/relationships/table" Target="../tables/table288.xml"/><Relationship Id="rId106" Type="http://schemas.openxmlformats.org/officeDocument/2006/relationships/table" Target="../tables/table106.xml"/><Relationship Id="rId127" Type="http://schemas.openxmlformats.org/officeDocument/2006/relationships/table" Target="../tables/table127.xml"/><Relationship Id="rId313" Type="http://schemas.openxmlformats.org/officeDocument/2006/relationships/table" Target="../tables/table313.xml"/><Relationship Id="rId10" Type="http://schemas.openxmlformats.org/officeDocument/2006/relationships/table" Target="../tables/table10.xml"/><Relationship Id="rId31" Type="http://schemas.openxmlformats.org/officeDocument/2006/relationships/table" Target="../tables/table31.xml"/><Relationship Id="rId52" Type="http://schemas.openxmlformats.org/officeDocument/2006/relationships/table" Target="../tables/table52.xml"/><Relationship Id="rId73" Type="http://schemas.openxmlformats.org/officeDocument/2006/relationships/table" Target="../tables/table73.xml"/><Relationship Id="rId94" Type="http://schemas.openxmlformats.org/officeDocument/2006/relationships/table" Target="../tables/table94.xml"/><Relationship Id="rId148" Type="http://schemas.openxmlformats.org/officeDocument/2006/relationships/table" Target="../tables/table148.xml"/><Relationship Id="rId169" Type="http://schemas.openxmlformats.org/officeDocument/2006/relationships/table" Target="../tables/table169.xml"/><Relationship Id="rId334" Type="http://schemas.openxmlformats.org/officeDocument/2006/relationships/table" Target="../tables/table334.xml"/><Relationship Id="rId355" Type="http://schemas.openxmlformats.org/officeDocument/2006/relationships/table" Target="../tables/table355.xml"/><Relationship Id="rId376" Type="http://schemas.openxmlformats.org/officeDocument/2006/relationships/table" Target="../tables/table376.xml"/><Relationship Id="rId397" Type="http://schemas.openxmlformats.org/officeDocument/2006/relationships/table" Target="../tables/table397.xml"/><Relationship Id="rId4" Type="http://schemas.openxmlformats.org/officeDocument/2006/relationships/table" Target="../tables/table4.xml"/><Relationship Id="rId180" Type="http://schemas.openxmlformats.org/officeDocument/2006/relationships/table" Target="../tables/table180.xml"/><Relationship Id="rId215" Type="http://schemas.openxmlformats.org/officeDocument/2006/relationships/table" Target="../tables/table215.xml"/><Relationship Id="rId236" Type="http://schemas.openxmlformats.org/officeDocument/2006/relationships/table" Target="../tables/table236.xml"/><Relationship Id="rId257" Type="http://schemas.openxmlformats.org/officeDocument/2006/relationships/table" Target="../tables/table257.xml"/><Relationship Id="rId278" Type="http://schemas.openxmlformats.org/officeDocument/2006/relationships/table" Target="../tables/table278.xml"/><Relationship Id="rId401" Type="http://schemas.openxmlformats.org/officeDocument/2006/relationships/table" Target="../tables/table401.xml"/><Relationship Id="rId303" Type="http://schemas.openxmlformats.org/officeDocument/2006/relationships/table" Target="../tables/table303.xml"/><Relationship Id="rId42" Type="http://schemas.openxmlformats.org/officeDocument/2006/relationships/table" Target="../tables/table42.xml"/><Relationship Id="rId84" Type="http://schemas.openxmlformats.org/officeDocument/2006/relationships/table" Target="../tables/table84.xml"/><Relationship Id="rId138" Type="http://schemas.openxmlformats.org/officeDocument/2006/relationships/table" Target="../tables/table138.xml"/><Relationship Id="rId345" Type="http://schemas.openxmlformats.org/officeDocument/2006/relationships/table" Target="../tables/table345.xml"/><Relationship Id="rId387" Type="http://schemas.openxmlformats.org/officeDocument/2006/relationships/table" Target="../tables/table387.xml"/><Relationship Id="rId191" Type="http://schemas.openxmlformats.org/officeDocument/2006/relationships/table" Target="../tables/table191.xml"/><Relationship Id="rId205" Type="http://schemas.openxmlformats.org/officeDocument/2006/relationships/table" Target="../tables/table205.xml"/><Relationship Id="rId247" Type="http://schemas.openxmlformats.org/officeDocument/2006/relationships/table" Target="../tables/table247.xml"/><Relationship Id="rId107" Type="http://schemas.openxmlformats.org/officeDocument/2006/relationships/table" Target="../tables/table107.xml"/><Relationship Id="rId289" Type="http://schemas.openxmlformats.org/officeDocument/2006/relationships/table" Target="../tables/table289.xml"/><Relationship Id="rId11" Type="http://schemas.openxmlformats.org/officeDocument/2006/relationships/table" Target="../tables/table11.xml"/><Relationship Id="rId53" Type="http://schemas.openxmlformats.org/officeDocument/2006/relationships/table" Target="../tables/table53.xml"/><Relationship Id="rId149" Type="http://schemas.openxmlformats.org/officeDocument/2006/relationships/table" Target="../tables/table149.xml"/><Relationship Id="rId314" Type="http://schemas.openxmlformats.org/officeDocument/2006/relationships/table" Target="../tables/table314.xml"/><Relationship Id="rId356" Type="http://schemas.openxmlformats.org/officeDocument/2006/relationships/table" Target="../tables/table356.xml"/><Relationship Id="rId398" Type="http://schemas.openxmlformats.org/officeDocument/2006/relationships/table" Target="../tables/table398.xml"/><Relationship Id="rId95" Type="http://schemas.openxmlformats.org/officeDocument/2006/relationships/table" Target="../tables/table95.xml"/><Relationship Id="rId160" Type="http://schemas.openxmlformats.org/officeDocument/2006/relationships/table" Target="../tables/table160.xml"/><Relationship Id="rId216" Type="http://schemas.openxmlformats.org/officeDocument/2006/relationships/table" Target="../tables/table216.xml"/><Relationship Id="rId258" Type="http://schemas.openxmlformats.org/officeDocument/2006/relationships/table" Target="../tables/table258.xml"/><Relationship Id="rId22" Type="http://schemas.openxmlformats.org/officeDocument/2006/relationships/table" Target="../tables/table22.xml"/><Relationship Id="rId64" Type="http://schemas.openxmlformats.org/officeDocument/2006/relationships/table" Target="../tables/table64.xml"/><Relationship Id="rId118" Type="http://schemas.openxmlformats.org/officeDocument/2006/relationships/table" Target="../tables/table118.xml"/><Relationship Id="rId325" Type="http://schemas.openxmlformats.org/officeDocument/2006/relationships/table" Target="../tables/table325.xml"/><Relationship Id="rId367" Type="http://schemas.openxmlformats.org/officeDocument/2006/relationships/table" Target="../tables/table367.xml"/><Relationship Id="rId171" Type="http://schemas.openxmlformats.org/officeDocument/2006/relationships/table" Target="../tables/table171.xml"/><Relationship Id="rId227" Type="http://schemas.openxmlformats.org/officeDocument/2006/relationships/table" Target="../tables/table227.xml"/><Relationship Id="rId269" Type="http://schemas.openxmlformats.org/officeDocument/2006/relationships/table" Target="../tables/table269.xml"/><Relationship Id="rId33" Type="http://schemas.openxmlformats.org/officeDocument/2006/relationships/table" Target="../tables/table33.xml"/><Relationship Id="rId129" Type="http://schemas.openxmlformats.org/officeDocument/2006/relationships/table" Target="../tables/table129.xml"/><Relationship Id="rId280" Type="http://schemas.openxmlformats.org/officeDocument/2006/relationships/table" Target="../tables/table280.xml"/><Relationship Id="rId336" Type="http://schemas.openxmlformats.org/officeDocument/2006/relationships/table" Target="../tables/table336.xml"/><Relationship Id="rId75" Type="http://schemas.openxmlformats.org/officeDocument/2006/relationships/table" Target="../tables/table75.xml"/><Relationship Id="rId140" Type="http://schemas.openxmlformats.org/officeDocument/2006/relationships/table" Target="../tables/table140.xml"/><Relationship Id="rId182" Type="http://schemas.openxmlformats.org/officeDocument/2006/relationships/table" Target="../tables/table182.xml"/><Relationship Id="rId378" Type="http://schemas.openxmlformats.org/officeDocument/2006/relationships/table" Target="../tables/table378.xml"/><Relationship Id="rId403" Type="http://schemas.openxmlformats.org/officeDocument/2006/relationships/table" Target="../tables/table403.xml"/><Relationship Id="rId6" Type="http://schemas.openxmlformats.org/officeDocument/2006/relationships/table" Target="../tables/table6.xml"/><Relationship Id="rId238" Type="http://schemas.openxmlformats.org/officeDocument/2006/relationships/table" Target="../tables/table238.xml"/><Relationship Id="rId291" Type="http://schemas.openxmlformats.org/officeDocument/2006/relationships/table" Target="../tables/table291.xml"/><Relationship Id="rId305" Type="http://schemas.openxmlformats.org/officeDocument/2006/relationships/table" Target="../tables/table305.xml"/><Relationship Id="rId347" Type="http://schemas.openxmlformats.org/officeDocument/2006/relationships/table" Target="../tables/table347.xml"/><Relationship Id="rId44" Type="http://schemas.openxmlformats.org/officeDocument/2006/relationships/table" Target="../tables/table44.xml"/><Relationship Id="rId86" Type="http://schemas.openxmlformats.org/officeDocument/2006/relationships/table" Target="../tables/table86.xml"/><Relationship Id="rId151" Type="http://schemas.openxmlformats.org/officeDocument/2006/relationships/table" Target="../tables/table151.xml"/><Relationship Id="rId389" Type="http://schemas.openxmlformats.org/officeDocument/2006/relationships/table" Target="../tables/table389.xml"/><Relationship Id="rId193" Type="http://schemas.openxmlformats.org/officeDocument/2006/relationships/table" Target="../tables/table193.xml"/><Relationship Id="rId207" Type="http://schemas.openxmlformats.org/officeDocument/2006/relationships/table" Target="../tables/table207.xml"/><Relationship Id="rId249" Type="http://schemas.openxmlformats.org/officeDocument/2006/relationships/table" Target="../tables/table249.xml"/><Relationship Id="rId13" Type="http://schemas.openxmlformats.org/officeDocument/2006/relationships/table" Target="../tables/table13.xml"/><Relationship Id="rId109" Type="http://schemas.openxmlformats.org/officeDocument/2006/relationships/table" Target="../tables/table109.xml"/><Relationship Id="rId260" Type="http://schemas.openxmlformats.org/officeDocument/2006/relationships/table" Target="../tables/table260.xml"/><Relationship Id="rId316" Type="http://schemas.openxmlformats.org/officeDocument/2006/relationships/table" Target="../tables/table316.xml"/><Relationship Id="rId55" Type="http://schemas.openxmlformats.org/officeDocument/2006/relationships/table" Target="../tables/table55.xml"/><Relationship Id="rId97" Type="http://schemas.openxmlformats.org/officeDocument/2006/relationships/table" Target="../tables/table97.xml"/><Relationship Id="rId120" Type="http://schemas.openxmlformats.org/officeDocument/2006/relationships/table" Target="../tables/table120.xml"/><Relationship Id="rId358" Type="http://schemas.openxmlformats.org/officeDocument/2006/relationships/table" Target="../tables/table358.xml"/><Relationship Id="rId162" Type="http://schemas.openxmlformats.org/officeDocument/2006/relationships/table" Target="../tables/table162.xml"/><Relationship Id="rId218" Type="http://schemas.openxmlformats.org/officeDocument/2006/relationships/table" Target="../tables/table218.xml"/><Relationship Id="rId271" Type="http://schemas.openxmlformats.org/officeDocument/2006/relationships/table" Target="../tables/table271.xml"/><Relationship Id="rId24" Type="http://schemas.openxmlformats.org/officeDocument/2006/relationships/table" Target="../tables/table24.xml"/><Relationship Id="rId66" Type="http://schemas.openxmlformats.org/officeDocument/2006/relationships/table" Target="../tables/table66.xml"/><Relationship Id="rId131" Type="http://schemas.openxmlformats.org/officeDocument/2006/relationships/table" Target="../tables/table131.xml"/><Relationship Id="rId327" Type="http://schemas.openxmlformats.org/officeDocument/2006/relationships/table" Target="../tables/table327.xml"/><Relationship Id="rId369" Type="http://schemas.openxmlformats.org/officeDocument/2006/relationships/table" Target="../tables/table369.xml"/><Relationship Id="rId173" Type="http://schemas.openxmlformats.org/officeDocument/2006/relationships/table" Target="../tables/table173.xml"/><Relationship Id="rId229" Type="http://schemas.openxmlformats.org/officeDocument/2006/relationships/table" Target="../tables/table229.xml"/><Relationship Id="rId380" Type="http://schemas.openxmlformats.org/officeDocument/2006/relationships/table" Target="../tables/table380.xml"/><Relationship Id="rId240" Type="http://schemas.openxmlformats.org/officeDocument/2006/relationships/table" Target="../tables/table240.xml"/><Relationship Id="rId35" Type="http://schemas.openxmlformats.org/officeDocument/2006/relationships/table" Target="../tables/table35.xml"/><Relationship Id="rId77" Type="http://schemas.openxmlformats.org/officeDocument/2006/relationships/table" Target="../tables/table77.xml"/><Relationship Id="rId100" Type="http://schemas.openxmlformats.org/officeDocument/2006/relationships/table" Target="../tables/table100.xml"/><Relationship Id="rId282" Type="http://schemas.openxmlformats.org/officeDocument/2006/relationships/table" Target="../tables/table282.xml"/><Relationship Id="rId338" Type="http://schemas.openxmlformats.org/officeDocument/2006/relationships/table" Target="../tables/table338.xml"/><Relationship Id="rId8" Type="http://schemas.openxmlformats.org/officeDocument/2006/relationships/table" Target="../tables/table8.xml"/><Relationship Id="rId142" Type="http://schemas.openxmlformats.org/officeDocument/2006/relationships/table" Target="../tables/table142.xml"/><Relationship Id="rId184" Type="http://schemas.openxmlformats.org/officeDocument/2006/relationships/table" Target="../tables/table184.xml"/><Relationship Id="rId391" Type="http://schemas.openxmlformats.org/officeDocument/2006/relationships/table" Target="../tables/table391.xml"/><Relationship Id="rId405" Type="http://schemas.openxmlformats.org/officeDocument/2006/relationships/table" Target="../tables/table405.xml"/><Relationship Id="rId251" Type="http://schemas.openxmlformats.org/officeDocument/2006/relationships/table" Target="../tables/table251.xml"/><Relationship Id="rId46" Type="http://schemas.openxmlformats.org/officeDocument/2006/relationships/table" Target="../tables/table46.xml"/><Relationship Id="rId293" Type="http://schemas.openxmlformats.org/officeDocument/2006/relationships/table" Target="../tables/table293.xml"/><Relationship Id="rId307" Type="http://schemas.openxmlformats.org/officeDocument/2006/relationships/table" Target="../tables/table307.xml"/><Relationship Id="rId349" Type="http://schemas.openxmlformats.org/officeDocument/2006/relationships/table" Target="../tables/table349.xml"/><Relationship Id="rId88" Type="http://schemas.openxmlformats.org/officeDocument/2006/relationships/table" Target="../tables/table88.xml"/><Relationship Id="rId111" Type="http://schemas.openxmlformats.org/officeDocument/2006/relationships/table" Target="../tables/table111.xml"/><Relationship Id="rId153" Type="http://schemas.openxmlformats.org/officeDocument/2006/relationships/table" Target="../tables/table153.xml"/><Relationship Id="rId195" Type="http://schemas.openxmlformats.org/officeDocument/2006/relationships/table" Target="../tables/table195.xml"/><Relationship Id="rId209" Type="http://schemas.openxmlformats.org/officeDocument/2006/relationships/table" Target="../tables/table209.xml"/><Relationship Id="rId360" Type="http://schemas.openxmlformats.org/officeDocument/2006/relationships/table" Target="../tables/table360.xml"/><Relationship Id="rId220" Type="http://schemas.openxmlformats.org/officeDocument/2006/relationships/table" Target="../tables/table220.xml"/><Relationship Id="rId15" Type="http://schemas.openxmlformats.org/officeDocument/2006/relationships/table" Target="../tables/table15.xml"/><Relationship Id="rId57" Type="http://schemas.openxmlformats.org/officeDocument/2006/relationships/table" Target="../tables/table57.xml"/><Relationship Id="rId262" Type="http://schemas.openxmlformats.org/officeDocument/2006/relationships/table" Target="../tables/table262.xml"/><Relationship Id="rId318" Type="http://schemas.openxmlformats.org/officeDocument/2006/relationships/table" Target="../tables/table318.xml"/><Relationship Id="rId99" Type="http://schemas.openxmlformats.org/officeDocument/2006/relationships/table" Target="../tables/table99.xml"/><Relationship Id="rId122" Type="http://schemas.openxmlformats.org/officeDocument/2006/relationships/table" Target="../tables/table122.xml"/><Relationship Id="rId164" Type="http://schemas.openxmlformats.org/officeDocument/2006/relationships/table" Target="../tables/table164.xml"/><Relationship Id="rId371" Type="http://schemas.openxmlformats.org/officeDocument/2006/relationships/table" Target="../tables/table371.xml"/><Relationship Id="rId26" Type="http://schemas.openxmlformats.org/officeDocument/2006/relationships/table" Target="../tables/table26.xml"/><Relationship Id="rId231" Type="http://schemas.openxmlformats.org/officeDocument/2006/relationships/table" Target="../tables/table231.xml"/><Relationship Id="rId273" Type="http://schemas.openxmlformats.org/officeDocument/2006/relationships/table" Target="../tables/table273.xml"/><Relationship Id="rId329" Type="http://schemas.openxmlformats.org/officeDocument/2006/relationships/table" Target="../tables/table329.xml"/><Relationship Id="rId68" Type="http://schemas.openxmlformats.org/officeDocument/2006/relationships/table" Target="../tables/table68.xml"/><Relationship Id="rId133" Type="http://schemas.openxmlformats.org/officeDocument/2006/relationships/table" Target="../tables/table133.xml"/><Relationship Id="rId175" Type="http://schemas.openxmlformats.org/officeDocument/2006/relationships/table" Target="../tables/table175.xml"/><Relationship Id="rId340" Type="http://schemas.openxmlformats.org/officeDocument/2006/relationships/table" Target="../tables/table340.xml"/><Relationship Id="rId200" Type="http://schemas.openxmlformats.org/officeDocument/2006/relationships/table" Target="../tables/table200.xml"/><Relationship Id="rId382" Type="http://schemas.openxmlformats.org/officeDocument/2006/relationships/table" Target="../tables/table382.xml"/><Relationship Id="rId242" Type="http://schemas.openxmlformats.org/officeDocument/2006/relationships/table" Target="../tables/table242.xml"/><Relationship Id="rId284" Type="http://schemas.openxmlformats.org/officeDocument/2006/relationships/table" Target="../tables/table284.xml"/><Relationship Id="rId37" Type="http://schemas.openxmlformats.org/officeDocument/2006/relationships/table" Target="../tables/table37.xml"/><Relationship Id="rId79" Type="http://schemas.openxmlformats.org/officeDocument/2006/relationships/table" Target="../tables/table79.xml"/><Relationship Id="rId102" Type="http://schemas.openxmlformats.org/officeDocument/2006/relationships/table" Target="../tables/table102.xml"/><Relationship Id="rId144" Type="http://schemas.openxmlformats.org/officeDocument/2006/relationships/table" Target="../tables/table144.xml"/><Relationship Id="rId90" Type="http://schemas.openxmlformats.org/officeDocument/2006/relationships/table" Target="../tables/table90.xml"/><Relationship Id="rId186" Type="http://schemas.openxmlformats.org/officeDocument/2006/relationships/table" Target="../tables/table186.xml"/><Relationship Id="rId351" Type="http://schemas.openxmlformats.org/officeDocument/2006/relationships/table" Target="../tables/table351.xml"/><Relationship Id="rId393" Type="http://schemas.openxmlformats.org/officeDocument/2006/relationships/table" Target="../tables/table393.xml"/><Relationship Id="rId407" Type="http://schemas.openxmlformats.org/officeDocument/2006/relationships/table" Target="../tables/table40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40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4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table" Target="../tables/table4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17.xml"/><Relationship Id="rId2" Type="http://schemas.openxmlformats.org/officeDocument/2006/relationships/hyperlink" Target="file:///\\my.mail@provider.com\Calendar" TargetMode="External"/><Relationship Id="rId1" Type="http://schemas.openxmlformats.org/officeDocument/2006/relationships/hyperlink" Target="file:///\\my.mail@provider.com\Calendar" TargetMode="External"/><Relationship Id="rId6" Type="http://schemas.openxmlformats.org/officeDocument/2006/relationships/ctrlProp" Target="../ctrlProps/ctrlProp16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419.xml"/><Relationship Id="rId4" Type="http://schemas.openxmlformats.org/officeDocument/2006/relationships/drawing" Target="../drawings/drawing7.xml"/><Relationship Id="rId9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table" Target="../tables/table4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E28F4-C3AD-471D-84E4-8E50AB5C6AC4}">
  <sheetPr codeName="Sheet1"/>
  <dimension ref="A1:M4745"/>
  <sheetViews>
    <sheetView topLeftCell="A153" workbookViewId="0">
      <selection activeCell="A4798" sqref="A4798:M4820"/>
    </sheetView>
  </sheetViews>
  <sheetFormatPr defaultColWidth="11.5546875" defaultRowHeight="14.4"/>
  <sheetData>
    <row r="1" spans="1:10">
      <c r="A1" t="s">
        <v>189</v>
      </c>
      <c r="B1" t="s">
        <v>163</v>
      </c>
      <c r="C1" t="s">
        <v>190</v>
      </c>
      <c r="D1">
        <v>18</v>
      </c>
      <c r="E1" t="s">
        <v>191</v>
      </c>
      <c r="F1">
        <v>13</v>
      </c>
    </row>
    <row r="2" spans="1:10">
      <c r="A2" s="4" t="s">
        <v>24</v>
      </c>
      <c r="I2" t="s">
        <v>135</v>
      </c>
      <c r="J2" t="s">
        <v>136</v>
      </c>
    </row>
    <row r="3" spans="1:10">
      <c r="A3" t="s">
        <v>3</v>
      </c>
      <c r="B3" t="s">
        <v>165</v>
      </c>
    </row>
    <row r="4" spans="1:10">
      <c r="A4" t="s">
        <v>77</v>
      </c>
      <c r="B4" s="2">
        <v>6</v>
      </c>
      <c r="C4" t="s">
        <v>4</v>
      </c>
    </row>
    <row r="5" spans="1:10">
      <c r="A5" t="s">
        <v>0</v>
      </c>
      <c r="B5" s="2">
        <f>SUM(TimeEntries219[Time delta in h])</f>
        <v>0</v>
      </c>
      <c r="C5" t="s">
        <v>4</v>
      </c>
    </row>
    <row r="6" spans="1:10">
      <c r="A6" t="s">
        <v>13</v>
      </c>
      <c r="B6" s="5" t="s">
        <v>92</v>
      </c>
    </row>
    <row r="7" spans="1:10">
      <c r="A7" t="s">
        <v>14</v>
      </c>
      <c r="B7" s="5" t="s">
        <v>18</v>
      </c>
    </row>
    <row r="8" spans="1:10">
      <c r="A8" t="s">
        <v>1</v>
      </c>
      <c r="B8" t="s">
        <v>91</v>
      </c>
    </row>
    <row r="9" spans="1:10">
      <c r="A9" t="s">
        <v>15</v>
      </c>
      <c r="B9" s="5" t="s">
        <v>92</v>
      </c>
    </row>
    <row r="10" spans="1:10">
      <c r="A10" t="s">
        <v>2</v>
      </c>
    </row>
    <row r="11" spans="1:10">
      <c r="A11" t="s">
        <v>46</v>
      </c>
      <c r="B11" t="s">
        <v>163</v>
      </c>
    </row>
    <row r="12" spans="1:10">
      <c r="A12" t="s">
        <v>5</v>
      </c>
      <c r="B12" s="2" t="e">
        <f>B4/SUM(TimeEntries219[Time delta in h])</f>
        <v>#DIV/0!</v>
      </c>
      <c r="C12" t="s">
        <v>6</v>
      </c>
    </row>
    <row r="13" spans="1:10">
      <c r="A13" t="s">
        <v>93</v>
      </c>
      <c r="B13" t="s">
        <v>175</v>
      </c>
    </row>
    <row r="14" spans="1:10">
      <c r="A14" t="s">
        <v>94</v>
      </c>
      <c r="B14" t="s">
        <v>176</v>
      </c>
    </row>
    <row r="15" spans="1:10">
      <c r="A15" t="s">
        <v>129</v>
      </c>
      <c r="B15" s="1">
        <v>44075.824305555558</v>
      </c>
    </row>
    <row r="17" spans="1:13">
      <c r="A17" t="s">
        <v>10</v>
      </c>
      <c r="B17" t="s">
        <v>7</v>
      </c>
      <c r="C17" t="s">
        <v>8</v>
      </c>
      <c r="D17" t="s">
        <v>9</v>
      </c>
      <c r="E17" t="s">
        <v>134</v>
      </c>
      <c r="F17" t="s">
        <v>84</v>
      </c>
      <c r="G17" t="s">
        <v>85</v>
      </c>
      <c r="I17" t="s">
        <v>70</v>
      </c>
      <c r="J17" s="15" t="s">
        <v>68</v>
      </c>
      <c r="K17" s="2" t="s">
        <v>69</v>
      </c>
      <c r="L17" t="s">
        <v>71</v>
      </c>
      <c r="M17" t="s">
        <v>72</v>
      </c>
    </row>
    <row r="18" spans="1:13">
      <c r="B18" s="1"/>
      <c r="C18" s="1"/>
      <c r="D18" s="2">
        <f>MAX((TimeEntries219[[#This Row],[End time]]-TimeEntries219[[#This Row],[Start time]])*24,0)</f>
        <v>0</v>
      </c>
      <c r="J18" s="15"/>
      <c r="K18" s="2"/>
      <c r="L18" s="2"/>
      <c r="M18" s="16"/>
    </row>
    <row r="19" spans="1:13">
      <c r="B19" s="1"/>
      <c r="C19" s="1"/>
      <c r="D19" s="2"/>
    </row>
    <row r="21" spans="1:13">
      <c r="A21" t="s">
        <v>189</v>
      </c>
      <c r="B21" t="s">
        <v>166</v>
      </c>
      <c r="C21" t="s">
        <v>190</v>
      </c>
      <c r="D21">
        <v>18</v>
      </c>
      <c r="E21" t="s">
        <v>191</v>
      </c>
      <c r="F21">
        <v>13</v>
      </c>
    </row>
    <row r="22" spans="1:13">
      <c r="A22" s="4" t="s">
        <v>24</v>
      </c>
      <c r="I22" t="s">
        <v>135</v>
      </c>
      <c r="J22" t="s">
        <v>136</v>
      </c>
    </row>
    <row r="23" spans="1:13">
      <c r="A23" t="s">
        <v>3</v>
      </c>
      <c r="B23" t="s">
        <v>167</v>
      </c>
    </row>
    <row r="24" spans="1:13">
      <c r="A24" t="s">
        <v>77</v>
      </c>
      <c r="B24" s="2">
        <v>3</v>
      </c>
      <c r="C24" t="s">
        <v>4</v>
      </c>
    </row>
    <row r="25" spans="1:13">
      <c r="A25" t="s">
        <v>0</v>
      </c>
      <c r="B25" s="2">
        <f>SUM(TimeEntries621[Time delta in h])</f>
        <v>0.25000000011641532</v>
      </c>
      <c r="C25" t="s">
        <v>4</v>
      </c>
    </row>
    <row r="26" spans="1:13">
      <c r="A26" t="s">
        <v>13</v>
      </c>
      <c r="B26" s="5" t="s">
        <v>92</v>
      </c>
    </row>
    <row r="27" spans="1:13">
      <c r="A27" t="s">
        <v>14</v>
      </c>
      <c r="B27" s="5" t="s">
        <v>18</v>
      </c>
    </row>
    <row r="28" spans="1:13">
      <c r="A28" t="s">
        <v>1</v>
      </c>
      <c r="B28" t="s">
        <v>141</v>
      </c>
    </row>
    <row r="29" spans="1:13">
      <c r="A29" t="s">
        <v>15</v>
      </c>
      <c r="B29" s="5" t="s">
        <v>92</v>
      </c>
    </row>
    <row r="30" spans="1:13">
      <c r="A30" t="s">
        <v>2</v>
      </c>
    </row>
    <row r="31" spans="1:13">
      <c r="A31" t="s">
        <v>46</v>
      </c>
      <c r="B31" t="s">
        <v>166</v>
      </c>
    </row>
    <row r="32" spans="1:13">
      <c r="A32" t="s">
        <v>5</v>
      </c>
      <c r="B32" s="2">
        <f>B24/SUM(TimeEntries621[Time delta in h])</f>
        <v>11.999999994412065</v>
      </c>
      <c r="C32" t="s">
        <v>6</v>
      </c>
    </row>
    <row r="33" spans="1:13">
      <c r="A33" t="s">
        <v>93</v>
      </c>
      <c r="B33" t="s">
        <v>180</v>
      </c>
    </row>
    <row r="34" spans="1:13">
      <c r="A34" t="s">
        <v>94</v>
      </c>
      <c r="B34" t="s">
        <v>181</v>
      </c>
    </row>
    <row r="35" spans="1:13">
      <c r="A35" t="s">
        <v>129</v>
      </c>
      <c r="B35" s="1">
        <v>44075.824456018519</v>
      </c>
    </row>
    <row r="37" spans="1:13">
      <c r="A37" t="s">
        <v>10</v>
      </c>
      <c r="B37" t="s">
        <v>7</v>
      </c>
      <c r="C37" t="s">
        <v>8</v>
      </c>
      <c r="D37" t="s">
        <v>9</v>
      </c>
      <c r="E37" t="s">
        <v>134</v>
      </c>
      <c r="F37" t="s">
        <v>84</v>
      </c>
      <c r="G37" t="s">
        <v>85</v>
      </c>
      <c r="I37" t="s">
        <v>70</v>
      </c>
      <c r="J37" s="15" t="s">
        <v>68</v>
      </c>
      <c r="K37" s="2" t="s">
        <v>69</v>
      </c>
      <c r="L37" t="s">
        <v>71</v>
      </c>
      <c r="M37" t="s">
        <v>72</v>
      </c>
    </row>
    <row r="38" spans="1:13">
      <c r="A38" t="s">
        <v>126</v>
      </c>
      <c r="B38" s="1">
        <v>44075.816446759258</v>
      </c>
      <c r="C38" s="1">
        <v>44075.826863425929</v>
      </c>
      <c r="D38" s="2">
        <f>MAX((TimeEntries621[[#This Row],[End time]]-TimeEntries621[[#This Row],[Start time]])*24,0)</f>
        <v>0.25000000011641532</v>
      </c>
      <c r="F38" s="54" t="s">
        <v>184</v>
      </c>
      <c r="G38" s="22" t="s">
        <v>185</v>
      </c>
      <c r="J38" s="15"/>
      <c r="K38" s="2"/>
      <c r="L38" s="2"/>
      <c r="M38" s="16"/>
    </row>
    <row r="39" spans="1:13">
      <c r="B39" s="1"/>
      <c r="C39" s="1"/>
      <c r="D39" s="2"/>
    </row>
    <row r="41" spans="1:13">
      <c r="A41" t="s">
        <v>189</v>
      </c>
      <c r="B41" t="s">
        <v>168</v>
      </c>
      <c r="C41" t="s">
        <v>190</v>
      </c>
      <c r="D41">
        <v>19</v>
      </c>
      <c r="E41" t="s">
        <v>191</v>
      </c>
      <c r="F41">
        <v>13</v>
      </c>
    </row>
    <row r="42" spans="1:13">
      <c r="A42" s="4" t="s">
        <v>24</v>
      </c>
      <c r="I42" t="s">
        <v>135</v>
      </c>
      <c r="J42" t="s">
        <v>136</v>
      </c>
    </row>
    <row r="43" spans="1:13">
      <c r="A43" t="s">
        <v>3</v>
      </c>
      <c r="B43" t="s">
        <v>170</v>
      </c>
    </row>
    <row r="44" spans="1:13">
      <c r="A44" t="s">
        <v>77</v>
      </c>
      <c r="B44" s="2">
        <v>2</v>
      </c>
      <c r="C44" t="s">
        <v>4</v>
      </c>
    </row>
    <row r="45" spans="1:13">
      <c r="A45" t="s">
        <v>0</v>
      </c>
      <c r="B45" s="2">
        <f>SUM(TimeEntries823[Time delta in h])</f>
        <v>0.4208333333954215</v>
      </c>
      <c r="C45" t="s">
        <v>4</v>
      </c>
    </row>
    <row r="46" spans="1:13">
      <c r="A46" t="s">
        <v>13</v>
      </c>
      <c r="B46" s="5" t="s">
        <v>92</v>
      </c>
    </row>
    <row r="47" spans="1:13">
      <c r="A47" t="s">
        <v>14</v>
      </c>
      <c r="B47" s="5" t="s">
        <v>18</v>
      </c>
    </row>
    <row r="48" spans="1:13">
      <c r="A48" t="s">
        <v>1</v>
      </c>
      <c r="B48" t="s">
        <v>130</v>
      </c>
    </row>
    <row r="49" spans="1:13">
      <c r="A49" t="s">
        <v>15</v>
      </c>
      <c r="B49" s="5" t="s">
        <v>92</v>
      </c>
    </row>
    <row r="50" spans="1:13">
      <c r="A50" t="s">
        <v>2</v>
      </c>
    </row>
    <row r="51" spans="1:13">
      <c r="A51" t="s">
        <v>46</v>
      </c>
      <c r="B51" t="s">
        <v>168</v>
      </c>
    </row>
    <row r="52" spans="1:13">
      <c r="A52" t="s">
        <v>5</v>
      </c>
      <c r="B52" s="2">
        <f>B44/SUM(TimeEntries823[Time delta in h])</f>
        <v>4.7524752468235905</v>
      </c>
      <c r="C52" t="s">
        <v>6</v>
      </c>
    </row>
    <row r="53" spans="1:13">
      <c r="A53" t="s">
        <v>93</v>
      </c>
      <c r="B53" t="s">
        <v>175</v>
      </c>
    </row>
    <row r="54" spans="1:13">
      <c r="A54" t="s">
        <v>94</v>
      </c>
      <c r="B54" t="s">
        <v>178</v>
      </c>
    </row>
    <row r="55" spans="1:13">
      <c r="A55" t="s">
        <v>129</v>
      </c>
      <c r="B55" s="1">
        <v>44075.824502314812</v>
      </c>
    </row>
    <row r="57" spans="1:13">
      <c r="A57" t="s">
        <v>10</v>
      </c>
      <c r="B57" t="s">
        <v>7</v>
      </c>
      <c r="C57" t="s">
        <v>8</v>
      </c>
      <c r="D57" t="s">
        <v>9</v>
      </c>
      <c r="E57" t="s">
        <v>134</v>
      </c>
      <c r="F57" t="s">
        <v>84</v>
      </c>
      <c r="G57" t="s">
        <v>85</v>
      </c>
      <c r="I57" t="s">
        <v>70</v>
      </c>
      <c r="J57" s="15" t="s">
        <v>68</v>
      </c>
      <c r="K57" s="2" t="s">
        <v>69</v>
      </c>
      <c r="L57" t="s">
        <v>71</v>
      </c>
      <c r="M57" t="s">
        <v>72</v>
      </c>
    </row>
    <row r="58" spans="1:13">
      <c r="A58" t="s">
        <v>126</v>
      </c>
      <c r="B58" s="1">
        <v>44075.825694444444</v>
      </c>
      <c r="C58" s="1">
        <v>44075.825775462959</v>
      </c>
      <c r="D58" s="2">
        <f>MAX((TimeEntries823[[#This Row],[End time]]-TimeEntries823[[#This Row],[Start time]])*24,0)</f>
        <v>1.9444443751126528E-3</v>
      </c>
      <c r="F58" s="54" t="s">
        <v>184</v>
      </c>
      <c r="G58" s="22" t="s">
        <v>185</v>
      </c>
      <c r="J58" s="15"/>
      <c r="K58" s="2"/>
      <c r="L58" s="2"/>
      <c r="M58" s="16"/>
    </row>
    <row r="59" spans="1:13">
      <c r="A59" t="s">
        <v>127</v>
      </c>
      <c r="B59" s="1">
        <v>44075.826585648145</v>
      </c>
      <c r="C59" s="1">
        <v>44075.844039351854</v>
      </c>
      <c r="D59" s="2">
        <f>MAX((TimeEntries823[[#This Row],[End time]]-TimeEntries823[[#This Row],[Start time]])*24,0)</f>
        <v>0.41888888902030885</v>
      </c>
      <c r="F59" s="54" t="s">
        <v>184</v>
      </c>
      <c r="G59" s="22" t="s">
        <v>185</v>
      </c>
    </row>
    <row r="60" spans="1:13">
      <c r="B60" s="1"/>
      <c r="C60" s="1"/>
      <c r="D60" s="2"/>
    </row>
    <row r="62" spans="1:13">
      <c r="A62" t="s">
        <v>189</v>
      </c>
      <c r="B62" t="s">
        <v>186</v>
      </c>
      <c r="C62" t="s">
        <v>190</v>
      </c>
      <c r="D62">
        <v>23</v>
      </c>
      <c r="E62" t="s">
        <v>191</v>
      </c>
      <c r="F62">
        <v>13</v>
      </c>
    </row>
    <row r="63" spans="1:13">
      <c r="A63" s="4" t="s">
        <v>24</v>
      </c>
      <c r="I63" t="s">
        <v>135</v>
      </c>
      <c r="J63" t="s">
        <v>136</v>
      </c>
    </row>
    <row r="64" spans="1:13">
      <c r="A64" t="s">
        <v>3</v>
      </c>
      <c r="B64" t="s">
        <v>188</v>
      </c>
    </row>
    <row r="65" spans="1:13">
      <c r="A65" t="s">
        <v>77</v>
      </c>
      <c r="B65" s="2">
        <v>4</v>
      </c>
      <c r="C65" t="s">
        <v>4</v>
      </c>
    </row>
    <row r="66" spans="1:13">
      <c r="A66" t="s">
        <v>0</v>
      </c>
      <c r="B66" s="2">
        <f>SUM(TimeEntries1728328[Time delta in h])</f>
        <v>7.7499999999417923</v>
      </c>
      <c r="C66" t="s">
        <v>4</v>
      </c>
    </row>
    <row r="67" spans="1:13">
      <c r="A67" t="s">
        <v>13</v>
      </c>
      <c r="B67" s="5" t="s">
        <v>92</v>
      </c>
    </row>
    <row r="68" spans="1:13">
      <c r="A68" t="s">
        <v>14</v>
      </c>
      <c r="B68" s="5" t="s">
        <v>18</v>
      </c>
    </row>
    <row r="69" spans="1:13">
      <c r="A69" t="s">
        <v>1</v>
      </c>
      <c r="B69" t="s">
        <v>131</v>
      </c>
    </row>
    <row r="70" spans="1:13">
      <c r="A70" t="s">
        <v>15</v>
      </c>
      <c r="B70" s="5">
        <v>44075.827719907407</v>
      </c>
    </row>
    <row r="71" spans="1:13">
      <c r="A71" t="s">
        <v>2</v>
      </c>
    </row>
    <row r="72" spans="1:13">
      <c r="A72" t="s">
        <v>46</v>
      </c>
      <c r="B72" t="s">
        <v>186</v>
      </c>
    </row>
    <row r="73" spans="1:13">
      <c r="A73" t="s">
        <v>5</v>
      </c>
      <c r="B73" s="2">
        <f>B65/SUM(TimeEntries1728328[Time delta in h])</f>
        <v>0.51612903226194096</v>
      </c>
      <c r="C73" t="s">
        <v>6</v>
      </c>
    </row>
    <row r="74" spans="1:13">
      <c r="A74" t="s">
        <v>93</v>
      </c>
    </row>
    <row r="75" spans="1:13">
      <c r="A75" t="s">
        <v>94</v>
      </c>
    </row>
    <row r="76" spans="1:13">
      <c r="A76" t="s">
        <v>129</v>
      </c>
      <c r="B76" s="1">
        <v>44075.827488425923</v>
      </c>
    </row>
    <row r="78" spans="1:13">
      <c r="A78" t="s">
        <v>10</v>
      </c>
      <c r="B78" t="s">
        <v>7</v>
      </c>
      <c r="C78" t="s">
        <v>8</v>
      </c>
      <c r="D78" t="s">
        <v>9</v>
      </c>
      <c r="E78" t="s">
        <v>134</v>
      </c>
      <c r="F78" t="s">
        <v>84</v>
      </c>
      <c r="G78" t="s">
        <v>85</v>
      </c>
      <c r="I78" t="s">
        <v>70</v>
      </c>
      <c r="J78" s="15" t="s">
        <v>68</v>
      </c>
      <c r="K78" s="2" t="s">
        <v>69</v>
      </c>
      <c r="L78" t="s">
        <v>71</v>
      </c>
      <c r="M78" t="s">
        <v>72</v>
      </c>
    </row>
    <row r="79" spans="1:13">
      <c r="A79" t="s">
        <v>126</v>
      </c>
      <c r="B79" s="1">
        <v>44075.733958333331</v>
      </c>
      <c r="C79" s="1">
        <v>44075.827708333331</v>
      </c>
      <c r="D79" s="2">
        <f>MAX((TimeEntries1728328[[#This Row],[End time]]-TimeEntries1728328[[#This Row],[Start time]])*24,0)</f>
        <v>2.25</v>
      </c>
      <c r="F79" s="54" t="s">
        <v>184</v>
      </c>
      <c r="G79" s="22" t="s">
        <v>185</v>
      </c>
      <c r="I79" t="s">
        <v>126</v>
      </c>
      <c r="J79" s="15">
        <v>0.05</v>
      </c>
      <c r="K79" s="2">
        <v>2</v>
      </c>
      <c r="L79" s="2">
        <f>SUM(TimeEntries1728328[Time delta in h])</f>
        <v>7.7499999999417923</v>
      </c>
      <c r="M79" s="16">
        <f>Tabelle73671829339[[#This Row],[EBS self time]]/Tabelle73671829339[[#This Row],[Total time]]</f>
        <v>0.25806451613097048</v>
      </c>
    </row>
    <row r="80" spans="1:13">
      <c r="A80" t="s">
        <v>127</v>
      </c>
      <c r="B80" s="1">
        <v>44075.608969907407</v>
      </c>
      <c r="C80" s="1">
        <v>44075.827719907407</v>
      </c>
      <c r="D80" s="2">
        <f>MAX((TimeEntries1728328[[#This Row],[End time]]-TimeEntries1728328[[#This Row],[Start time]])*24,0)</f>
        <v>5.25</v>
      </c>
      <c r="F80" s="54" t="s">
        <v>184</v>
      </c>
      <c r="G80" s="22" t="s">
        <v>185</v>
      </c>
      <c r="I80" t="s">
        <v>127</v>
      </c>
      <c r="J80" s="15">
        <v>0.2</v>
      </c>
      <c r="K80" s="2">
        <v>2</v>
      </c>
      <c r="L80" s="2">
        <f>SUM(TimeEntries1728328[Time delta in h])</f>
        <v>7.7499999999417923</v>
      </c>
      <c r="M80" s="16">
        <f>Tabelle73671829339[[#This Row],[EBS self time]]/Tabelle73671829339[[#This Row],[Total time]]</f>
        <v>0.25806451613097048</v>
      </c>
    </row>
    <row r="81" spans="1:13">
      <c r="A81" t="s">
        <v>169</v>
      </c>
      <c r="B81" s="1">
        <v>44075.817303240743</v>
      </c>
      <c r="C81" s="1">
        <v>44075.827719907407</v>
      </c>
      <c r="D81" s="2">
        <f>MAX((TimeEntries1728328[[#This Row],[End time]]-TimeEntries1728328[[#This Row],[Start time]])*24,0)</f>
        <v>0.24999999994179234</v>
      </c>
      <c r="F81" s="54" t="s">
        <v>184</v>
      </c>
      <c r="G81" s="22" t="s">
        <v>185</v>
      </c>
      <c r="I81" t="s">
        <v>169</v>
      </c>
      <c r="J81" s="15">
        <v>0.35</v>
      </c>
      <c r="K81" s="2">
        <v>2</v>
      </c>
      <c r="L81" s="2">
        <f>SUM(TimeEntries1728328[Time delta in h])</f>
        <v>7.7499999999417923</v>
      </c>
      <c r="M81" s="16">
        <f>Tabelle73671829339[[#This Row],[EBS self time]]/Tabelle73671829339[[#This Row],[Total time]]</f>
        <v>0.25806451613097048</v>
      </c>
    </row>
    <row r="82" spans="1:13">
      <c r="B82" s="1"/>
      <c r="C82" s="1"/>
      <c r="D82" s="2"/>
      <c r="I82" t="s">
        <v>172</v>
      </c>
      <c r="J82" s="15">
        <v>0.5</v>
      </c>
      <c r="K82" s="2">
        <v>2</v>
      </c>
      <c r="L82" s="2">
        <f>SUM(TimeEntries1728328[Time delta in h])</f>
        <v>7.7499999999417923</v>
      </c>
      <c r="M82" s="16">
        <f>Tabelle73671829339[[#This Row],[EBS self time]]/Tabelle73671829339[[#This Row],[Total time]]</f>
        <v>0.25806451613097048</v>
      </c>
    </row>
    <row r="83" spans="1:13">
      <c r="I83" t="s">
        <v>187</v>
      </c>
      <c r="J83" s="15">
        <v>0.65</v>
      </c>
      <c r="K83" s="2">
        <v>2</v>
      </c>
      <c r="L83" s="2">
        <f>SUM(TimeEntries1728328[Time delta in h])</f>
        <v>7.7499999999417923</v>
      </c>
      <c r="M83" s="16">
        <f>Tabelle73671829339[[#This Row],[EBS self time]]/Tabelle73671829339[[#This Row],[Total time]]</f>
        <v>0.25806451613097048</v>
      </c>
    </row>
    <row r="84" spans="1:13">
      <c r="I84" t="s">
        <v>192</v>
      </c>
      <c r="J84" s="15">
        <v>0.8</v>
      </c>
      <c r="K84" s="2">
        <v>2</v>
      </c>
      <c r="L84" s="2">
        <f>SUM(TimeEntries1728328[Time delta in h])</f>
        <v>7.7499999999417923</v>
      </c>
      <c r="M84" s="16">
        <f>Tabelle73671829339[[#This Row],[EBS self time]]/Tabelle73671829339[[#This Row],[Total time]]</f>
        <v>0.25806451613097048</v>
      </c>
    </row>
    <row r="85" spans="1:13">
      <c r="I85" t="s">
        <v>193</v>
      </c>
      <c r="J85" s="15">
        <v>0.95</v>
      </c>
      <c r="K85" s="2">
        <v>2</v>
      </c>
      <c r="L85" s="2">
        <f>SUM(TimeEntries1728328[Time delta in h])</f>
        <v>7.7499999999417923</v>
      </c>
      <c r="M85" s="16">
        <f>Tabelle73671829339[[#This Row],[EBS self time]]/Tabelle73671829339[[#This Row],[Total time]]</f>
        <v>0.25806451613097048</v>
      </c>
    </row>
    <row r="87" spans="1:13">
      <c r="A87" t="s">
        <v>189</v>
      </c>
      <c r="B87" t="s">
        <v>194</v>
      </c>
      <c r="C87" t="s">
        <v>190</v>
      </c>
      <c r="D87">
        <v>23</v>
      </c>
      <c r="E87" t="s">
        <v>191</v>
      </c>
      <c r="F87">
        <v>13</v>
      </c>
    </row>
    <row r="88" spans="1:13">
      <c r="A88" s="4" t="s">
        <v>24</v>
      </c>
      <c r="I88" t="s">
        <v>135</v>
      </c>
      <c r="J88" t="s">
        <v>136</v>
      </c>
    </row>
    <row r="89" spans="1:13">
      <c r="A89" t="s">
        <v>3</v>
      </c>
      <c r="B89" t="s">
        <v>195</v>
      </c>
    </row>
    <row r="90" spans="1:13">
      <c r="A90" t="s">
        <v>77</v>
      </c>
      <c r="B90" s="2">
        <v>2</v>
      </c>
      <c r="C90" t="s">
        <v>4</v>
      </c>
    </row>
    <row r="91" spans="1:13">
      <c r="A91" t="s">
        <v>0</v>
      </c>
      <c r="B91" s="2">
        <f>SUM(TimeEntries3413[Time delta in h])</f>
        <v>1.0000000001164153</v>
      </c>
      <c r="C91" t="s">
        <v>4</v>
      </c>
    </row>
    <row r="92" spans="1:13">
      <c r="A92" t="s">
        <v>13</v>
      </c>
      <c r="B92" s="5" t="s">
        <v>92</v>
      </c>
    </row>
    <row r="93" spans="1:13">
      <c r="A93" t="s">
        <v>14</v>
      </c>
      <c r="B93" s="5" t="s">
        <v>18</v>
      </c>
    </row>
    <row r="94" spans="1:13">
      <c r="A94" t="s">
        <v>1</v>
      </c>
      <c r="B94" t="s">
        <v>131</v>
      </c>
    </row>
    <row r="95" spans="1:13">
      <c r="A95" t="s">
        <v>15</v>
      </c>
      <c r="B95" s="5">
        <v>44075.693333333336</v>
      </c>
    </row>
    <row r="96" spans="1:13">
      <c r="A96" t="s">
        <v>2</v>
      </c>
    </row>
    <row r="97" spans="1:13">
      <c r="A97" t="s">
        <v>46</v>
      </c>
      <c r="B97" t="s">
        <v>194</v>
      </c>
    </row>
    <row r="98" spans="1:13">
      <c r="A98" t="s">
        <v>5</v>
      </c>
      <c r="B98" s="2">
        <f>B90/SUM(TimeEntries3413[Time delta in h])</f>
        <v>1.9999999997671694</v>
      </c>
      <c r="C98" t="s">
        <v>6</v>
      </c>
    </row>
    <row r="99" spans="1:13">
      <c r="A99" t="s">
        <v>93</v>
      </c>
    </row>
    <row r="100" spans="1:13">
      <c r="A100" t="s">
        <v>94</v>
      </c>
    </row>
    <row r="101" spans="1:13">
      <c r="A101" t="s">
        <v>129</v>
      </c>
      <c r="B101" s="1">
        <v>44075.828576388885</v>
      </c>
    </row>
    <row r="103" spans="1:13">
      <c r="A103" t="s">
        <v>10</v>
      </c>
      <c r="B103" t="s">
        <v>7</v>
      </c>
      <c r="C103" t="s">
        <v>8</v>
      </c>
      <c r="D103" t="s">
        <v>9</v>
      </c>
      <c r="E103" t="s">
        <v>134</v>
      </c>
      <c r="F103" t="s">
        <v>84</v>
      </c>
      <c r="G103" t="s">
        <v>85</v>
      </c>
      <c r="I103" t="s">
        <v>70</v>
      </c>
      <c r="J103" s="15" t="s">
        <v>68</v>
      </c>
      <c r="K103" s="2" t="s">
        <v>69</v>
      </c>
      <c r="L103" t="s">
        <v>71</v>
      </c>
      <c r="M103" t="s">
        <v>72</v>
      </c>
    </row>
    <row r="104" spans="1:13">
      <c r="A104" t="s">
        <v>126</v>
      </c>
      <c r="B104" s="1">
        <v>44075.651666666665</v>
      </c>
      <c r="C104" s="1">
        <v>44075.693333333336</v>
      </c>
      <c r="D104" s="2">
        <f>MAX((TimeEntries3413[[#This Row],[End time]]-TimeEntries3413[[#This Row],[Start time]])*24,0)</f>
        <v>1.0000000001164153</v>
      </c>
      <c r="F104" s="54" t="s">
        <v>184</v>
      </c>
      <c r="G104" s="22" t="s">
        <v>185</v>
      </c>
      <c r="I104" t="s">
        <v>126</v>
      </c>
      <c r="J104" s="15">
        <v>0.05</v>
      </c>
      <c r="K104" s="2">
        <v>1</v>
      </c>
      <c r="L104" s="2">
        <f>SUM(TimeEntries3413[Time delta in h])</f>
        <v>1.0000000001164153</v>
      </c>
      <c r="M104" s="16">
        <f>Tabelle73673514[[#This Row],[EBS self time]]/Tabelle73673514[[#This Row],[Total time]]</f>
        <v>0.99999999988358468</v>
      </c>
    </row>
    <row r="105" spans="1:13">
      <c r="B105" s="1"/>
      <c r="C105" s="1"/>
      <c r="D105" s="2"/>
      <c r="I105" t="s">
        <v>127</v>
      </c>
      <c r="J105" s="15">
        <v>0.2</v>
      </c>
      <c r="K105" s="2">
        <v>1</v>
      </c>
      <c r="L105" s="2">
        <f>SUM(TimeEntries3413[Time delta in h])</f>
        <v>1.0000000001164153</v>
      </c>
      <c r="M105" s="16">
        <f>Tabelle73673514[[#This Row],[EBS self time]]/Tabelle73673514[[#This Row],[Total time]]</f>
        <v>0.99999999988358468</v>
      </c>
    </row>
    <row r="106" spans="1:13">
      <c r="I106" t="s">
        <v>169</v>
      </c>
      <c r="J106" s="15">
        <v>0.35</v>
      </c>
      <c r="K106" s="2">
        <v>1</v>
      </c>
      <c r="L106" s="2">
        <f>SUM(TimeEntries3413[Time delta in h])</f>
        <v>1.0000000001164153</v>
      </c>
      <c r="M106" s="16">
        <f>Tabelle73673514[[#This Row],[EBS self time]]/Tabelle73673514[[#This Row],[Total time]]</f>
        <v>0.99999999988358468</v>
      </c>
    </row>
    <row r="107" spans="1:13">
      <c r="I107" t="s">
        <v>172</v>
      </c>
      <c r="J107" s="15">
        <v>0.5</v>
      </c>
      <c r="K107" s="2">
        <v>1.7189922480620154</v>
      </c>
      <c r="L107" s="2">
        <f>SUM(TimeEntries3413[Time delta in h])</f>
        <v>1.0000000001164153</v>
      </c>
      <c r="M107" s="16">
        <f>Tabelle73673514[[#This Row],[EBS self time]]/Tabelle73673514[[#This Row],[Total time]]</f>
        <v>1.7189922478618984</v>
      </c>
    </row>
    <row r="108" spans="1:13">
      <c r="I108" t="s">
        <v>187</v>
      </c>
      <c r="J108" s="15">
        <v>0.65</v>
      </c>
      <c r="K108" s="2">
        <v>3.8759689922480618</v>
      </c>
      <c r="L108" s="2">
        <f>SUM(TimeEntries3413[Time delta in h])</f>
        <v>1.0000000001164153</v>
      </c>
      <c r="M108" s="16">
        <f>Tabelle73673514[[#This Row],[EBS self time]]/Tabelle73673514[[#This Row],[Total time]]</f>
        <v>3.8759689917968396</v>
      </c>
    </row>
    <row r="109" spans="1:13">
      <c r="I109" t="s">
        <v>192</v>
      </c>
      <c r="J109" s="15">
        <v>0.8</v>
      </c>
      <c r="K109" s="2">
        <v>3.8759689922480618</v>
      </c>
      <c r="L109" s="2">
        <f>SUM(TimeEntries3413[Time delta in h])</f>
        <v>1.0000000001164153</v>
      </c>
      <c r="M109" s="16">
        <f>Tabelle73673514[[#This Row],[EBS self time]]/Tabelle73673514[[#This Row],[Total time]]</f>
        <v>3.8759689917968396</v>
      </c>
    </row>
    <row r="110" spans="1:13">
      <c r="I110" t="s">
        <v>193</v>
      </c>
      <c r="J110" s="15">
        <v>0.95</v>
      </c>
      <c r="K110" s="2">
        <v>3.8759689922480618</v>
      </c>
      <c r="L110" s="2">
        <f>SUM(TimeEntries3413[Time delta in h])</f>
        <v>1.0000000001164153</v>
      </c>
      <c r="M110" s="16">
        <f>Tabelle73673514[[#This Row],[EBS self time]]/Tabelle73673514[[#This Row],[Total time]]</f>
        <v>3.8759689917968396</v>
      </c>
    </row>
    <row r="112" spans="1:13">
      <c r="A112" t="s">
        <v>189</v>
      </c>
      <c r="B112" t="s">
        <v>196</v>
      </c>
      <c r="C112" t="s">
        <v>190</v>
      </c>
      <c r="D112">
        <v>23</v>
      </c>
      <c r="E112" t="s">
        <v>191</v>
      </c>
      <c r="F112">
        <v>13</v>
      </c>
    </row>
    <row r="113" spans="1:13">
      <c r="A113" s="4" t="s">
        <v>24</v>
      </c>
      <c r="I113" t="s">
        <v>135</v>
      </c>
      <c r="J113" t="s">
        <v>136</v>
      </c>
    </row>
    <row r="114" spans="1:13">
      <c r="A114" t="s">
        <v>3</v>
      </c>
      <c r="B114" t="s">
        <v>197</v>
      </c>
    </row>
    <row r="115" spans="1:13">
      <c r="A115" t="s">
        <v>77</v>
      </c>
      <c r="B115" s="2">
        <v>0.25</v>
      </c>
      <c r="C115" t="s">
        <v>4</v>
      </c>
    </row>
    <row r="116" spans="1:13">
      <c r="A116" t="s">
        <v>0</v>
      </c>
      <c r="B116" s="2">
        <f>SUM(TimeEntries3617[Time delta in h])</f>
        <v>0</v>
      </c>
      <c r="C116" t="s">
        <v>4</v>
      </c>
    </row>
    <row r="117" spans="1:13">
      <c r="A117" t="s">
        <v>13</v>
      </c>
      <c r="B117" s="5">
        <v>44075</v>
      </c>
    </row>
    <row r="118" spans="1:13">
      <c r="A118" t="s">
        <v>14</v>
      </c>
      <c r="B118" s="5" t="s">
        <v>18</v>
      </c>
    </row>
    <row r="119" spans="1:13">
      <c r="A119" t="s">
        <v>1</v>
      </c>
      <c r="B119" t="s">
        <v>91</v>
      </c>
    </row>
    <row r="120" spans="1:13">
      <c r="A120" t="s">
        <v>15</v>
      </c>
      <c r="B120" s="5" t="s">
        <v>92</v>
      </c>
    </row>
    <row r="121" spans="1:13">
      <c r="A121" t="s">
        <v>2</v>
      </c>
      <c r="B121" t="s">
        <v>198</v>
      </c>
    </row>
    <row r="122" spans="1:13">
      <c r="A122" t="s">
        <v>46</v>
      </c>
      <c r="B122" t="s">
        <v>196</v>
      </c>
    </row>
    <row r="123" spans="1:13">
      <c r="A123" t="s">
        <v>5</v>
      </c>
      <c r="B123" s="2" t="e">
        <f>B115/SUM(TimeEntries3617[Time delta in h])</f>
        <v>#DIV/0!</v>
      </c>
      <c r="C123" t="s">
        <v>6</v>
      </c>
    </row>
    <row r="124" spans="1:13">
      <c r="A124" t="s">
        <v>93</v>
      </c>
    </row>
    <row r="125" spans="1:13">
      <c r="A125" t="s">
        <v>94</v>
      </c>
    </row>
    <row r="126" spans="1:13">
      <c r="A126" t="s">
        <v>129</v>
      </c>
      <c r="B126" s="1">
        <v>44075.829756944448</v>
      </c>
    </row>
    <row r="128" spans="1:13">
      <c r="A128" t="s">
        <v>10</v>
      </c>
      <c r="B128" t="s">
        <v>7</v>
      </c>
      <c r="C128" t="s">
        <v>8</v>
      </c>
      <c r="D128" t="s">
        <v>9</v>
      </c>
      <c r="E128" t="s">
        <v>134</v>
      </c>
      <c r="F128" t="s">
        <v>84</v>
      </c>
      <c r="G128" t="s">
        <v>85</v>
      </c>
      <c r="I128" t="s">
        <v>70</v>
      </c>
      <c r="J128" s="15" t="s">
        <v>68</v>
      </c>
      <c r="K128" s="2" t="s">
        <v>69</v>
      </c>
      <c r="L128" t="s">
        <v>71</v>
      </c>
      <c r="M128" t="s">
        <v>72</v>
      </c>
    </row>
    <row r="129" spans="1:13">
      <c r="B129" s="1"/>
      <c r="C129" s="1"/>
      <c r="D129" s="2">
        <f>MAX((TimeEntries3617[[#This Row],[End time]]-TimeEntries3617[[#This Row],[Start time]])*24,0)</f>
        <v>0</v>
      </c>
      <c r="I129" t="s">
        <v>126</v>
      </c>
      <c r="J129" s="15">
        <v>0.05</v>
      </c>
      <c r="K129" s="2">
        <v>0.125</v>
      </c>
      <c r="L129" s="2">
        <f>SUM(TimeEntries3617[Time delta in h])</f>
        <v>0</v>
      </c>
      <c r="M129" s="16" t="e">
        <f>Tabelle73673718[[#This Row],[EBS self time]]/Tabelle73673718[[#This Row],[Total time]]</f>
        <v>#DIV/0!</v>
      </c>
    </row>
    <row r="130" spans="1:13">
      <c r="B130" s="1"/>
      <c r="C130" s="1"/>
      <c r="D130" s="2"/>
      <c r="I130" t="s">
        <v>127</v>
      </c>
      <c r="J130" s="15">
        <v>0.2</v>
      </c>
      <c r="K130" s="2">
        <v>0.125</v>
      </c>
      <c r="L130" s="2">
        <f>SUM(TimeEntries3617[Time delta in h])</f>
        <v>0</v>
      </c>
      <c r="M130" s="16" t="e">
        <f>Tabelle73673718[[#This Row],[EBS self time]]/Tabelle73673718[[#This Row],[Total time]]</f>
        <v>#DIV/0!</v>
      </c>
    </row>
    <row r="131" spans="1:13">
      <c r="I131" t="s">
        <v>169</v>
      </c>
      <c r="J131" s="15">
        <v>0.35</v>
      </c>
      <c r="K131" s="2">
        <v>0.125</v>
      </c>
      <c r="L131" s="2">
        <f>SUM(TimeEntries3617[Time delta in h])</f>
        <v>0</v>
      </c>
      <c r="M131" s="16" t="e">
        <f>Tabelle73673718[[#This Row],[EBS self time]]/Tabelle73673718[[#This Row],[Total time]]</f>
        <v>#DIV/0!</v>
      </c>
    </row>
    <row r="132" spans="1:13">
      <c r="I132" t="s">
        <v>172</v>
      </c>
      <c r="J132" s="15">
        <v>0.5</v>
      </c>
      <c r="K132" s="2">
        <v>0.125</v>
      </c>
      <c r="L132" s="2">
        <f>SUM(TimeEntries3617[Time delta in h])</f>
        <v>0</v>
      </c>
      <c r="M132" s="16" t="e">
        <f>Tabelle73673718[[#This Row],[EBS self time]]/Tabelle73673718[[#This Row],[Total time]]</f>
        <v>#DIV/0!</v>
      </c>
    </row>
    <row r="133" spans="1:13">
      <c r="I133" t="s">
        <v>187</v>
      </c>
      <c r="J133" s="15">
        <v>0.65</v>
      </c>
      <c r="K133" s="2">
        <v>0.48449612403100772</v>
      </c>
      <c r="L133" s="2">
        <f>SUM(TimeEntries3617[Time delta in h])</f>
        <v>0</v>
      </c>
      <c r="M133" s="16" t="e">
        <f>Tabelle73673718[[#This Row],[EBS self time]]/Tabelle73673718[[#This Row],[Total time]]</f>
        <v>#DIV/0!</v>
      </c>
    </row>
    <row r="134" spans="1:13">
      <c r="I134" t="s">
        <v>192</v>
      </c>
      <c r="J134" s="15">
        <v>0.8</v>
      </c>
      <c r="K134" s="2">
        <v>0.48449612403100772</v>
      </c>
      <c r="L134" s="2">
        <f>SUM(TimeEntries3617[Time delta in h])</f>
        <v>0</v>
      </c>
      <c r="M134" s="16" t="e">
        <f>Tabelle73673718[[#This Row],[EBS self time]]/Tabelle73673718[[#This Row],[Total time]]</f>
        <v>#DIV/0!</v>
      </c>
    </row>
    <row r="135" spans="1:13">
      <c r="I135" t="s">
        <v>193</v>
      </c>
      <c r="J135" s="15">
        <v>0.95</v>
      </c>
      <c r="K135" s="2">
        <v>0.48449612403100772</v>
      </c>
      <c r="L135" s="2">
        <f>SUM(TimeEntries3617[Time delta in h])</f>
        <v>0</v>
      </c>
      <c r="M135" s="16" t="e">
        <f>Tabelle73673718[[#This Row],[EBS self time]]/Tabelle73673718[[#This Row],[Total time]]</f>
        <v>#DIV/0!</v>
      </c>
    </row>
    <row r="137" spans="1:13">
      <c r="A137" t="s">
        <v>189</v>
      </c>
      <c r="B137" t="s">
        <v>171</v>
      </c>
      <c r="C137" t="s">
        <v>190</v>
      </c>
      <c r="D137">
        <v>23</v>
      </c>
      <c r="E137" t="s">
        <v>191</v>
      </c>
      <c r="F137">
        <v>13</v>
      </c>
    </row>
    <row r="138" spans="1:13">
      <c r="A138" s="4" t="s">
        <v>24</v>
      </c>
      <c r="I138" t="s">
        <v>135</v>
      </c>
      <c r="J138" t="s">
        <v>136</v>
      </c>
    </row>
    <row r="139" spans="1:13">
      <c r="A139" t="s">
        <v>3</v>
      </c>
      <c r="B139" t="s">
        <v>173</v>
      </c>
    </row>
    <row r="140" spans="1:13">
      <c r="A140" t="s">
        <v>77</v>
      </c>
      <c r="B140" s="2">
        <v>1</v>
      </c>
      <c r="C140" t="s">
        <v>4</v>
      </c>
    </row>
    <row r="141" spans="1:13">
      <c r="A141" t="s">
        <v>0</v>
      </c>
      <c r="B141" s="2">
        <f>SUM(TimeEntries1325644625[Time delta in h])</f>
        <v>0.50000000005820766</v>
      </c>
      <c r="C141" t="s">
        <v>4</v>
      </c>
    </row>
    <row r="142" spans="1:13">
      <c r="A142" t="s">
        <v>13</v>
      </c>
      <c r="B142" s="5">
        <v>44560</v>
      </c>
    </row>
    <row r="143" spans="1:13">
      <c r="A143" t="s">
        <v>14</v>
      </c>
      <c r="B143" s="5" t="s">
        <v>18</v>
      </c>
    </row>
    <row r="144" spans="1:13">
      <c r="A144" t="s">
        <v>1</v>
      </c>
      <c r="B144" t="s">
        <v>131</v>
      </c>
    </row>
    <row r="145" spans="1:13">
      <c r="A145" t="s">
        <v>15</v>
      </c>
      <c r="B145" s="5" t="s">
        <v>92</v>
      </c>
    </row>
    <row r="146" spans="1:13">
      <c r="A146" t="s">
        <v>2</v>
      </c>
    </row>
    <row r="147" spans="1:13">
      <c r="A147" t="s">
        <v>46</v>
      </c>
      <c r="B147" t="s">
        <v>171</v>
      </c>
    </row>
    <row r="148" spans="1:13">
      <c r="A148" t="s">
        <v>5</v>
      </c>
      <c r="B148" s="2">
        <f>B140/SUM(TimeEntries1325644625[Time delta in h])</f>
        <v>1.9999999997671694</v>
      </c>
      <c r="C148" t="s">
        <v>6</v>
      </c>
    </row>
    <row r="149" spans="1:13">
      <c r="A149" t="s">
        <v>93</v>
      </c>
      <c r="B149" t="s">
        <v>182</v>
      </c>
    </row>
    <row r="150" spans="1:13">
      <c r="A150" t="s">
        <v>94</v>
      </c>
      <c r="B150" t="s">
        <v>183</v>
      </c>
    </row>
    <row r="151" spans="1:13">
      <c r="A151" t="s">
        <v>129</v>
      </c>
      <c r="B151" s="1">
        <v>44075.824560185189</v>
      </c>
    </row>
    <row r="153" spans="1:13">
      <c r="A153" t="s">
        <v>10</v>
      </c>
      <c r="B153" t="s">
        <v>7</v>
      </c>
      <c r="C153" t="s">
        <v>8</v>
      </c>
      <c r="D153" t="s">
        <v>9</v>
      </c>
      <c r="E153" t="s">
        <v>134</v>
      </c>
      <c r="F153" t="s">
        <v>84</v>
      </c>
      <c r="G153" t="s">
        <v>85</v>
      </c>
      <c r="I153" t="s">
        <v>70</v>
      </c>
      <c r="J153" s="15" t="s">
        <v>68</v>
      </c>
      <c r="K153" s="2" t="s">
        <v>69</v>
      </c>
      <c r="L153" t="s">
        <v>71</v>
      </c>
      <c r="M153" t="s">
        <v>72</v>
      </c>
    </row>
    <row r="154" spans="1:13">
      <c r="A154" t="s">
        <v>126</v>
      </c>
      <c r="B154" s="1">
        <v>44075.815069444441</v>
      </c>
      <c r="C154" s="1">
        <v>44075.825486111113</v>
      </c>
      <c r="D154" s="2">
        <f>MAX((TimeEntries1325644625[[#This Row],[End time]]-TimeEntries1325644625[[#This Row],[Start time]])*24,0)</f>
        <v>0.25000000011641532</v>
      </c>
      <c r="F154" s="54" t="s">
        <v>184</v>
      </c>
      <c r="G154" s="22" t="s">
        <v>185</v>
      </c>
      <c r="I154" t="s">
        <v>126</v>
      </c>
      <c r="J154" s="15">
        <v>0.05</v>
      </c>
      <c r="K154" s="2">
        <v>0.5</v>
      </c>
      <c r="L154" s="2" t="e">
        <f>SUM(#REF!)</f>
        <v>#REF!</v>
      </c>
      <c r="M154" s="16" t="e">
        <f>Tabelle73671427745727[[#This Row],[EBS self time]]/Tabelle73671427745727[[#This Row],[Total time]]</f>
        <v>#REF!</v>
      </c>
    </row>
    <row r="155" spans="1:13">
      <c r="A155" t="s">
        <v>127</v>
      </c>
      <c r="B155" s="1">
        <v>44075.815081018518</v>
      </c>
      <c r="C155" s="1">
        <v>44075.825497685182</v>
      </c>
      <c r="D155" s="2">
        <f>MAX((TimeEntries1325644625[[#This Row],[End time]]-TimeEntries1325644625[[#This Row],[Start time]])*24,0)</f>
        <v>0.24999999994179234</v>
      </c>
      <c r="F155" s="54" t="s">
        <v>184</v>
      </c>
      <c r="G155" s="22" t="s">
        <v>185</v>
      </c>
      <c r="I155" t="s">
        <v>127</v>
      </c>
      <c r="J155" s="15">
        <v>0.2</v>
      </c>
      <c r="K155" s="2">
        <v>0.5</v>
      </c>
      <c r="L155" s="2" t="e">
        <f>SUM(#REF!)</f>
        <v>#REF!</v>
      </c>
      <c r="M155" s="16" t="e">
        <f>Tabelle73671427745727[[#This Row],[EBS self time]]/Tabelle73671427745727[[#This Row],[Total time]]</f>
        <v>#REF!</v>
      </c>
    </row>
    <row r="156" spans="1:13">
      <c r="B156" s="1"/>
      <c r="C156" s="1"/>
      <c r="D156" s="2"/>
      <c r="I156" t="s">
        <v>169</v>
      </c>
      <c r="J156" s="15">
        <v>0.35</v>
      </c>
      <c r="K156" s="2">
        <v>0.5</v>
      </c>
      <c r="L156" s="2" t="e">
        <f>SUM(#REF!)</f>
        <v>#REF!</v>
      </c>
      <c r="M156" s="16" t="e">
        <f>Tabelle73671427745727[[#This Row],[EBS self time]]/Tabelle73671427745727[[#This Row],[Total time]]</f>
        <v>#REF!</v>
      </c>
    </row>
    <row r="157" spans="1:13">
      <c r="I157" t="s">
        <v>172</v>
      </c>
      <c r="J157" s="15">
        <v>0.5</v>
      </c>
      <c r="K157" s="2">
        <v>0.5</v>
      </c>
      <c r="L157" s="2" t="e">
        <f>SUM(#REF!)</f>
        <v>#REF!</v>
      </c>
      <c r="M157" s="16" t="e">
        <f>Tabelle73671427745727[[#This Row],[EBS self time]]/Tabelle73671427745727[[#This Row],[Total time]]</f>
        <v>#REF!</v>
      </c>
    </row>
    <row r="158" spans="1:13">
      <c r="I158" t="s">
        <v>187</v>
      </c>
      <c r="J158" s="15">
        <v>0.65</v>
      </c>
      <c r="K158" s="2">
        <v>1.9379844961240309</v>
      </c>
      <c r="L158" s="2" t="e">
        <f>SUM(#REF!)</f>
        <v>#REF!</v>
      </c>
      <c r="M158" s="16" t="e">
        <f>Tabelle73671427745727[[#This Row],[EBS self time]]/Tabelle73671427745727[[#This Row],[Total time]]</f>
        <v>#REF!</v>
      </c>
    </row>
    <row r="159" spans="1:13">
      <c r="I159" t="s">
        <v>192</v>
      </c>
      <c r="J159" s="15">
        <v>0.8</v>
      </c>
      <c r="K159" s="2">
        <v>1.9379844961240309</v>
      </c>
      <c r="L159" s="2" t="e">
        <f>SUM(#REF!)</f>
        <v>#REF!</v>
      </c>
      <c r="M159" s="16" t="e">
        <f>Tabelle73671427745727[[#This Row],[EBS self time]]/Tabelle73671427745727[[#This Row],[Total time]]</f>
        <v>#REF!</v>
      </c>
    </row>
    <row r="160" spans="1:13">
      <c r="I160" t="s">
        <v>193</v>
      </c>
      <c r="J160" s="15">
        <v>0.95</v>
      </c>
      <c r="K160" s="2">
        <v>1.9379844961240309</v>
      </c>
      <c r="L160" s="2" t="e">
        <f>SUM(#REF!)</f>
        <v>#REF!</v>
      </c>
      <c r="M160" s="16" t="e">
        <f>Tabelle73671427745727[[#This Row],[EBS self time]]/Tabelle73671427745727[[#This Row],[Total time]]</f>
        <v>#REF!</v>
      </c>
    </row>
    <row r="162" spans="1:10">
      <c r="A162" t="s">
        <v>189</v>
      </c>
      <c r="B162" t="s">
        <v>203</v>
      </c>
      <c r="C162" t="s">
        <v>190</v>
      </c>
      <c r="D162">
        <v>23</v>
      </c>
      <c r="E162" t="s">
        <v>191</v>
      </c>
      <c r="F162">
        <v>13</v>
      </c>
    </row>
    <row r="163" spans="1:10">
      <c r="A163" s="4" t="s">
        <v>24</v>
      </c>
      <c r="I163" t="s">
        <v>135</v>
      </c>
      <c r="J163" t="s">
        <v>136</v>
      </c>
    </row>
    <row r="164" spans="1:10">
      <c r="A164" t="s">
        <v>3</v>
      </c>
      <c r="B164" t="s">
        <v>202</v>
      </c>
    </row>
    <row r="165" spans="1:10">
      <c r="A165" t="s">
        <v>77</v>
      </c>
      <c r="B165" s="2">
        <v>9.2722978591918945</v>
      </c>
      <c r="C165" t="s">
        <v>4</v>
      </c>
    </row>
    <row r="166" spans="1:10">
      <c r="A166" t="s">
        <v>0</v>
      </c>
      <c r="B166" s="2">
        <f>SUM(TimeEntries636[Time delta in h])</f>
        <v>9.2661111111519858</v>
      </c>
      <c r="C166" t="s">
        <v>4</v>
      </c>
    </row>
    <row r="167" spans="1:10">
      <c r="A167" t="s">
        <v>13</v>
      </c>
      <c r="B167" s="5" t="s">
        <v>92</v>
      </c>
    </row>
    <row r="168" spans="1:10">
      <c r="A168" t="s">
        <v>14</v>
      </c>
      <c r="B168" s="5" t="s">
        <v>18</v>
      </c>
    </row>
    <row r="169" spans="1:10">
      <c r="A169" t="s">
        <v>1</v>
      </c>
      <c r="B169" t="s">
        <v>91</v>
      </c>
    </row>
    <row r="170" spans="1:10">
      <c r="A170" t="s">
        <v>15</v>
      </c>
      <c r="B170" s="5" t="s">
        <v>92</v>
      </c>
    </row>
    <row r="171" spans="1:10">
      <c r="A171" t="s">
        <v>2</v>
      </c>
    </row>
    <row r="172" spans="1:10">
      <c r="A172" t="s">
        <v>46</v>
      </c>
      <c r="B172" t="s">
        <v>203</v>
      </c>
    </row>
    <row r="173" spans="1:10">
      <c r="A173" t="s">
        <v>5</v>
      </c>
      <c r="B173" s="2">
        <f>B165/SUM(TimeEntries636[Time delta in h])</f>
        <v>1.0006676747090226</v>
      </c>
      <c r="C173" t="s">
        <v>6</v>
      </c>
    </row>
    <row r="174" spans="1:10">
      <c r="A174" t="s">
        <v>93</v>
      </c>
    </row>
    <row r="175" spans="1:10">
      <c r="A175" t="s">
        <v>94</v>
      </c>
    </row>
    <row r="176" spans="1:10">
      <c r="A176" t="s">
        <v>129</v>
      </c>
      <c r="B176" s="1">
        <v>44161.951817129629</v>
      </c>
    </row>
    <row r="178" spans="1:13">
      <c r="A178" t="s">
        <v>10</v>
      </c>
      <c r="B178" t="s">
        <v>7</v>
      </c>
      <c r="C178" t="s">
        <v>8</v>
      </c>
      <c r="D178" t="s">
        <v>9</v>
      </c>
      <c r="E178" t="s">
        <v>134</v>
      </c>
      <c r="F178" t="s">
        <v>84</v>
      </c>
      <c r="G178" t="s">
        <v>85</v>
      </c>
      <c r="I178" t="s">
        <v>70</v>
      </c>
      <c r="J178" s="15" t="s">
        <v>68</v>
      </c>
      <c r="K178" s="2" t="s">
        <v>69</v>
      </c>
      <c r="L178" t="s">
        <v>71</v>
      </c>
      <c r="M178" t="s">
        <v>72</v>
      </c>
    </row>
    <row r="179" spans="1:13">
      <c r="A179" t="s">
        <v>126</v>
      </c>
      <c r="B179" s="1">
        <v>44161.565740740742</v>
      </c>
      <c r="C179" s="1">
        <v>44161.951828703706</v>
      </c>
      <c r="D179" s="2">
        <f>MAX((TimeEntries636[[#This Row],[End time]]-TimeEntries636[[#This Row],[Start time]])*24,0)</f>
        <v>9.2661111111519858</v>
      </c>
      <c r="F179" s="54" t="s">
        <v>184</v>
      </c>
      <c r="G179" s="22" t="s">
        <v>185</v>
      </c>
      <c r="I179" t="s">
        <v>126</v>
      </c>
      <c r="J179" s="15">
        <v>0.05</v>
      </c>
      <c r="K179" s="2">
        <v>4.6361489295959473</v>
      </c>
      <c r="L179" s="2">
        <f>SUM(TimeEntries636[Time delta in h])</f>
        <v>9.2661111111519858</v>
      </c>
      <c r="M179" s="16">
        <f>Tabelle7367737[[#This Row],[EBS self time]]/Tabelle7367737[[#This Row],[Total time]]</f>
        <v>0.50033383735451131</v>
      </c>
    </row>
    <row r="180" spans="1:13">
      <c r="B180" s="1"/>
      <c r="C180" s="1"/>
      <c r="D180" s="2"/>
      <c r="I180" t="s">
        <v>127</v>
      </c>
      <c r="J180" s="15">
        <v>0.2</v>
      </c>
      <c r="K180" s="2">
        <v>4.6361489295959473</v>
      </c>
      <c r="L180" s="2">
        <f>SUM(TimeEntries636[Time delta in h])</f>
        <v>9.2661111111519858</v>
      </c>
      <c r="M180" s="16">
        <f>Tabelle7367737[[#This Row],[EBS self time]]/Tabelle7367737[[#This Row],[Total time]]</f>
        <v>0.50033383735451131</v>
      </c>
    </row>
    <row r="181" spans="1:13">
      <c r="I181" t="s">
        <v>169</v>
      </c>
      <c r="J181" s="15">
        <v>0.35</v>
      </c>
      <c r="K181" s="2">
        <v>4.6361489295959473</v>
      </c>
      <c r="L181" s="2">
        <f>SUM(TimeEntries636[Time delta in h])</f>
        <v>9.2661111111519858</v>
      </c>
      <c r="M181" s="16">
        <f>Tabelle7367737[[#This Row],[EBS self time]]/Tabelle7367737[[#This Row],[Total time]]</f>
        <v>0.50033383735451131</v>
      </c>
    </row>
    <row r="182" spans="1:13">
      <c r="I182" t="s">
        <v>172</v>
      </c>
      <c r="J182" s="15">
        <v>0.5</v>
      </c>
      <c r="K182" s="2">
        <v>4.6361489295959473</v>
      </c>
      <c r="L182" s="2">
        <f>SUM(TimeEntries636[Time delta in h])</f>
        <v>9.2661111111519858</v>
      </c>
      <c r="M182" s="16">
        <f>Tabelle7367737[[#This Row],[EBS self time]]/Tabelle7367737[[#This Row],[Total time]]</f>
        <v>0.50033383735451131</v>
      </c>
    </row>
    <row r="183" spans="1:13">
      <c r="I183" t="s">
        <v>187</v>
      </c>
      <c r="J183" s="15">
        <v>0.65</v>
      </c>
      <c r="K183" s="2">
        <v>4.6361489295959473</v>
      </c>
      <c r="L183" s="2">
        <f>SUM(TimeEntries636[Time delta in h])</f>
        <v>9.2661111111519858</v>
      </c>
      <c r="M183" s="16">
        <f>Tabelle7367737[[#This Row],[EBS self time]]/Tabelle7367737[[#This Row],[Total time]]</f>
        <v>0.50033383735451131</v>
      </c>
    </row>
    <row r="184" spans="1:13">
      <c r="I184" t="s">
        <v>192</v>
      </c>
      <c r="J184" s="15">
        <v>0.8</v>
      </c>
      <c r="K184" s="2">
        <v>17.969569494557934</v>
      </c>
      <c r="L184" s="2">
        <f>SUM(TimeEntries636[Time delta in h])</f>
        <v>9.2661111111519858</v>
      </c>
      <c r="M184" s="16">
        <f>Tabelle7367737[[#This Row],[EBS self time]]/Tabelle7367737[[#This Row],[Total time]]</f>
        <v>1.9392784393585707</v>
      </c>
    </row>
    <row r="185" spans="1:13">
      <c r="I185" t="s">
        <v>193</v>
      </c>
      <c r="J185" s="15">
        <v>0.95</v>
      </c>
      <c r="K185" s="2">
        <v>17.969569494557934</v>
      </c>
      <c r="L185" s="2">
        <f>SUM(TimeEntries636[Time delta in h])</f>
        <v>9.2661111111519858</v>
      </c>
      <c r="M185" s="16">
        <f>Tabelle7367737[[#This Row],[EBS self time]]/Tabelle7367737[[#This Row],[Total time]]</f>
        <v>1.9392784393585707</v>
      </c>
    </row>
    <row r="187" spans="1:13">
      <c r="A187" t="s">
        <v>189</v>
      </c>
      <c r="B187" t="s">
        <v>204</v>
      </c>
      <c r="C187" t="s">
        <v>190</v>
      </c>
      <c r="D187">
        <v>23</v>
      </c>
      <c r="E187" t="s">
        <v>191</v>
      </c>
      <c r="F187">
        <v>13</v>
      </c>
    </row>
    <row r="188" spans="1:13">
      <c r="A188" s="4" t="s">
        <v>24</v>
      </c>
      <c r="I188" t="s">
        <v>135</v>
      </c>
      <c r="J188" t="s">
        <v>136</v>
      </c>
    </row>
    <row r="189" spans="1:13">
      <c r="A189" t="s">
        <v>3</v>
      </c>
      <c r="B189" t="s">
        <v>206</v>
      </c>
    </row>
    <row r="190" spans="1:13">
      <c r="A190" t="s">
        <v>77</v>
      </c>
      <c r="B190" s="2">
        <v>9.6315174102783203</v>
      </c>
      <c r="C190" t="s">
        <v>4</v>
      </c>
    </row>
    <row r="191" spans="1:13">
      <c r="A191" t="s">
        <v>0</v>
      </c>
      <c r="B191" s="2">
        <f>SUM(TimeEntries2838[Time delta in h])</f>
        <v>30.823611111205537</v>
      </c>
      <c r="C191" t="s">
        <v>4</v>
      </c>
    </row>
    <row r="192" spans="1:13">
      <c r="A192" t="s">
        <v>13</v>
      </c>
      <c r="B192" s="5" t="s">
        <v>92</v>
      </c>
    </row>
    <row r="193" spans="1:13">
      <c r="A193" t="s">
        <v>14</v>
      </c>
      <c r="B193" s="5" t="s">
        <v>18</v>
      </c>
    </row>
    <row r="194" spans="1:13">
      <c r="A194" t="s">
        <v>1</v>
      </c>
      <c r="B194" t="s">
        <v>91</v>
      </c>
    </row>
    <row r="195" spans="1:13">
      <c r="A195" t="s">
        <v>15</v>
      </c>
      <c r="B195" s="5" t="s">
        <v>92</v>
      </c>
    </row>
    <row r="196" spans="1:13">
      <c r="A196" t="s">
        <v>2</v>
      </c>
    </row>
    <row r="197" spans="1:13">
      <c r="A197" t="s">
        <v>46</v>
      </c>
      <c r="B197" t="s">
        <v>204</v>
      </c>
    </row>
    <row r="198" spans="1:13">
      <c r="A198" t="s">
        <v>5</v>
      </c>
      <c r="B198" s="2">
        <f>B190/SUM(TimeEntries2838[Time delta in h])</f>
        <v>0.31247206485734902</v>
      </c>
      <c r="C198" t="s">
        <v>6</v>
      </c>
    </row>
    <row r="199" spans="1:13">
      <c r="A199" t="s">
        <v>93</v>
      </c>
    </row>
    <row r="200" spans="1:13">
      <c r="A200" t="s">
        <v>94</v>
      </c>
    </row>
    <row r="201" spans="1:13">
      <c r="A201" t="s">
        <v>129</v>
      </c>
      <c r="B201" s="1">
        <v>44161.951828703706</v>
      </c>
    </row>
    <row r="203" spans="1:13">
      <c r="A203" t="s">
        <v>10</v>
      </c>
      <c r="B203" t="s">
        <v>7</v>
      </c>
      <c r="C203" t="s">
        <v>8</v>
      </c>
      <c r="D203" t="s">
        <v>9</v>
      </c>
      <c r="E203" t="s">
        <v>134</v>
      </c>
      <c r="F203" t="s">
        <v>84</v>
      </c>
      <c r="G203" t="s">
        <v>85</v>
      </c>
      <c r="I203" t="s">
        <v>70</v>
      </c>
      <c r="J203" s="15" t="s">
        <v>68</v>
      </c>
      <c r="K203" s="2" t="s">
        <v>69</v>
      </c>
      <c r="L203" t="s">
        <v>71</v>
      </c>
      <c r="M203" t="s">
        <v>72</v>
      </c>
    </row>
    <row r="204" spans="1:13">
      <c r="A204" t="s">
        <v>126</v>
      </c>
      <c r="B204" s="1">
        <v>44160.667511574073</v>
      </c>
      <c r="C204" s="1">
        <v>44161.951828703706</v>
      </c>
      <c r="D204" s="2">
        <f>MAX((TimeEntries2838[[#This Row],[End time]]-TimeEntries2838[[#This Row],[Start time]])*24,0)</f>
        <v>30.823611111205537</v>
      </c>
      <c r="F204" s="54" t="s">
        <v>184</v>
      </c>
      <c r="G204" s="22" t="s">
        <v>185</v>
      </c>
      <c r="I204" t="s">
        <v>126</v>
      </c>
      <c r="J204" s="15">
        <v>0.05</v>
      </c>
      <c r="K204" s="2">
        <v>4.8157587051391602</v>
      </c>
      <c r="L204" s="2">
        <f>SUM(TimeEntries2838[Time delta in h])</f>
        <v>30.823611111205537</v>
      </c>
      <c r="M204" s="16">
        <f>Tabelle73672939[[#This Row],[EBS self time]]/Tabelle73672939[[#This Row],[Total time]]</f>
        <v>0.15623603242867451</v>
      </c>
    </row>
    <row r="205" spans="1:13">
      <c r="B205" s="1"/>
      <c r="C205" s="1"/>
      <c r="D205" s="2"/>
      <c r="I205" t="s">
        <v>127</v>
      </c>
      <c r="J205" s="15">
        <v>0.2</v>
      </c>
      <c r="K205" s="2">
        <v>4.8157587051391602</v>
      </c>
      <c r="L205" s="2">
        <f>SUM(TimeEntries2838[Time delta in h])</f>
        <v>30.823611111205537</v>
      </c>
      <c r="M205" s="16">
        <f>Tabelle73672939[[#This Row],[EBS self time]]/Tabelle73672939[[#This Row],[Total time]]</f>
        <v>0.15623603242867451</v>
      </c>
    </row>
    <row r="206" spans="1:13">
      <c r="I206" t="s">
        <v>169</v>
      </c>
      <c r="J206" s="15">
        <v>0.35</v>
      </c>
      <c r="K206" s="2">
        <v>4.8157587051391602</v>
      </c>
      <c r="L206" s="2">
        <f>SUM(TimeEntries2838[Time delta in h])</f>
        <v>30.823611111205537</v>
      </c>
      <c r="M206" s="16">
        <f>Tabelle73672939[[#This Row],[EBS self time]]/Tabelle73672939[[#This Row],[Total time]]</f>
        <v>0.15623603242867451</v>
      </c>
    </row>
    <row r="207" spans="1:13">
      <c r="I207" t="s">
        <v>172</v>
      </c>
      <c r="J207" s="15">
        <v>0.5</v>
      </c>
      <c r="K207" s="2">
        <v>4.8157587051391602</v>
      </c>
      <c r="L207" s="2">
        <f>SUM(TimeEntries2838[Time delta in h])</f>
        <v>30.823611111205537</v>
      </c>
      <c r="M207" s="16">
        <f>Tabelle73672939[[#This Row],[EBS self time]]/Tabelle73672939[[#This Row],[Total time]]</f>
        <v>0.15623603242867451</v>
      </c>
    </row>
    <row r="208" spans="1:13">
      <c r="I208" t="s">
        <v>187</v>
      </c>
      <c r="J208" s="15">
        <v>0.65</v>
      </c>
      <c r="K208" s="2">
        <v>10.701997106943949</v>
      </c>
      <c r="L208" s="2">
        <f>SUM(TimeEntries2838[Time delta in h])</f>
        <v>30.823611111205537</v>
      </c>
      <c r="M208" s="16">
        <f>Tabelle73672939[[#This Row],[EBS self time]]/Tabelle73672939[[#This Row],[Total time]]</f>
        <v>0.34720127594178518</v>
      </c>
    </row>
    <row r="209" spans="1:13">
      <c r="I209" t="s">
        <v>192</v>
      </c>
      <c r="J209" s="15">
        <v>0.8</v>
      </c>
      <c r="K209" s="2">
        <v>18.665731415268063</v>
      </c>
      <c r="L209" s="2">
        <f>SUM(TimeEntries2838[Time delta in h])</f>
        <v>30.823611111205537</v>
      </c>
      <c r="M209" s="16">
        <f>Tabelle73672939[[#This Row],[EBS self time]]/Tabelle73672939[[#This Row],[Total time]]</f>
        <v>0.60556601716540503</v>
      </c>
    </row>
    <row r="210" spans="1:13">
      <c r="I210" t="s">
        <v>193</v>
      </c>
      <c r="J210" s="15">
        <v>0.95</v>
      </c>
      <c r="K210" s="2">
        <v>18.665731415268063</v>
      </c>
      <c r="L210" s="2">
        <f>SUM(TimeEntries2838[Time delta in h])</f>
        <v>30.823611111205537</v>
      </c>
      <c r="M210" s="16">
        <f>Tabelle73672939[[#This Row],[EBS self time]]/Tabelle73672939[[#This Row],[Total time]]</f>
        <v>0.60556601716540503</v>
      </c>
    </row>
    <row r="212" spans="1:13">
      <c r="A212" t="s">
        <v>189</v>
      </c>
      <c r="B212" t="s">
        <v>207</v>
      </c>
      <c r="C212" t="s">
        <v>190</v>
      </c>
      <c r="D212">
        <v>23</v>
      </c>
      <c r="E212" t="s">
        <v>191</v>
      </c>
      <c r="F212">
        <v>13</v>
      </c>
    </row>
    <row r="213" spans="1:13">
      <c r="A213" s="4" t="s">
        <v>24</v>
      </c>
      <c r="I213" t="s">
        <v>135</v>
      </c>
      <c r="J213" t="s">
        <v>136</v>
      </c>
    </row>
    <row r="214" spans="1:13">
      <c r="A214" t="s">
        <v>3</v>
      </c>
      <c r="B214" t="s">
        <v>209</v>
      </c>
    </row>
    <row r="215" spans="1:13">
      <c r="A215" t="s">
        <v>77</v>
      </c>
      <c r="B215" s="2">
        <v>1.6418333053588867</v>
      </c>
      <c r="C215" t="s">
        <v>4</v>
      </c>
    </row>
    <row r="216" spans="1:13">
      <c r="A216" t="s">
        <v>0</v>
      </c>
      <c r="B216" s="2">
        <f>SUM(TimeEntries3040[Time delta in h])</f>
        <v>29.544999999983702</v>
      </c>
      <c r="C216" t="s">
        <v>4</v>
      </c>
    </row>
    <row r="217" spans="1:13">
      <c r="A217" t="s">
        <v>13</v>
      </c>
      <c r="B217" s="5" t="s">
        <v>92</v>
      </c>
    </row>
    <row r="218" spans="1:13">
      <c r="A218" t="s">
        <v>14</v>
      </c>
      <c r="B218" s="5" t="s">
        <v>18</v>
      </c>
    </row>
    <row r="219" spans="1:13">
      <c r="A219" t="s">
        <v>1</v>
      </c>
      <c r="B219" t="s">
        <v>91</v>
      </c>
    </row>
    <row r="220" spans="1:13">
      <c r="A220" t="s">
        <v>15</v>
      </c>
      <c r="B220" s="5" t="s">
        <v>92</v>
      </c>
    </row>
    <row r="221" spans="1:13">
      <c r="A221" t="s">
        <v>2</v>
      </c>
    </row>
    <row r="222" spans="1:13">
      <c r="A222" t="s">
        <v>46</v>
      </c>
      <c r="B222" t="s">
        <v>207</v>
      </c>
    </row>
    <row r="223" spans="1:13">
      <c r="A223" t="s">
        <v>5</v>
      </c>
      <c r="B223" s="2">
        <f>B215/SUM(TimeEntries3040[Time delta in h])</f>
        <v>5.5570597575217207E-2</v>
      </c>
      <c r="C223" t="s">
        <v>6</v>
      </c>
    </row>
    <row r="224" spans="1:13">
      <c r="A224" t="s">
        <v>93</v>
      </c>
    </row>
    <row r="225" spans="1:13">
      <c r="A225" t="s">
        <v>94</v>
      </c>
    </row>
    <row r="226" spans="1:13">
      <c r="A226" t="s">
        <v>129</v>
      </c>
      <c r="B226" s="1">
        <v>44161.951828703706</v>
      </c>
    </row>
    <row r="228" spans="1:13">
      <c r="A228" t="s">
        <v>10</v>
      </c>
      <c r="B228" t="s">
        <v>7</v>
      </c>
      <c r="C228" t="s">
        <v>8</v>
      </c>
      <c r="D228" t="s">
        <v>9</v>
      </c>
      <c r="E228" t="s">
        <v>134</v>
      </c>
      <c r="F228" t="s">
        <v>84</v>
      </c>
      <c r="G228" t="s">
        <v>85</v>
      </c>
      <c r="I228" t="s">
        <v>70</v>
      </c>
      <c r="J228" s="15" t="s">
        <v>68</v>
      </c>
      <c r="K228" s="2" t="s">
        <v>69</v>
      </c>
      <c r="L228" t="s">
        <v>71</v>
      </c>
      <c r="M228" t="s">
        <v>72</v>
      </c>
    </row>
    <row r="229" spans="1:13">
      <c r="A229" t="s">
        <v>126</v>
      </c>
      <c r="B229" s="1">
        <v>44160.72078703704</v>
      </c>
      <c r="C229" s="1">
        <v>44161.951828703706</v>
      </c>
      <c r="D229" s="2">
        <f>MAX((TimeEntries3040[[#This Row],[End time]]-TimeEntries3040[[#This Row],[Start time]])*24,0)</f>
        <v>29.544999999983702</v>
      </c>
      <c r="F229" s="54" t="s">
        <v>184</v>
      </c>
      <c r="G229" s="22" t="s">
        <v>185</v>
      </c>
      <c r="I229" t="s">
        <v>126</v>
      </c>
      <c r="J229" s="15">
        <v>0.05</v>
      </c>
      <c r="K229" s="2">
        <v>0.82091665267944336</v>
      </c>
      <c r="L229" s="2">
        <f>SUM(TimeEntries3040[Time delta in h])</f>
        <v>29.544999999983702</v>
      </c>
      <c r="M229" s="16">
        <f>Tabelle73673141[[#This Row],[EBS self time]]/Tabelle73673141[[#This Row],[Total time]]</f>
        <v>2.7785298787608603E-2</v>
      </c>
    </row>
    <row r="230" spans="1:13">
      <c r="B230" s="1"/>
      <c r="C230" s="1"/>
      <c r="D230" s="2"/>
      <c r="I230" t="s">
        <v>127</v>
      </c>
      <c r="J230" s="15">
        <v>0.2</v>
      </c>
      <c r="K230" s="2">
        <v>0.82091665267944336</v>
      </c>
      <c r="L230" s="2">
        <f>SUM(TimeEntries3040[Time delta in h])</f>
        <v>29.544999999983702</v>
      </c>
      <c r="M230" s="16">
        <f>Tabelle73673141[[#This Row],[EBS self time]]/Tabelle73673141[[#This Row],[Total time]]</f>
        <v>2.7785298787608603E-2</v>
      </c>
    </row>
    <row r="231" spans="1:13">
      <c r="I231" t="s">
        <v>169</v>
      </c>
      <c r="J231" s="15">
        <v>0.35</v>
      </c>
      <c r="K231" s="2">
        <v>0.82091665267944336</v>
      </c>
      <c r="L231" s="2">
        <f>SUM(TimeEntries3040[Time delta in h])</f>
        <v>29.544999999983702</v>
      </c>
      <c r="M231" s="16">
        <f>Tabelle73673141[[#This Row],[EBS self time]]/Tabelle73673141[[#This Row],[Total time]]</f>
        <v>2.7785298787608603E-2</v>
      </c>
    </row>
    <row r="232" spans="1:13">
      <c r="I232" t="s">
        <v>172</v>
      </c>
      <c r="J232" s="15">
        <v>0.5</v>
      </c>
      <c r="K232" s="2">
        <v>0.82091665267944336</v>
      </c>
      <c r="L232" s="2">
        <f>SUM(TimeEntries3040[Time delta in h])</f>
        <v>29.544999999983702</v>
      </c>
      <c r="M232" s="16">
        <f>Tabelle73673141[[#This Row],[EBS self time]]/Tabelle73673141[[#This Row],[Total time]]</f>
        <v>2.7785298787608603E-2</v>
      </c>
    </row>
    <row r="233" spans="1:13">
      <c r="I233" t="s">
        <v>187</v>
      </c>
      <c r="J233" s="15">
        <v>0.65</v>
      </c>
      <c r="K233" s="2">
        <v>0.82091665267944336</v>
      </c>
      <c r="L233" s="2">
        <f>SUM(TimeEntries3040[Time delta in h])</f>
        <v>29.544999999983702</v>
      </c>
      <c r="M233" s="16">
        <f>Tabelle73673141[[#This Row],[EBS self time]]/Tabelle73673141[[#This Row],[Total time]]</f>
        <v>2.7785298787608603E-2</v>
      </c>
    </row>
    <row r="234" spans="1:13">
      <c r="I234" t="s">
        <v>192</v>
      </c>
      <c r="J234" s="15">
        <v>0.8</v>
      </c>
      <c r="K234" s="2">
        <v>3.1818474910055943</v>
      </c>
      <c r="L234" s="2">
        <f>SUM(TimeEntries3040[Time delta in h])</f>
        <v>29.544999999983702</v>
      </c>
      <c r="M234" s="16">
        <f>Tabelle73673141[[#This Row],[EBS self time]]/Tabelle73673141[[#This Row],[Total time]]</f>
        <v>0.10769495654111862</v>
      </c>
    </row>
    <row r="235" spans="1:13">
      <c r="I235" t="s">
        <v>193</v>
      </c>
      <c r="J235" s="15">
        <v>0.95</v>
      </c>
      <c r="K235" s="2">
        <v>3.1818474910055943</v>
      </c>
      <c r="L235" s="2">
        <f>SUM(TimeEntries3040[Time delta in h])</f>
        <v>29.544999999983702</v>
      </c>
      <c r="M235" s="16">
        <f>Tabelle73673141[[#This Row],[EBS self time]]/Tabelle73673141[[#This Row],[Total time]]</f>
        <v>0.10769495654111862</v>
      </c>
    </row>
    <row r="237" spans="1:13">
      <c r="A237" t="s">
        <v>189</v>
      </c>
      <c r="B237" t="s">
        <v>210</v>
      </c>
      <c r="C237" t="s">
        <v>190</v>
      </c>
      <c r="D237">
        <v>23</v>
      </c>
      <c r="E237" t="s">
        <v>191</v>
      </c>
      <c r="F237">
        <v>13</v>
      </c>
    </row>
    <row r="238" spans="1:13">
      <c r="A238" s="4" t="s">
        <v>24</v>
      </c>
      <c r="I238" t="s">
        <v>135</v>
      </c>
      <c r="J238" t="s">
        <v>136</v>
      </c>
    </row>
    <row r="239" spans="1:13">
      <c r="A239" t="s">
        <v>3</v>
      </c>
      <c r="B239" t="s">
        <v>212</v>
      </c>
    </row>
    <row r="240" spans="1:13">
      <c r="A240" t="s">
        <v>77</v>
      </c>
      <c r="B240" s="2">
        <v>10.494972229003906</v>
      </c>
      <c r="C240" t="s">
        <v>4</v>
      </c>
    </row>
    <row r="241" spans="1:13">
      <c r="A241" t="s">
        <v>0</v>
      </c>
      <c r="B241" s="2">
        <f>SUM(TimeEntries3242[Time delta in h])</f>
        <v>3.4358333332347684</v>
      </c>
      <c r="C241" t="s">
        <v>4</v>
      </c>
    </row>
    <row r="242" spans="1:13">
      <c r="A242" t="s">
        <v>13</v>
      </c>
      <c r="B242" s="5" t="s">
        <v>92</v>
      </c>
    </row>
    <row r="243" spans="1:13">
      <c r="A243" t="s">
        <v>14</v>
      </c>
      <c r="B243" s="5" t="s">
        <v>18</v>
      </c>
    </row>
    <row r="244" spans="1:13">
      <c r="A244" t="s">
        <v>1</v>
      </c>
      <c r="B244" t="s">
        <v>91</v>
      </c>
    </row>
    <row r="245" spans="1:13">
      <c r="A245" t="s">
        <v>15</v>
      </c>
      <c r="B245" s="5" t="s">
        <v>92</v>
      </c>
    </row>
    <row r="246" spans="1:13">
      <c r="A246" t="s">
        <v>2</v>
      </c>
    </row>
    <row r="247" spans="1:13">
      <c r="A247" t="s">
        <v>46</v>
      </c>
      <c r="B247" t="s">
        <v>210</v>
      </c>
    </row>
    <row r="248" spans="1:13">
      <c r="A248" t="s">
        <v>5</v>
      </c>
      <c r="B248" s="2">
        <f>B240/SUM(TimeEntries3242[Time delta in h])</f>
        <v>3.0545638309885943</v>
      </c>
      <c r="C248" t="s">
        <v>6</v>
      </c>
    </row>
    <row r="249" spans="1:13">
      <c r="A249" t="s">
        <v>93</v>
      </c>
    </row>
    <row r="250" spans="1:13">
      <c r="A250" t="s">
        <v>94</v>
      </c>
    </row>
    <row r="251" spans="1:13">
      <c r="A251" t="s">
        <v>129</v>
      </c>
      <c r="B251" s="1">
        <v>44161.951828703706</v>
      </c>
    </row>
    <row r="253" spans="1:13">
      <c r="A253" t="s">
        <v>10</v>
      </c>
      <c r="B253" t="s">
        <v>7</v>
      </c>
      <c r="C253" t="s">
        <v>8</v>
      </c>
      <c r="D253" t="s">
        <v>9</v>
      </c>
      <c r="E253" t="s">
        <v>134</v>
      </c>
      <c r="F253" t="s">
        <v>84</v>
      </c>
      <c r="G253" t="s">
        <v>85</v>
      </c>
      <c r="I253" t="s">
        <v>70</v>
      </c>
      <c r="J253" s="15" t="s">
        <v>68</v>
      </c>
      <c r="K253" s="2" t="s">
        <v>69</v>
      </c>
      <c r="L253" t="s">
        <v>71</v>
      </c>
      <c r="M253" t="s">
        <v>72</v>
      </c>
    </row>
    <row r="254" spans="1:13">
      <c r="A254" t="s">
        <v>126</v>
      </c>
      <c r="B254" s="1">
        <v>44161.808680555558</v>
      </c>
      <c r="C254" s="1">
        <v>44161.951840277776</v>
      </c>
      <c r="D254" s="2">
        <f>MAX((TimeEntries3242[[#This Row],[End time]]-TimeEntries3242[[#This Row],[Start time]])*24,0)</f>
        <v>3.4358333332347684</v>
      </c>
      <c r="F254" s="54" t="s">
        <v>184</v>
      </c>
      <c r="G254" s="22" t="s">
        <v>185</v>
      </c>
      <c r="I254" t="s">
        <v>126</v>
      </c>
      <c r="J254" s="15">
        <v>0.05</v>
      </c>
      <c r="K254" s="2">
        <v>5.2474861145019531</v>
      </c>
      <c r="L254" s="2">
        <f>SUM(TimeEntries3242[Time delta in h])</f>
        <v>3.4358333332347684</v>
      </c>
      <c r="M254" s="16">
        <f>Tabelle73673343[[#This Row],[EBS self time]]/Tabelle73673343[[#This Row],[Total time]]</f>
        <v>1.5272819154942971</v>
      </c>
    </row>
    <row r="255" spans="1:13">
      <c r="B255" s="1"/>
      <c r="C255" s="1"/>
      <c r="D255" s="2"/>
      <c r="I255" t="s">
        <v>127</v>
      </c>
      <c r="J255" s="15">
        <v>0.2</v>
      </c>
      <c r="K255" s="2">
        <v>5.2474861145019531</v>
      </c>
      <c r="L255" s="2">
        <f>SUM(TimeEntries3242[Time delta in h])</f>
        <v>3.4358333332347684</v>
      </c>
      <c r="M255" s="16">
        <f>Tabelle73673343[[#This Row],[EBS self time]]/Tabelle73673343[[#This Row],[Total time]]</f>
        <v>1.5272819154942971</v>
      </c>
    </row>
    <row r="256" spans="1:13">
      <c r="I256" t="s">
        <v>169</v>
      </c>
      <c r="J256" s="15">
        <v>0.35</v>
      </c>
      <c r="K256" s="2">
        <v>5.2474861145019531</v>
      </c>
      <c r="L256" s="2">
        <f>SUM(TimeEntries3242[Time delta in h])</f>
        <v>3.4358333332347684</v>
      </c>
      <c r="M256" s="16">
        <f>Tabelle73673343[[#This Row],[EBS self time]]/Tabelle73673343[[#This Row],[Total time]]</f>
        <v>1.5272819154942971</v>
      </c>
    </row>
    <row r="257" spans="1:13">
      <c r="I257" t="s">
        <v>172</v>
      </c>
      <c r="J257" s="15">
        <v>0.5</v>
      </c>
      <c r="K257" s="2">
        <v>5.2474861145019531</v>
      </c>
      <c r="L257" s="2">
        <f>SUM(TimeEntries3242[Time delta in h])</f>
        <v>3.4358333332347684</v>
      </c>
      <c r="M257" s="16">
        <f>Tabelle73673343[[#This Row],[EBS self time]]/Tabelle73673343[[#This Row],[Total time]]</f>
        <v>1.5272819154942971</v>
      </c>
    </row>
    <row r="258" spans="1:13">
      <c r="I258" t="s">
        <v>187</v>
      </c>
      <c r="J258" s="15">
        <v>0.65</v>
      </c>
      <c r="K258" s="2">
        <v>5.2474861145019531</v>
      </c>
      <c r="L258" s="2">
        <f>SUM(TimeEntries3242[Time delta in h])</f>
        <v>3.4358333332347684</v>
      </c>
      <c r="M258" s="16">
        <f>Tabelle73673343[[#This Row],[EBS self time]]/Tabelle73673343[[#This Row],[Total time]]</f>
        <v>1.5272819154942971</v>
      </c>
    </row>
    <row r="259" spans="1:13">
      <c r="I259" t="s">
        <v>192</v>
      </c>
      <c r="J259" s="15">
        <v>0.8</v>
      </c>
      <c r="K259" s="2">
        <v>20.339093467061833</v>
      </c>
      <c r="L259" s="2">
        <f>SUM(TimeEntries3242[Time delta in h])</f>
        <v>3.4358333332347684</v>
      </c>
      <c r="M259" s="16">
        <f>Tabelle73673343[[#This Row],[EBS self time]]/Tabelle73673343[[#This Row],[Total time]]</f>
        <v>5.919697346877121</v>
      </c>
    </row>
    <row r="260" spans="1:13">
      <c r="I260" t="s">
        <v>193</v>
      </c>
      <c r="J260" s="15">
        <v>0.95</v>
      </c>
      <c r="K260" s="2">
        <v>20.339093467061833</v>
      </c>
      <c r="L260" s="2">
        <f>SUM(TimeEntries3242[Time delta in h])</f>
        <v>3.4358333332347684</v>
      </c>
      <c r="M260" s="16">
        <f>Tabelle73673343[[#This Row],[EBS self time]]/Tabelle73673343[[#This Row],[Total time]]</f>
        <v>5.919697346877121</v>
      </c>
    </row>
    <row r="262" spans="1:13">
      <c r="A262" t="s">
        <v>189</v>
      </c>
      <c r="B262" t="s">
        <v>213</v>
      </c>
      <c r="C262" t="s">
        <v>190</v>
      </c>
      <c r="D262">
        <v>23</v>
      </c>
      <c r="E262" t="s">
        <v>191</v>
      </c>
      <c r="F262">
        <v>13</v>
      </c>
    </row>
    <row r="263" spans="1:13">
      <c r="A263" s="4" t="s">
        <v>24</v>
      </c>
      <c r="I263" t="s">
        <v>135</v>
      </c>
      <c r="J263" t="s">
        <v>136</v>
      </c>
    </row>
    <row r="264" spans="1:13">
      <c r="A264" t="s">
        <v>3</v>
      </c>
      <c r="B264" t="s">
        <v>215</v>
      </c>
    </row>
    <row r="265" spans="1:13">
      <c r="A265" t="s">
        <v>77</v>
      </c>
      <c r="B265" s="2">
        <v>9.3583078384399414</v>
      </c>
      <c r="C265" t="s">
        <v>4</v>
      </c>
    </row>
    <row r="266" spans="1:13">
      <c r="A266" t="s">
        <v>0</v>
      </c>
      <c r="B266" s="2">
        <f>SUM(TimeEntries34444859[Time delta in h])</f>
        <v>30.773333333374467</v>
      </c>
      <c r="C266" t="s">
        <v>4</v>
      </c>
    </row>
    <row r="267" spans="1:13">
      <c r="A267" t="s">
        <v>13</v>
      </c>
      <c r="B267" s="5" t="s">
        <v>92</v>
      </c>
    </row>
    <row r="268" spans="1:13">
      <c r="A268" t="s">
        <v>14</v>
      </c>
      <c r="B268" s="5" t="s">
        <v>18</v>
      </c>
    </row>
    <row r="269" spans="1:13">
      <c r="A269" t="s">
        <v>1</v>
      </c>
      <c r="B269" t="s">
        <v>91</v>
      </c>
    </row>
    <row r="270" spans="1:13">
      <c r="A270" t="s">
        <v>15</v>
      </c>
      <c r="B270" s="5" t="s">
        <v>92</v>
      </c>
    </row>
    <row r="271" spans="1:13">
      <c r="A271" t="s">
        <v>2</v>
      </c>
    </row>
    <row r="272" spans="1:13">
      <c r="A272" t="s">
        <v>46</v>
      </c>
      <c r="B272" t="s">
        <v>213</v>
      </c>
    </row>
    <row r="273" spans="1:13">
      <c r="A273" t="s">
        <v>5</v>
      </c>
      <c r="B273" s="2">
        <f>B265/SUM(TimeEntries34444859[Time delta in h])</f>
        <v>0.30410445748789317</v>
      </c>
      <c r="C273" t="s">
        <v>6</v>
      </c>
    </row>
    <row r="274" spans="1:13">
      <c r="A274" t="s">
        <v>93</v>
      </c>
    </row>
    <row r="275" spans="1:13">
      <c r="A275" t="s">
        <v>94</v>
      </c>
    </row>
    <row r="276" spans="1:13">
      <c r="A276" t="s">
        <v>129</v>
      </c>
      <c r="B276" s="1">
        <v>44161.951840277776</v>
      </c>
    </row>
    <row r="278" spans="1:13">
      <c r="A278" t="s">
        <v>10</v>
      </c>
      <c r="B278" t="s">
        <v>7</v>
      </c>
      <c r="C278" t="s">
        <v>8</v>
      </c>
      <c r="D278" t="s">
        <v>9</v>
      </c>
      <c r="E278" t="s">
        <v>134</v>
      </c>
      <c r="F278" t="s">
        <v>84</v>
      </c>
      <c r="G278" t="s">
        <v>85</v>
      </c>
      <c r="I278" t="s">
        <v>70</v>
      </c>
      <c r="J278" s="15" t="s">
        <v>68</v>
      </c>
      <c r="K278" s="2" t="s">
        <v>69</v>
      </c>
      <c r="L278" t="s">
        <v>71</v>
      </c>
      <c r="M278" t="s">
        <v>72</v>
      </c>
    </row>
    <row r="279" spans="1:13">
      <c r="A279" t="s">
        <v>126</v>
      </c>
      <c r="B279" s="1">
        <v>44160.669629629629</v>
      </c>
      <c r="C279" s="1">
        <v>44161.951851851853</v>
      </c>
      <c r="D279" s="2">
        <f>MAX((TimeEntries34444859[[#This Row],[End time]]-TimeEntries34444859[[#This Row],[Start time]])*24,0)</f>
        <v>30.773333333374467</v>
      </c>
      <c r="F279" s="54" t="s">
        <v>184</v>
      </c>
      <c r="G279" s="22" t="s">
        <v>185</v>
      </c>
      <c r="I279" t="s">
        <v>126</v>
      </c>
      <c r="J279" s="15">
        <v>0.05</v>
      </c>
      <c r="K279" s="2">
        <v>4.6791539192199707</v>
      </c>
      <c r="L279" s="2">
        <f>SUM(TimeEntries34444859[Time delta in h])</f>
        <v>30.773333333374467</v>
      </c>
      <c r="M279" s="16">
        <f>Tabelle736735454960[[#This Row],[EBS self time]]/Tabelle736735454960[[#This Row],[Total time]]</f>
        <v>0.15205222874394658</v>
      </c>
    </row>
    <row r="280" spans="1:13">
      <c r="B280" s="1"/>
      <c r="C280" s="1"/>
      <c r="D280" s="2"/>
      <c r="I280" t="s">
        <v>127</v>
      </c>
      <c r="J280" s="15">
        <v>0.2</v>
      </c>
      <c r="K280" s="2">
        <v>4.6791539192199707</v>
      </c>
      <c r="L280" s="2">
        <f>SUM(TimeEntries34444859[Time delta in h])</f>
        <v>30.773333333374467</v>
      </c>
      <c r="M280" s="16">
        <f>Tabelle736735454960[[#This Row],[EBS self time]]/Tabelle736735454960[[#This Row],[Total time]]</f>
        <v>0.15205222874394658</v>
      </c>
    </row>
    <row r="281" spans="1:13">
      <c r="I281" t="s">
        <v>169</v>
      </c>
      <c r="J281" s="15">
        <v>0.35</v>
      </c>
      <c r="K281" s="2">
        <v>4.6791539192199707</v>
      </c>
      <c r="L281" s="2">
        <f>SUM(TimeEntries34444859[Time delta in h])</f>
        <v>30.773333333374467</v>
      </c>
      <c r="M281" s="16">
        <f>Tabelle736735454960[[#This Row],[EBS self time]]/Tabelle736735454960[[#This Row],[Total time]]</f>
        <v>0.15205222874394658</v>
      </c>
    </row>
    <row r="282" spans="1:13">
      <c r="I282" t="s">
        <v>172</v>
      </c>
      <c r="J282" s="15">
        <v>0.5</v>
      </c>
      <c r="K282" s="2">
        <v>4.6791539192199707</v>
      </c>
      <c r="L282" s="2">
        <f>SUM(TimeEntries34444859[Time delta in h])</f>
        <v>30.773333333374467</v>
      </c>
      <c r="M282" s="16">
        <f>Tabelle736735454960[[#This Row],[EBS self time]]/Tabelle736735454960[[#This Row],[Total time]]</f>
        <v>0.15205222874394658</v>
      </c>
    </row>
    <row r="283" spans="1:13">
      <c r="I283" t="s">
        <v>187</v>
      </c>
      <c r="J283" s="15">
        <v>0.65</v>
      </c>
      <c r="K283" s="2">
        <v>4.6791539192199707</v>
      </c>
      <c r="L283" s="2">
        <f>SUM(TimeEntries34444859[Time delta in h])</f>
        <v>30.773333333374467</v>
      </c>
      <c r="M283" s="16">
        <f>Tabelle736735454960[[#This Row],[EBS self time]]/Tabelle736735454960[[#This Row],[Total time]]</f>
        <v>0.15205222874394658</v>
      </c>
    </row>
    <row r="284" spans="1:13">
      <c r="I284" t="s">
        <v>192</v>
      </c>
      <c r="J284" s="15">
        <v>0.8</v>
      </c>
      <c r="K284" s="2">
        <v>18.136255500852599</v>
      </c>
      <c r="L284" s="2">
        <f>SUM(TimeEntries34444859[Time delta in h])</f>
        <v>30.773333333374467</v>
      </c>
      <c r="M284" s="16">
        <f>Tabelle736735454960[[#This Row],[EBS self time]]/Tabelle736735454960[[#This Row],[Total time]]</f>
        <v>0.5893497238137464</v>
      </c>
    </row>
    <row r="285" spans="1:13">
      <c r="I285" t="s">
        <v>193</v>
      </c>
      <c r="J285" s="15">
        <v>0.95</v>
      </c>
      <c r="K285" s="2">
        <v>18.136255500852599</v>
      </c>
      <c r="L285" s="2">
        <f>SUM(TimeEntries34444859[Time delta in h])</f>
        <v>30.773333333374467</v>
      </c>
      <c r="M285" s="16">
        <f>Tabelle736735454960[[#This Row],[EBS self time]]/Tabelle736735454960[[#This Row],[Total time]]</f>
        <v>0.5893497238137464</v>
      </c>
    </row>
    <row r="287" spans="1:13">
      <c r="A287" t="s">
        <v>189</v>
      </c>
      <c r="B287" t="s">
        <v>216</v>
      </c>
      <c r="C287" t="s">
        <v>190</v>
      </c>
      <c r="D287">
        <v>18</v>
      </c>
      <c r="E287" t="s">
        <v>191</v>
      </c>
      <c r="F287">
        <v>13</v>
      </c>
    </row>
    <row r="288" spans="1:13">
      <c r="A288" s="4" t="s">
        <v>24</v>
      </c>
      <c r="I288" t="s">
        <v>135</v>
      </c>
      <c r="J288" t="s">
        <v>136</v>
      </c>
    </row>
    <row r="289" spans="1:13">
      <c r="A289" t="s">
        <v>3</v>
      </c>
      <c r="B289" t="s">
        <v>218</v>
      </c>
    </row>
    <row r="290" spans="1:13">
      <c r="A290" t="s">
        <v>77</v>
      </c>
      <c r="B290" s="2" t="s">
        <v>92</v>
      </c>
      <c r="C290" t="s">
        <v>4</v>
      </c>
    </row>
    <row r="291" spans="1:13">
      <c r="A291" t="s">
        <v>0</v>
      </c>
      <c r="B291" s="2">
        <f>SUM(TimeEntries5061[Time delta in h])</f>
        <v>8.0455555556109175</v>
      </c>
      <c r="C291" t="s">
        <v>4</v>
      </c>
    </row>
    <row r="292" spans="1:13">
      <c r="A292" t="s">
        <v>13</v>
      </c>
      <c r="B292" s="5" t="s">
        <v>92</v>
      </c>
    </row>
    <row r="293" spans="1:13">
      <c r="A293" t="s">
        <v>14</v>
      </c>
      <c r="B293" s="5" t="s">
        <v>18</v>
      </c>
    </row>
    <row r="294" spans="1:13">
      <c r="A294" t="s">
        <v>1</v>
      </c>
      <c r="B294" t="s">
        <v>91</v>
      </c>
    </row>
    <row r="295" spans="1:13">
      <c r="A295" t="s">
        <v>15</v>
      </c>
      <c r="B295" s="5" t="s">
        <v>92</v>
      </c>
    </row>
    <row r="296" spans="1:13">
      <c r="A296" t="s">
        <v>2</v>
      </c>
    </row>
    <row r="297" spans="1:13">
      <c r="A297" t="s">
        <v>46</v>
      </c>
      <c r="B297" t="s">
        <v>216</v>
      </c>
    </row>
    <row r="298" spans="1:13">
      <c r="A298" t="s">
        <v>5</v>
      </c>
      <c r="B298" s="2" t="e">
        <f>B290/SUM(TimeEntries5061[Time delta in h])</f>
        <v>#VALUE!</v>
      </c>
      <c r="C298" t="s">
        <v>6</v>
      </c>
    </row>
    <row r="299" spans="1:13">
      <c r="A299" t="s">
        <v>93</v>
      </c>
    </row>
    <row r="300" spans="1:13">
      <c r="A300" t="s">
        <v>94</v>
      </c>
    </row>
    <row r="301" spans="1:13">
      <c r="A301" t="s">
        <v>129</v>
      </c>
      <c r="B301" s="1">
        <v>44161.951851851853</v>
      </c>
    </row>
    <row r="303" spans="1:13">
      <c r="A303" t="s">
        <v>10</v>
      </c>
      <c r="B303" t="s">
        <v>7</v>
      </c>
      <c r="C303" t="s">
        <v>8</v>
      </c>
      <c r="D303" t="s">
        <v>9</v>
      </c>
      <c r="E303" t="s">
        <v>134</v>
      </c>
      <c r="F303" t="s">
        <v>84</v>
      </c>
      <c r="G303" t="s">
        <v>85</v>
      </c>
      <c r="I303" t="s">
        <v>70</v>
      </c>
      <c r="J303" s="15" t="s">
        <v>68</v>
      </c>
      <c r="K303" s="2" t="s">
        <v>69</v>
      </c>
      <c r="L303" t="s">
        <v>71</v>
      </c>
      <c r="M303" t="s">
        <v>72</v>
      </c>
    </row>
    <row r="304" spans="1:13">
      <c r="A304" t="s">
        <v>126</v>
      </c>
      <c r="B304" s="1">
        <v>44161.616620370369</v>
      </c>
      <c r="C304" s="1">
        <v>44161.951851851853</v>
      </c>
      <c r="D304" s="2">
        <f>MAX((TimeEntries5061[[#This Row],[End time]]-TimeEntries5061[[#This Row],[Start time]])*24,0)</f>
        <v>8.0455555556109175</v>
      </c>
      <c r="F304" s="54" t="s">
        <v>184</v>
      </c>
      <c r="G304" s="22" t="s">
        <v>185</v>
      </c>
      <c r="J304" s="15"/>
      <c r="K304" s="2"/>
      <c r="L304" s="2">
        <f>SUM(TimeEntries5061[Time delta in h])</f>
        <v>8.0455555556109175</v>
      </c>
      <c r="M304" s="16">
        <f>Tabelle73675162[[#This Row],[EBS self time]]/Tabelle73675162[[#This Row],[Total time]]</f>
        <v>0</v>
      </c>
    </row>
    <row r="305" spans="1:10">
      <c r="B305" s="1"/>
      <c r="C305" s="1"/>
      <c r="D305" s="2"/>
    </row>
    <row r="307" spans="1:10">
      <c r="A307" t="s">
        <v>189</v>
      </c>
      <c r="B307" t="s">
        <v>219</v>
      </c>
      <c r="C307" t="s">
        <v>190</v>
      </c>
      <c r="D307">
        <v>18</v>
      </c>
      <c r="E307" t="s">
        <v>191</v>
      </c>
      <c r="F307">
        <v>13</v>
      </c>
    </row>
    <row r="308" spans="1:10">
      <c r="A308" s="4" t="s">
        <v>24</v>
      </c>
      <c r="I308" t="s">
        <v>135</v>
      </c>
      <c r="J308" t="s">
        <v>136</v>
      </c>
    </row>
    <row r="309" spans="1:10">
      <c r="A309" t="s">
        <v>3</v>
      </c>
      <c r="B309" t="s">
        <v>221</v>
      </c>
    </row>
    <row r="310" spans="1:10">
      <c r="A310" t="s">
        <v>77</v>
      </c>
      <c r="B310" s="2" t="s">
        <v>92</v>
      </c>
      <c r="C310" t="s">
        <v>4</v>
      </c>
    </row>
    <row r="311" spans="1:10">
      <c r="A311" t="s">
        <v>0</v>
      </c>
      <c r="B311" s="2">
        <f>SUM(TimeEntries5263[Time delta in h])</f>
        <v>3.159444444521796</v>
      </c>
      <c r="C311" t="s">
        <v>4</v>
      </c>
    </row>
    <row r="312" spans="1:10">
      <c r="A312" t="s">
        <v>13</v>
      </c>
      <c r="B312" s="5" t="s">
        <v>92</v>
      </c>
    </row>
    <row r="313" spans="1:10">
      <c r="A313" t="s">
        <v>14</v>
      </c>
      <c r="B313" s="5" t="s">
        <v>18</v>
      </c>
    </row>
    <row r="314" spans="1:10">
      <c r="A314" t="s">
        <v>1</v>
      </c>
      <c r="B314" t="s">
        <v>131</v>
      </c>
    </row>
    <row r="315" spans="1:10">
      <c r="A315" t="s">
        <v>15</v>
      </c>
      <c r="B315" s="5">
        <v>44161.951851851853</v>
      </c>
    </row>
    <row r="316" spans="1:10">
      <c r="A316" t="s">
        <v>2</v>
      </c>
    </row>
    <row r="317" spans="1:10">
      <c r="A317" t="s">
        <v>46</v>
      </c>
      <c r="B317" t="s">
        <v>219</v>
      </c>
    </row>
    <row r="318" spans="1:10">
      <c r="A318" t="s">
        <v>5</v>
      </c>
      <c r="B318" s="2" t="e">
        <f>B310/SUM(TimeEntries5263[Time delta in h])</f>
        <v>#VALUE!</v>
      </c>
      <c r="C318" t="s">
        <v>6</v>
      </c>
    </row>
    <row r="319" spans="1:10">
      <c r="A319" t="s">
        <v>93</v>
      </c>
    </row>
    <row r="320" spans="1:10">
      <c r="A320" t="s">
        <v>94</v>
      </c>
    </row>
    <row r="321" spans="1:13">
      <c r="A321" t="s">
        <v>129</v>
      </c>
      <c r="B321" s="1">
        <v>44161.951851851853</v>
      </c>
    </row>
    <row r="323" spans="1:13">
      <c r="A323" t="s">
        <v>10</v>
      </c>
      <c r="B323" t="s">
        <v>7</v>
      </c>
      <c r="C323" t="s">
        <v>8</v>
      </c>
      <c r="D323" t="s">
        <v>9</v>
      </c>
      <c r="E323" t="s">
        <v>134</v>
      </c>
      <c r="F323" t="s">
        <v>84</v>
      </c>
      <c r="G323" t="s">
        <v>85</v>
      </c>
      <c r="I323" t="s">
        <v>70</v>
      </c>
      <c r="J323" s="15" t="s">
        <v>68</v>
      </c>
      <c r="K323" s="2" t="s">
        <v>69</v>
      </c>
      <c r="L323" t="s">
        <v>71</v>
      </c>
      <c r="M323" t="s">
        <v>72</v>
      </c>
    </row>
    <row r="324" spans="1:13">
      <c r="A324" t="s">
        <v>126</v>
      </c>
      <c r="B324" s="1">
        <v>44161.820208333331</v>
      </c>
      <c r="C324" s="1">
        <v>44161.951851851853</v>
      </c>
      <c r="D324" s="2">
        <f>MAX((TimeEntries5263[[#This Row],[End time]]-TimeEntries5263[[#This Row],[Start time]])*24,0)</f>
        <v>3.159444444521796</v>
      </c>
      <c r="F324" s="54" t="s">
        <v>184</v>
      </c>
      <c r="G324" s="22" t="s">
        <v>185</v>
      </c>
      <c r="J324" s="15"/>
      <c r="K324" s="2"/>
      <c r="L324" s="2">
        <f>SUM(TimeEntries5263[Time delta in h])</f>
        <v>3.159444444521796</v>
      </c>
      <c r="M324" s="16">
        <f>Tabelle73675364[[#This Row],[EBS self time]]/Tabelle73675364[[#This Row],[Total time]]</f>
        <v>0</v>
      </c>
    </row>
    <row r="325" spans="1:13">
      <c r="B325" s="1"/>
      <c r="C325" s="1"/>
      <c r="D325" s="2"/>
    </row>
    <row r="327" spans="1:13">
      <c r="A327" t="s">
        <v>189</v>
      </c>
      <c r="B327" t="s">
        <v>222</v>
      </c>
      <c r="C327" t="s">
        <v>190</v>
      </c>
      <c r="D327">
        <v>23</v>
      </c>
      <c r="E327" t="s">
        <v>191</v>
      </c>
      <c r="F327">
        <v>13</v>
      </c>
    </row>
    <row r="328" spans="1:13">
      <c r="A328" s="4" t="s">
        <v>24</v>
      </c>
      <c r="I328" t="s">
        <v>135</v>
      </c>
      <c r="J328" t="s">
        <v>136</v>
      </c>
    </row>
    <row r="329" spans="1:13">
      <c r="A329" t="s">
        <v>3</v>
      </c>
      <c r="B329" t="s">
        <v>224</v>
      </c>
    </row>
    <row r="330" spans="1:13">
      <c r="A330" t="s">
        <v>77</v>
      </c>
      <c r="B330" s="2">
        <v>10.501699447631836</v>
      </c>
      <c r="C330" t="s">
        <v>4</v>
      </c>
    </row>
    <row r="331" spans="1:13">
      <c r="A331" t="s">
        <v>0</v>
      </c>
      <c r="B331" s="2">
        <f>SUM(TimeEntries5465[Time delta in h])</f>
        <v>24.360277777828742</v>
      </c>
      <c r="C331" t="s">
        <v>4</v>
      </c>
    </row>
    <row r="332" spans="1:13">
      <c r="A332" t="s">
        <v>13</v>
      </c>
      <c r="B332" s="5" t="s">
        <v>92</v>
      </c>
    </row>
    <row r="333" spans="1:13">
      <c r="A333" t="s">
        <v>14</v>
      </c>
      <c r="B333" s="5" t="s">
        <v>18</v>
      </c>
    </row>
    <row r="334" spans="1:13">
      <c r="A334" t="s">
        <v>1</v>
      </c>
      <c r="B334" t="s">
        <v>91</v>
      </c>
    </row>
    <row r="335" spans="1:13">
      <c r="A335" t="s">
        <v>15</v>
      </c>
      <c r="B335" s="5" t="s">
        <v>92</v>
      </c>
    </row>
    <row r="336" spans="1:13">
      <c r="A336" t="s">
        <v>2</v>
      </c>
    </row>
    <row r="337" spans="1:13">
      <c r="A337" t="s">
        <v>46</v>
      </c>
      <c r="B337" t="s">
        <v>222</v>
      </c>
    </row>
    <row r="338" spans="1:13">
      <c r="A338" t="s">
        <v>5</v>
      </c>
      <c r="B338" s="2">
        <f>B330/SUM(TimeEntries5465[Time delta in h])</f>
        <v>0.43109933077979312</v>
      </c>
      <c r="C338" t="s">
        <v>6</v>
      </c>
    </row>
    <row r="339" spans="1:13">
      <c r="A339" t="s">
        <v>93</v>
      </c>
    </row>
    <row r="340" spans="1:13">
      <c r="A340" t="s">
        <v>94</v>
      </c>
    </row>
    <row r="341" spans="1:13">
      <c r="A341" t="s">
        <v>129</v>
      </c>
      <c r="B341" s="1">
        <v>44161.951851851853</v>
      </c>
    </row>
    <row r="343" spans="1:13">
      <c r="A343" t="s">
        <v>10</v>
      </c>
      <c r="B343" t="s">
        <v>7</v>
      </c>
      <c r="C343" t="s">
        <v>8</v>
      </c>
      <c r="D343" t="s">
        <v>9</v>
      </c>
      <c r="E343" t="s">
        <v>134</v>
      </c>
      <c r="F343" t="s">
        <v>84</v>
      </c>
      <c r="G343" t="s">
        <v>85</v>
      </c>
      <c r="I343" t="s">
        <v>70</v>
      </c>
      <c r="J343" s="15" t="s">
        <v>68</v>
      </c>
      <c r="K343" s="2" t="s">
        <v>69</v>
      </c>
      <c r="L343" t="s">
        <v>71</v>
      </c>
      <c r="M343" t="s">
        <v>72</v>
      </c>
    </row>
    <row r="344" spans="1:13">
      <c r="A344" t="s">
        <v>126</v>
      </c>
      <c r="B344" s="1">
        <v>44160.936851851853</v>
      </c>
      <c r="C344" s="1">
        <v>44161.951863425929</v>
      </c>
      <c r="D344" s="2">
        <f>MAX((TimeEntries5465[[#This Row],[End time]]-TimeEntries5465[[#This Row],[Start time]])*24,0)</f>
        <v>24.360277777828742</v>
      </c>
      <c r="F344" s="54" t="s">
        <v>184</v>
      </c>
      <c r="G344" s="22" t="s">
        <v>185</v>
      </c>
      <c r="I344" t="s">
        <v>126</v>
      </c>
      <c r="J344" s="15">
        <v>0.05</v>
      </c>
      <c r="K344" s="2">
        <v>5.250849723815918</v>
      </c>
      <c r="L344" s="2">
        <f>SUM(TimeEntries5465[Time delta in h])</f>
        <v>24.360277777828742</v>
      </c>
      <c r="M344" s="16">
        <f>Tabelle73675666[[#This Row],[EBS self time]]/Tabelle73675666[[#This Row],[Total time]]</f>
        <v>0.21554966538989656</v>
      </c>
    </row>
    <row r="345" spans="1:13">
      <c r="B345" s="1"/>
      <c r="C345" s="1"/>
      <c r="D345" s="2"/>
      <c r="I345" t="s">
        <v>127</v>
      </c>
      <c r="J345" s="15">
        <v>0.2</v>
      </c>
      <c r="K345" s="2">
        <v>5.250849723815918</v>
      </c>
      <c r="L345" s="2">
        <f>SUM(TimeEntries5465[Time delta in h])</f>
        <v>24.360277777828742</v>
      </c>
      <c r="M345" s="16">
        <f>Tabelle73675666[[#This Row],[EBS self time]]/Tabelle73675666[[#This Row],[Total time]]</f>
        <v>0.21554966538989656</v>
      </c>
    </row>
    <row r="346" spans="1:13">
      <c r="I346" t="s">
        <v>169</v>
      </c>
      <c r="J346" s="15">
        <v>0.35</v>
      </c>
      <c r="K346" s="2">
        <v>5.250849723815918</v>
      </c>
      <c r="L346" s="2">
        <f>SUM(TimeEntries5465[Time delta in h])</f>
        <v>24.360277777828742</v>
      </c>
      <c r="M346" s="16">
        <f>Tabelle73675666[[#This Row],[EBS self time]]/Tabelle73675666[[#This Row],[Total time]]</f>
        <v>0.21554966538989656</v>
      </c>
    </row>
    <row r="347" spans="1:13">
      <c r="I347" t="s">
        <v>172</v>
      </c>
      <c r="J347" s="15">
        <v>0.5</v>
      </c>
      <c r="K347" s="2">
        <v>5.250849723815918</v>
      </c>
      <c r="L347" s="2">
        <f>SUM(TimeEntries5465[Time delta in h])</f>
        <v>24.360277777828742</v>
      </c>
      <c r="M347" s="16">
        <f>Tabelle73675666[[#This Row],[EBS self time]]/Tabelle73675666[[#This Row],[Total time]]</f>
        <v>0.21554966538989656</v>
      </c>
    </row>
    <row r="348" spans="1:13">
      <c r="I348" t="s">
        <v>187</v>
      </c>
      <c r="J348" s="15">
        <v>0.65</v>
      </c>
      <c r="K348" s="2">
        <v>5.250849723815918</v>
      </c>
      <c r="L348" s="2">
        <f>SUM(TimeEntries5465[Time delta in h])</f>
        <v>24.360277777828742</v>
      </c>
      <c r="M348" s="16">
        <f>Tabelle73675666[[#This Row],[EBS self time]]/Tabelle73675666[[#This Row],[Total time]]</f>
        <v>0.21554966538989656</v>
      </c>
    </row>
    <row r="349" spans="1:13">
      <c r="I349" t="s">
        <v>192</v>
      </c>
      <c r="J349" s="15">
        <v>0.8</v>
      </c>
      <c r="K349" s="2">
        <v>20.352130712464799</v>
      </c>
      <c r="L349" s="2">
        <f>SUM(TimeEntries5465[Time delta in h])</f>
        <v>24.360277777828742</v>
      </c>
      <c r="M349" s="16">
        <f>Tabelle73675666[[#This Row],[EBS self time]]/Tabelle73675666[[#This Row],[Total time]]</f>
        <v>0.83546381934068437</v>
      </c>
    </row>
    <row r="350" spans="1:13">
      <c r="I350" t="s">
        <v>193</v>
      </c>
      <c r="J350" s="15">
        <v>0.95</v>
      </c>
      <c r="K350" s="2">
        <v>20.352130712464799</v>
      </c>
      <c r="L350" s="2">
        <f>SUM(TimeEntries5465[Time delta in h])</f>
        <v>24.360277777828742</v>
      </c>
      <c r="M350" s="16">
        <f>Tabelle73675666[[#This Row],[EBS self time]]/Tabelle73675666[[#This Row],[Total time]]</f>
        <v>0.83546381934068437</v>
      </c>
    </row>
    <row r="352" spans="1:13">
      <c r="A352" t="s">
        <v>189</v>
      </c>
      <c r="B352" t="s">
        <v>225</v>
      </c>
      <c r="C352" t="s">
        <v>190</v>
      </c>
      <c r="D352">
        <v>18</v>
      </c>
      <c r="E352" t="s">
        <v>191</v>
      </c>
      <c r="F352">
        <v>13</v>
      </c>
    </row>
    <row r="353" spans="1:13">
      <c r="A353" s="4" t="s">
        <v>24</v>
      </c>
      <c r="I353" t="s">
        <v>135</v>
      </c>
      <c r="J353" t="s">
        <v>136</v>
      </c>
    </row>
    <row r="354" spans="1:13">
      <c r="A354" t="s">
        <v>3</v>
      </c>
      <c r="B354" t="s">
        <v>227</v>
      </c>
    </row>
    <row r="355" spans="1:13">
      <c r="A355" t="s">
        <v>77</v>
      </c>
      <c r="B355" s="2" t="s">
        <v>92</v>
      </c>
      <c r="C355" t="s">
        <v>4</v>
      </c>
    </row>
    <row r="356" spans="1:13">
      <c r="A356" t="s">
        <v>0</v>
      </c>
      <c r="B356" s="2">
        <f>SUM(TimeEntries57687282[Time delta in h])</f>
        <v>0.7011111110332422</v>
      </c>
      <c r="C356" t="s">
        <v>4</v>
      </c>
    </row>
    <row r="357" spans="1:13">
      <c r="A357" t="s">
        <v>13</v>
      </c>
      <c r="B357" s="5" t="s">
        <v>92</v>
      </c>
    </row>
    <row r="358" spans="1:13">
      <c r="A358" t="s">
        <v>14</v>
      </c>
      <c r="B358" s="5" t="s">
        <v>18</v>
      </c>
    </row>
    <row r="359" spans="1:13">
      <c r="A359" t="s">
        <v>1</v>
      </c>
      <c r="B359" t="s">
        <v>91</v>
      </c>
    </row>
    <row r="360" spans="1:13">
      <c r="A360" t="s">
        <v>15</v>
      </c>
      <c r="B360" s="5" t="s">
        <v>92</v>
      </c>
    </row>
    <row r="361" spans="1:13">
      <c r="A361" t="s">
        <v>2</v>
      </c>
    </row>
    <row r="362" spans="1:13">
      <c r="A362" t="s">
        <v>46</v>
      </c>
      <c r="B362" t="s">
        <v>225</v>
      </c>
    </row>
    <row r="363" spans="1:13">
      <c r="A363" t="s">
        <v>5</v>
      </c>
      <c r="B363" s="2" t="e">
        <f>B355/SUM(TimeEntries57687282[Time delta in h])</f>
        <v>#VALUE!</v>
      </c>
      <c r="C363" t="s">
        <v>6</v>
      </c>
    </row>
    <row r="364" spans="1:13">
      <c r="A364" t="s">
        <v>93</v>
      </c>
    </row>
    <row r="365" spans="1:13">
      <c r="A365" t="s">
        <v>94</v>
      </c>
    </row>
    <row r="366" spans="1:13">
      <c r="A366" t="s">
        <v>129</v>
      </c>
      <c r="B366" s="1">
        <v>44161.951863425929</v>
      </c>
    </row>
    <row r="368" spans="1:13">
      <c r="A368" t="s">
        <v>10</v>
      </c>
      <c r="B368" t="s">
        <v>7</v>
      </c>
      <c r="C368" t="s">
        <v>8</v>
      </c>
      <c r="D368" t="s">
        <v>9</v>
      </c>
      <c r="E368" t="s">
        <v>134</v>
      </c>
      <c r="F368" t="s">
        <v>84</v>
      </c>
      <c r="G368" t="s">
        <v>85</v>
      </c>
      <c r="I368" t="s">
        <v>70</v>
      </c>
      <c r="J368" s="15" t="s">
        <v>68</v>
      </c>
      <c r="K368" s="2" t="s">
        <v>69</v>
      </c>
      <c r="L368" t="s">
        <v>71</v>
      </c>
      <c r="M368" t="s">
        <v>72</v>
      </c>
    </row>
    <row r="369" spans="1:13">
      <c r="A369" t="s">
        <v>126</v>
      </c>
      <c r="B369" s="1">
        <v>44161.922662037039</v>
      </c>
      <c r="C369" s="1">
        <v>44161.951874999999</v>
      </c>
      <c r="D369" s="2">
        <f>MAX((TimeEntries57687282[[#This Row],[End time]]-TimeEntries57687282[[#This Row],[Start time]])*24,0)</f>
        <v>0.7011111110332422</v>
      </c>
      <c r="F369" s="54" t="s">
        <v>184</v>
      </c>
      <c r="G369" s="22" t="s">
        <v>185</v>
      </c>
      <c r="J369" s="15"/>
      <c r="K369" s="2"/>
      <c r="L369" s="2">
        <f>SUM(TimeEntries57687282[Time delta in h])</f>
        <v>0.7011111110332422</v>
      </c>
      <c r="M369" s="16">
        <f>Tabelle736758697383[[#This Row],[EBS self time]]/Tabelle736758697383[[#This Row],[Total time]]</f>
        <v>0</v>
      </c>
    </row>
    <row r="370" spans="1:13">
      <c r="B370" s="1"/>
      <c r="C370" s="1"/>
      <c r="D370" s="2"/>
    </row>
    <row r="372" spans="1:13">
      <c r="A372" t="s">
        <v>189</v>
      </c>
      <c r="B372" t="s">
        <v>228</v>
      </c>
      <c r="C372" t="s">
        <v>190</v>
      </c>
      <c r="D372">
        <v>23</v>
      </c>
      <c r="E372" t="s">
        <v>191</v>
      </c>
      <c r="F372">
        <v>13</v>
      </c>
    </row>
    <row r="373" spans="1:13">
      <c r="A373" s="4" t="s">
        <v>24</v>
      </c>
      <c r="I373" t="s">
        <v>135</v>
      </c>
      <c r="J373" t="s">
        <v>136</v>
      </c>
    </row>
    <row r="374" spans="1:13">
      <c r="A374" t="s">
        <v>3</v>
      </c>
      <c r="B374" t="s">
        <v>230</v>
      </c>
    </row>
    <row r="375" spans="1:13">
      <c r="A375" t="s">
        <v>77</v>
      </c>
      <c r="B375" s="2">
        <v>7.966303825378418</v>
      </c>
      <c r="C375" t="s">
        <v>4</v>
      </c>
    </row>
    <row r="376" spans="1:13">
      <c r="A376" t="s">
        <v>0</v>
      </c>
      <c r="B376" s="2">
        <f>SUM(TimeEntries7484[Time delta in h])</f>
        <v>21.363611111068167</v>
      </c>
      <c r="C376" t="s">
        <v>4</v>
      </c>
    </row>
    <row r="377" spans="1:13">
      <c r="A377" t="s">
        <v>13</v>
      </c>
      <c r="B377" s="5" t="s">
        <v>92</v>
      </c>
    </row>
    <row r="378" spans="1:13">
      <c r="A378" t="s">
        <v>14</v>
      </c>
      <c r="B378" s="5" t="s">
        <v>18</v>
      </c>
    </row>
    <row r="379" spans="1:13">
      <c r="A379" t="s">
        <v>1</v>
      </c>
      <c r="B379" t="s">
        <v>131</v>
      </c>
    </row>
    <row r="380" spans="1:13">
      <c r="A380" t="s">
        <v>15</v>
      </c>
      <c r="B380" s="5">
        <v>44161.951874999999</v>
      </c>
    </row>
    <row r="381" spans="1:13">
      <c r="A381" t="s">
        <v>2</v>
      </c>
    </row>
    <row r="382" spans="1:13">
      <c r="A382" t="s">
        <v>46</v>
      </c>
      <c r="B382" t="s">
        <v>228</v>
      </c>
    </row>
    <row r="383" spans="1:13">
      <c r="A383" t="s">
        <v>5</v>
      </c>
      <c r="B383" s="2">
        <f>B375/SUM(TimeEntries7484[Time delta in h])</f>
        <v>0.37289125812869695</v>
      </c>
      <c r="C383" t="s">
        <v>6</v>
      </c>
    </row>
    <row r="384" spans="1:13">
      <c r="A384" t="s">
        <v>93</v>
      </c>
    </row>
    <row r="385" spans="1:13">
      <c r="A385" t="s">
        <v>94</v>
      </c>
    </row>
    <row r="386" spans="1:13">
      <c r="A386" t="s">
        <v>129</v>
      </c>
      <c r="B386" s="1">
        <v>44161.951874999999</v>
      </c>
    </row>
    <row r="388" spans="1:13">
      <c r="A388" t="s">
        <v>10</v>
      </c>
      <c r="B388" t="s">
        <v>7</v>
      </c>
      <c r="C388" t="s">
        <v>8</v>
      </c>
      <c r="D388" t="s">
        <v>9</v>
      </c>
      <c r="E388" t="s">
        <v>134</v>
      </c>
      <c r="F388" t="s">
        <v>84</v>
      </c>
      <c r="G388" t="s">
        <v>85</v>
      </c>
      <c r="I388" t="s">
        <v>70</v>
      </c>
      <c r="J388" s="15" t="s">
        <v>68</v>
      </c>
      <c r="K388" s="2" t="s">
        <v>69</v>
      </c>
      <c r="L388" t="s">
        <v>71</v>
      </c>
      <c r="M388" t="s">
        <v>72</v>
      </c>
    </row>
    <row r="389" spans="1:13">
      <c r="A389" t="s">
        <v>126</v>
      </c>
      <c r="B389" s="1">
        <v>44161.061724537038</v>
      </c>
      <c r="C389" s="1">
        <v>44161.951874999999</v>
      </c>
      <c r="D389" s="2">
        <f>MAX((TimeEntries7484[[#This Row],[End time]]-TimeEntries7484[[#This Row],[Start time]])*24,0)</f>
        <v>21.363611111068167</v>
      </c>
      <c r="F389" s="54" t="s">
        <v>184</v>
      </c>
      <c r="G389" s="22" t="s">
        <v>185</v>
      </c>
      <c r="I389" t="s">
        <v>126</v>
      </c>
      <c r="J389" s="15">
        <v>0.05</v>
      </c>
      <c r="K389" s="2">
        <v>3.983151912689209</v>
      </c>
      <c r="L389" s="2">
        <f>SUM(TimeEntries7484[Time delta in h])</f>
        <v>21.363611111068167</v>
      </c>
      <c r="M389" s="16">
        <f>Tabelle73677585[[#This Row],[EBS self time]]/Tabelle73677585[[#This Row],[Total time]]</f>
        <v>0.18644562906434847</v>
      </c>
    </row>
    <row r="390" spans="1:13">
      <c r="B390" s="1"/>
      <c r="C390" s="1"/>
      <c r="D390" s="2"/>
      <c r="I390" t="s">
        <v>127</v>
      </c>
      <c r="J390" s="15">
        <v>0.2</v>
      </c>
      <c r="K390" s="2">
        <v>3.983151912689209</v>
      </c>
      <c r="L390" s="2">
        <f>SUM(TimeEntries7484[Time delta in h])</f>
        <v>21.363611111068167</v>
      </c>
      <c r="M390" s="16">
        <f>Tabelle73677585[[#This Row],[EBS self time]]/Tabelle73677585[[#This Row],[Total time]]</f>
        <v>0.18644562906434847</v>
      </c>
    </row>
    <row r="391" spans="1:13">
      <c r="I391" t="s">
        <v>169</v>
      </c>
      <c r="J391" s="15">
        <v>0.35</v>
      </c>
      <c r="K391" s="2">
        <v>3.983151912689209</v>
      </c>
      <c r="L391" s="2">
        <f>SUM(TimeEntries7484[Time delta in h])</f>
        <v>21.363611111068167</v>
      </c>
      <c r="M391" s="16">
        <f>Tabelle73677585[[#This Row],[EBS self time]]/Tabelle73677585[[#This Row],[Total time]]</f>
        <v>0.18644562906434847</v>
      </c>
    </row>
    <row r="392" spans="1:13">
      <c r="I392" t="s">
        <v>172</v>
      </c>
      <c r="J392" s="15">
        <v>0.5</v>
      </c>
      <c r="K392" s="2">
        <v>3.983151912689209</v>
      </c>
      <c r="L392" s="2">
        <f>SUM(TimeEntries7484[Time delta in h])</f>
        <v>21.363611111068167</v>
      </c>
      <c r="M392" s="16">
        <f>Tabelle73677585[[#This Row],[EBS self time]]/Tabelle73677585[[#This Row],[Total time]]</f>
        <v>0.18644562906434847</v>
      </c>
    </row>
    <row r="393" spans="1:13">
      <c r="I393" t="s">
        <v>187</v>
      </c>
      <c r="J393" s="15">
        <v>0.65</v>
      </c>
      <c r="K393" s="2">
        <v>8.8517060044199969</v>
      </c>
      <c r="L393" s="2">
        <f>SUM(TimeEntries7484[Time delta in h])</f>
        <v>21.363611111068167</v>
      </c>
      <c r="M393" s="16">
        <f>Tabelle73677585[[#This Row],[EBS self time]]/Tabelle73677585[[#This Row],[Total time]]</f>
        <v>0.41433566443428005</v>
      </c>
    </row>
    <row r="394" spans="1:13">
      <c r="I394" t="s">
        <v>192</v>
      </c>
      <c r="J394" s="15">
        <v>0.8</v>
      </c>
      <c r="K394" s="2">
        <v>15.438573304996934</v>
      </c>
      <c r="L394" s="2">
        <f>SUM(TimeEntries7484[Time delta in h])</f>
        <v>21.363611111068167</v>
      </c>
      <c r="M394" s="16">
        <f>Tabelle73677585[[#This Row],[EBS self time]]/Tabelle73677585[[#This Row],[Total time]]</f>
        <v>0.72265747699359872</v>
      </c>
    </row>
    <row r="395" spans="1:13">
      <c r="I395" t="s">
        <v>193</v>
      </c>
      <c r="J395" s="15">
        <v>0.95</v>
      </c>
      <c r="K395" s="2">
        <v>15.438573304996934</v>
      </c>
      <c r="L395" s="2">
        <f>SUM(TimeEntries7484[Time delta in h])</f>
        <v>21.363611111068167</v>
      </c>
      <c r="M395" s="16">
        <f>Tabelle73677585[[#This Row],[EBS self time]]/Tabelle73677585[[#This Row],[Total time]]</f>
        <v>0.72265747699359872</v>
      </c>
    </row>
    <row r="397" spans="1:13">
      <c r="A397" t="s">
        <v>189</v>
      </c>
      <c r="B397" t="s">
        <v>231</v>
      </c>
      <c r="C397" t="s">
        <v>190</v>
      </c>
      <c r="D397">
        <v>23</v>
      </c>
      <c r="E397" t="s">
        <v>191</v>
      </c>
      <c r="F397">
        <v>13</v>
      </c>
    </row>
    <row r="398" spans="1:13">
      <c r="A398" s="4" t="s">
        <v>24</v>
      </c>
      <c r="I398" t="s">
        <v>135</v>
      </c>
      <c r="J398" t="s">
        <v>136</v>
      </c>
    </row>
    <row r="399" spans="1:13">
      <c r="A399" t="s">
        <v>3</v>
      </c>
      <c r="B399" t="s">
        <v>233</v>
      </c>
    </row>
    <row r="400" spans="1:13">
      <c r="A400" t="s">
        <v>77</v>
      </c>
      <c r="B400" s="2">
        <v>6.7841949462890625</v>
      </c>
      <c r="C400" t="s">
        <v>4</v>
      </c>
    </row>
    <row r="401" spans="1:13">
      <c r="A401" t="s">
        <v>0</v>
      </c>
      <c r="B401" s="2">
        <f>SUM(TimeEntries7686[Time delta in h])</f>
        <v>16.278611111221835</v>
      </c>
      <c r="C401" t="s">
        <v>4</v>
      </c>
    </row>
    <row r="402" spans="1:13">
      <c r="A402" t="s">
        <v>13</v>
      </c>
      <c r="B402" s="5" t="s">
        <v>92</v>
      </c>
    </row>
    <row r="403" spans="1:13">
      <c r="A403" t="s">
        <v>14</v>
      </c>
      <c r="B403" s="5" t="s">
        <v>18</v>
      </c>
    </row>
    <row r="404" spans="1:13">
      <c r="A404" t="s">
        <v>1</v>
      </c>
      <c r="B404" t="s">
        <v>91</v>
      </c>
    </row>
    <row r="405" spans="1:13">
      <c r="A405" t="s">
        <v>15</v>
      </c>
      <c r="B405" s="5" t="s">
        <v>92</v>
      </c>
    </row>
    <row r="406" spans="1:13">
      <c r="A406" t="s">
        <v>2</v>
      </c>
    </row>
    <row r="407" spans="1:13">
      <c r="A407" t="s">
        <v>46</v>
      </c>
      <c r="B407" t="s">
        <v>231</v>
      </c>
    </row>
    <row r="408" spans="1:13">
      <c r="A408" t="s">
        <v>5</v>
      </c>
      <c r="B408" s="2">
        <f>B400/SUM(TimeEntries7686[Time delta in h])</f>
        <v>0.41675514575148892</v>
      </c>
      <c r="C408" t="s">
        <v>6</v>
      </c>
    </row>
    <row r="409" spans="1:13">
      <c r="A409" t="s">
        <v>93</v>
      </c>
    </row>
    <row r="410" spans="1:13">
      <c r="A410" t="s">
        <v>94</v>
      </c>
    </row>
    <row r="411" spans="1:13">
      <c r="A411" t="s">
        <v>129</v>
      </c>
      <c r="B411" s="1">
        <v>44161.951886574076</v>
      </c>
    </row>
    <row r="413" spans="1:13">
      <c r="A413" t="s">
        <v>10</v>
      </c>
      <c r="B413" t="s">
        <v>7</v>
      </c>
      <c r="C413" t="s">
        <v>8</v>
      </c>
      <c r="D413" t="s">
        <v>9</v>
      </c>
      <c r="E413" t="s">
        <v>134</v>
      </c>
      <c r="F413" t="s">
        <v>84</v>
      </c>
      <c r="G413" t="s">
        <v>85</v>
      </c>
      <c r="I413" t="s">
        <v>70</v>
      </c>
      <c r="J413" s="15" t="s">
        <v>68</v>
      </c>
      <c r="K413" s="2" t="s">
        <v>69</v>
      </c>
      <c r="L413" t="s">
        <v>71</v>
      </c>
      <c r="M413" t="s">
        <v>72</v>
      </c>
    </row>
    <row r="414" spans="1:13">
      <c r="A414" t="s">
        <v>126</v>
      </c>
      <c r="B414" s="1">
        <v>44161.273611111108</v>
      </c>
      <c r="C414" s="1">
        <v>44161.951886574076</v>
      </c>
      <c r="D414" s="2">
        <f>MAX((TimeEntries7686[[#This Row],[End time]]-TimeEntries7686[[#This Row],[Start time]])*24,0)</f>
        <v>16.278611111221835</v>
      </c>
      <c r="F414" s="54" t="s">
        <v>184</v>
      </c>
      <c r="G414" s="22" t="s">
        <v>185</v>
      </c>
      <c r="I414" t="s">
        <v>126</v>
      </c>
      <c r="J414" s="15">
        <v>0.05</v>
      </c>
      <c r="K414" s="2">
        <v>3.3920974731445313</v>
      </c>
      <c r="L414" s="2">
        <f>SUM(TimeEntries7686[Time delta in h])</f>
        <v>16.278611111221835</v>
      </c>
      <c r="M414" s="16">
        <f>Tabelle73677787[[#This Row],[EBS self time]]/Tabelle73677787[[#This Row],[Total time]]</f>
        <v>0.20837757287574446</v>
      </c>
    </row>
    <row r="415" spans="1:13">
      <c r="B415" s="1"/>
      <c r="C415" s="1"/>
      <c r="D415" s="2"/>
      <c r="I415" t="s">
        <v>127</v>
      </c>
      <c r="J415" s="15">
        <v>0.2</v>
      </c>
      <c r="K415" s="2">
        <v>3.3920974731445313</v>
      </c>
      <c r="L415" s="2">
        <f>SUM(TimeEntries7686[Time delta in h])</f>
        <v>16.278611111221835</v>
      </c>
      <c r="M415" s="16">
        <f>Tabelle73677787[[#This Row],[EBS self time]]/Tabelle73677787[[#This Row],[Total time]]</f>
        <v>0.20837757287574446</v>
      </c>
    </row>
    <row r="416" spans="1:13">
      <c r="I416" t="s">
        <v>169</v>
      </c>
      <c r="J416" s="15">
        <v>0.35</v>
      </c>
      <c r="K416" s="2">
        <v>3.3920974731445313</v>
      </c>
      <c r="L416" s="2">
        <f>SUM(TimeEntries7686[Time delta in h])</f>
        <v>16.278611111221835</v>
      </c>
      <c r="M416" s="16">
        <f>Tabelle73677787[[#This Row],[EBS self time]]/Tabelle73677787[[#This Row],[Total time]]</f>
        <v>0.20837757287574446</v>
      </c>
    </row>
    <row r="417" spans="1:13">
      <c r="I417" t="s">
        <v>172</v>
      </c>
      <c r="J417" s="15">
        <v>0.5</v>
      </c>
      <c r="K417" s="2">
        <v>3.3920974731445313</v>
      </c>
      <c r="L417" s="2">
        <f>SUM(TimeEntries7686[Time delta in h])</f>
        <v>16.278611111221835</v>
      </c>
      <c r="M417" s="16">
        <f>Tabelle73677787[[#This Row],[EBS self time]]/Tabelle73677787[[#This Row],[Total time]]</f>
        <v>0.20837757287574446</v>
      </c>
    </row>
    <row r="418" spans="1:13">
      <c r="I418" t="s">
        <v>187</v>
      </c>
      <c r="J418" s="15">
        <v>0.65</v>
      </c>
      <c r="K418" s="2">
        <v>13.147664624591206</v>
      </c>
      <c r="L418" s="2">
        <f>SUM(TimeEntries7686[Time delta in h])</f>
        <v>16.278611111221835</v>
      </c>
      <c r="M418" s="16">
        <f>Tabelle73677787[[#This Row],[EBS self time]]/Tabelle73677787[[#This Row],[Total time]]</f>
        <v>0.8076650111462963</v>
      </c>
    </row>
    <row r="419" spans="1:13">
      <c r="I419" t="s">
        <v>192</v>
      </c>
      <c r="J419" s="15">
        <v>0.8</v>
      </c>
      <c r="K419" s="2">
        <v>13.147664624591206</v>
      </c>
      <c r="L419" s="2">
        <f>SUM(TimeEntries7686[Time delta in h])</f>
        <v>16.278611111221835</v>
      </c>
      <c r="M419" s="16">
        <f>Tabelle73677787[[#This Row],[EBS self time]]/Tabelle73677787[[#This Row],[Total time]]</f>
        <v>0.8076650111462963</v>
      </c>
    </row>
    <row r="420" spans="1:13">
      <c r="I420" t="s">
        <v>193</v>
      </c>
      <c r="J420" s="15">
        <v>0.95</v>
      </c>
      <c r="K420" s="2">
        <v>13.147664624591206</v>
      </c>
      <c r="L420" s="2">
        <f>SUM(TimeEntries7686[Time delta in h])</f>
        <v>16.278611111221835</v>
      </c>
      <c r="M420" s="16">
        <f>Tabelle73677787[[#This Row],[EBS self time]]/Tabelle73677787[[#This Row],[Total time]]</f>
        <v>0.8076650111462963</v>
      </c>
    </row>
    <row r="422" spans="1:13">
      <c r="A422" t="s">
        <v>189</v>
      </c>
      <c r="B422" t="s">
        <v>234</v>
      </c>
      <c r="C422" t="s">
        <v>190</v>
      </c>
      <c r="D422">
        <v>23</v>
      </c>
      <c r="E422" t="s">
        <v>191</v>
      </c>
      <c r="F422">
        <v>13</v>
      </c>
    </row>
    <row r="423" spans="1:13">
      <c r="A423" s="4" t="s">
        <v>24</v>
      </c>
      <c r="I423" t="s">
        <v>135</v>
      </c>
      <c r="J423" t="s">
        <v>136</v>
      </c>
    </row>
    <row r="424" spans="1:13">
      <c r="A424" t="s">
        <v>3</v>
      </c>
      <c r="B424" t="s">
        <v>236</v>
      </c>
    </row>
    <row r="425" spans="1:13">
      <c r="A425" t="s">
        <v>77</v>
      </c>
      <c r="B425" s="2">
        <v>14.314553260803223</v>
      </c>
      <c r="C425" t="s">
        <v>4</v>
      </c>
    </row>
    <row r="426" spans="1:13">
      <c r="A426" t="s">
        <v>0</v>
      </c>
      <c r="B426" s="2">
        <f>SUM(TimeEntries7888[Time delta in h])</f>
        <v>2.6766666666953824</v>
      </c>
      <c r="C426" t="s">
        <v>4</v>
      </c>
    </row>
    <row r="427" spans="1:13">
      <c r="A427" t="s">
        <v>13</v>
      </c>
      <c r="B427" s="5" t="s">
        <v>92</v>
      </c>
    </row>
    <row r="428" spans="1:13">
      <c r="A428" t="s">
        <v>14</v>
      </c>
      <c r="B428" s="5" t="s">
        <v>18</v>
      </c>
    </row>
    <row r="429" spans="1:13">
      <c r="A429" t="s">
        <v>1</v>
      </c>
      <c r="B429" t="s">
        <v>91</v>
      </c>
    </row>
    <row r="430" spans="1:13">
      <c r="A430" t="s">
        <v>15</v>
      </c>
      <c r="B430" s="5" t="s">
        <v>92</v>
      </c>
    </row>
    <row r="431" spans="1:13">
      <c r="A431" t="s">
        <v>2</v>
      </c>
    </row>
    <row r="432" spans="1:13">
      <c r="A432" t="s">
        <v>46</v>
      </c>
      <c r="B432" t="s">
        <v>234</v>
      </c>
    </row>
    <row r="433" spans="1:13">
      <c r="A433" t="s">
        <v>5</v>
      </c>
      <c r="B433" s="2">
        <f>B425/SUM(TimeEntries7888[Time delta in h])</f>
        <v>5.3479028371044786</v>
      </c>
      <c r="C433" t="s">
        <v>6</v>
      </c>
    </row>
    <row r="434" spans="1:13">
      <c r="A434" t="s">
        <v>93</v>
      </c>
    </row>
    <row r="435" spans="1:13">
      <c r="A435" t="s">
        <v>94</v>
      </c>
    </row>
    <row r="436" spans="1:13">
      <c r="A436" t="s">
        <v>129</v>
      </c>
      <c r="B436" s="1">
        <v>44161.951886574076</v>
      </c>
    </row>
    <row r="438" spans="1:13">
      <c r="A438" t="s">
        <v>10</v>
      </c>
      <c r="B438" t="s">
        <v>7</v>
      </c>
      <c r="C438" t="s">
        <v>8</v>
      </c>
      <c r="D438" t="s">
        <v>9</v>
      </c>
      <c r="E438" t="s">
        <v>134</v>
      </c>
      <c r="F438" t="s">
        <v>84</v>
      </c>
      <c r="G438" t="s">
        <v>85</v>
      </c>
      <c r="I438" t="s">
        <v>70</v>
      </c>
      <c r="J438" s="15" t="s">
        <v>68</v>
      </c>
      <c r="K438" s="2" t="s">
        <v>69</v>
      </c>
      <c r="L438" t="s">
        <v>71</v>
      </c>
      <c r="M438" t="s">
        <v>72</v>
      </c>
    </row>
    <row r="439" spans="1:13">
      <c r="A439" t="s">
        <v>126</v>
      </c>
      <c r="B439" s="1">
        <v>44161.840358796297</v>
      </c>
      <c r="C439" s="1">
        <v>44161.951886574076</v>
      </c>
      <c r="D439" s="2">
        <f>MAX((TimeEntries7888[[#This Row],[End time]]-TimeEntries7888[[#This Row],[Start time]])*24,0)</f>
        <v>2.6766666666953824</v>
      </c>
      <c r="F439" s="54" t="s">
        <v>184</v>
      </c>
      <c r="G439" s="22" t="s">
        <v>185</v>
      </c>
      <c r="I439" t="s">
        <v>126</v>
      </c>
      <c r="J439" s="15">
        <v>0.05</v>
      </c>
      <c r="K439" s="2">
        <v>7.1572766304016113</v>
      </c>
      <c r="L439" s="2">
        <f>SUM(TimeEntries7888[Time delta in h])</f>
        <v>2.6766666666953824</v>
      </c>
      <c r="M439" s="16">
        <f>Tabelle73677989[[#This Row],[EBS self time]]/Tabelle73677989[[#This Row],[Total time]]</f>
        <v>2.6739514185522393</v>
      </c>
    </row>
    <row r="440" spans="1:13">
      <c r="B440" s="1"/>
      <c r="C440" s="1"/>
      <c r="D440" s="2"/>
      <c r="I440" t="s">
        <v>127</v>
      </c>
      <c r="J440" s="15">
        <v>0.2</v>
      </c>
      <c r="K440" s="2">
        <v>7.1572766304016113</v>
      </c>
      <c r="L440" s="2">
        <f>SUM(TimeEntries7888[Time delta in h])</f>
        <v>2.6766666666953824</v>
      </c>
      <c r="M440" s="16">
        <f>Tabelle73677989[[#This Row],[EBS self time]]/Tabelle73677989[[#This Row],[Total time]]</f>
        <v>2.6739514185522393</v>
      </c>
    </row>
    <row r="441" spans="1:13">
      <c r="I441" t="s">
        <v>169</v>
      </c>
      <c r="J441" s="15">
        <v>0.35</v>
      </c>
      <c r="K441" s="2">
        <v>7.1572766304016113</v>
      </c>
      <c r="L441" s="2">
        <f>SUM(TimeEntries7888[Time delta in h])</f>
        <v>2.6766666666953824</v>
      </c>
      <c r="M441" s="16">
        <f>Tabelle73677989[[#This Row],[EBS self time]]/Tabelle73677989[[#This Row],[Total time]]</f>
        <v>2.6739514185522393</v>
      </c>
    </row>
    <row r="442" spans="1:13">
      <c r="I442" t="s">
        <v>172</v>
      </c>
      <c r="J442" s="15">
        <v>0.5</v>
      </c>
      <c r="K442" s="2">
        <v>7.1572766304016113</v>
      </c>
      <c r="L442" s="2">
        <f>SUM(TimeEntries7888[Time delta in h])</f>
        <v>2.6766666666953824</v>
      </c>
      <c r="M442" s="16">
        <f>Tabelle73677989[[#This Row],[EBS self time]]/Tabelle73677989[[#This Row],[Total time]]</f>
        <v>2.6739514185522393</v>
      </c>
    </row>
    <row r="443" spans="1:13">
      <c r="I443" t="s">
        <v>187</v>
      </c>
      <c r="J443" s="15">
        <v>0.65</v>
      </c>
      <c r="K443" s="2">
        <v>15.905521535041727</v>
      </c>
      <c r="L443" s="2">
        <f>SUM(TimeEntries7888[Time delta in h])</f>
        <v>2.6766666666953824</v>
      </c>
      <c r="M443" s="16">
        <f>Tabelle73677989[[#This Row],[EBS self time]]/Tabelle73677989[[#This Row],[Total time]]</f>
        <v>5.9422869993291743</v>
      </c>
    </row>
    <row r="444" spans="1:13">
      <c r="I444" t="s">
        <v>192</v>
      </c>
      <c r="J444" s="15">
        <v>0.8</v>
      </c>
      <c r="K444" s="2">
        <v>27.741382288378336</v>
      </c>
      <c r="L444" s="2">
        <f>SUM(TimeEntries7888[Time delta in h])</f>
        <v>2.6766666666953824</v>
      </c>
      <c r="M444" s="16">
        <f>Tabelle73677989[[#This Row],[EBS self time]]/Tabelle73677989[[#This Row],[Total time]]</f>
        <v>10.364152785086198</v>
      </c>
    </row>
    <row r="445" spans="1:13">
      <c r="I445" t="s">
        <v>193</v>
      </c>
      <c r="J445" s="15">
        <v>0.95</v>
      </c>
      <c r="K445" s="2">
        <v>27.741382288378336</v>
      </c>
      <c r="L445" s="2">
        <f>SUM(TimeEntries7888[Time delta in h])</f>
        <v>2.6766666666953824</v>
      </c>
      <c r="M445" s="16">
        <f>Tabelle73677989[[#This Row],[EBS self time]]/Tabelle73677989[[#This Row],[Total time]]</f>
        <v>10.364152785086198</v>
      </c>
    </row>
    <row r="447" spans="1:13">
      <c r="A447" t="s">
        <v>189</v>
      </c>
      <c r="B447" t="s">
        <v>237</v>
      </c>
      <c r="C447" t="s">
        <v>190</v>
      </c>
      <c r="D447">
        <v>18</v>
      </c>
      <c r="E447" t="s">
        <v>191</v>
      </c>
      <c r="F447">
        <v>13</v>
      </c>
    </row>
    <row r="448" spans="1:13">
      <c r="A448" s="4" t="s">
        <v>24</v>
      </c>
      <c r="I448" t="s">
        <v>135</v>
      </c>
      <c r="J448" t="s">
        <v>136</v>
      </c>
    </row>
    <row r="449" spans="1:13">
      <c r="A449" t="s">
        <v>3</v>
      </c>
      <c r="B449" t="s">
        <v>239</v>
      </c>
    </row>
    <row r="450" spans="1:13">
      <c r="A450" t="s">
        <v>77</v>
      </c>
      <c r="B450" s="2" t="s">
        <v>92</v>
      </c>
      <c r="C450" t="s">
        <v>4</v>
      </c>
    </row>
    <row r="451" spans="1:13">
      <c r="A451" t="s">
        <v>0</v>
      </c>
      <c r="B451" s="2">
        <f>SUM(TimeEntries809094104[Time delta in h])</f>
        <v>4.1997222222271375</v>
      </c>
      <c r="C451" t="s">
        <v>4</v>
      </c>
    </row>
    <row r="452" spans="1:13">
      <c r="A452" t="s">
        <v>13</v>
      </c>
      <c r="B452" s="5" t="s">
        <v>92</v>
      </c>
    </row>
    <row r="453" spans="1:13">
      <c r="A453" t="s">
        <v>14</v>
      </c>
      <c r="B453" s="5" t="s">
        <v>18</v>
      </c>
    </row>
    <row r="454" spans="1:13">
      <c r="A454" t="s">
        <v>1</v>
      </c>
      <c r="B454" t="s">
        <v>131</v>
      </c>
    </row>
    <row r="455" spans="1:13">
      <c r="A455" t="s">
        <v>15</v>
      </c>
      <c r="B455" s="5">
        <v>44161.951909722222</v>
      </c>
    </row>
    <row r="456" spans="1:13">
      <c r="A456" t="s">
        <v>2</v>
      </c>
    </row>
    <row r="457" spans="1:13">
      <c r="A457" t="s">
        <v>46</v>
      </c>
      <c r="B457" t="s">
        <v>237</v>
      </c>
    </row>
    <row r="458" spans="1:13">
      <c r="A458" t="s">
        <v>5</v>
      </c>
      <c r="B458" s="2" t="e">
        <f>B450/SUM(TimeEntries809094104[Time delta in h])</f>
        <v>#VALUE!</v>
      </c>
      <c r="C458" t="s">
        <v>6</v>
      </c>
    </row>
    <row r="459" spans="1:13">
      <c r="A459" t="s">
        <v>93</v>
      </c>
    </row>
    <row r="460" spans="1:13">
      <c r="A460" t="s">
        <v>94</v>
      </c>
    </row>
    <row r="461" spans="1:13">
      <c r="A461" t="s">
        <v>129</v>
      </c>
      <c r="B461" s="1">
        <v>44161.951886574076</v>
      </c>
    </row>
    <row r="463" spans="1:13">
      <c r="A463" t="s">
        <v>10</v>
      </c>
      <c r="B463" t="s">
        <v>7</v>
      </c>
      <c r="C463" t="s">
        <v>8</v>
      </c>
      <c r="D463" t="s">
        <v>9</v>
      </c>
      <c r="E463" t="s">
        <v>134</v>
      </c>
      <c r="F463" t="s">
        <v>84</v>
      </c>
      <c r="G463" t="s">
        <v>85</v>
      </c>
      <c r="I463" t="s">
        <v>70</v>
      </c>
      <c r="J463" s="15" t="s">
        <v>68</v>
      </c>
      <c r="K463" s="2" t="s">
        <v>69</v>
      </c>
      <c r="L463" t="s">
        <v>71</v>
      </c>
      <c r="M463" t="s">
        <v>72</v>
      </c>
    </row>
    <row r="464" spans="1:13">
      <c r="A464" t="s">
        <v>126</v>
      </c>
      <c r="B464" s="1">
        <v>44161.776921296296</v>
      </c>
      <c r="C464" s="1">
        <v>44161.951909722222</v>
      </c>
      <c r="D464" s="2">
        <f>MAX((TimeEntries809094104[[#This Row],[End time]]-TimeEntries809094104[[#This Row],[Start time]])*24,0)</f>
        <v>4.1997222222271375</v>
      </c>
      <c r="F464" s="54" t="s">
        <v>184</v>
      </c>
      <c r="G464" s="22" t="s">
        <v>185</v>
      </c>
      <c r="J464" s="15"/>
      <c r="K464" s="2"/>
      <c r="L464" s="2">
        <f>SUM(TimeEntries809094104[Time delta in h])</f>
        <v>4.1997222222271375</v>
      </c>
      <c r="M464" s="16">
        <f>Tabelle7367819195105[[#This Row],[EBS self time]]/Tabelle7367819195105[[#This Row],[Total time]]</f>
        <v>0</v>
      </c>
    </row>
    <row r="465" spans="1:10">
      <c r="B465" s="1"/>
      <c r="C465" s="1"/>
      <c r="D465" s="2"/>
    </row>
    <row r="467" spans="1:10">
      <c r="A467" t="s">
        <v>189</v>
      </c>
      <c r="B467" t="s">
        <v>240</v>
      </c>
      <c r="C467" t="s">
        <v>190</v>
      </c>
      <c r="D467">
        <v>23</v>
      </c>
      <c r="E467" t="s">
        <v>191</v>
      </c>
      <c r="F467">
        <v>13</v>
      </c>
    </row>
    <row r="468" spans="1:10">
      <c r="A468" s="4" t="s">
        <v>24</v>
      </c>
      <c r="I468" t="s">
        <v>135</v>
      </c>
      <c r="J468" t="s">
        <v>136</v>
      </c>
    </row>
    <row r="469" spans="1:10">
      <c r="A469" t="s">
        <v>3</v>
      </c>
      <c r="B469" t="s">
        <v>242</v>
      </c>
    </row>
    <row r="470" spans="1:10">
      <c r="A470" t="s">
        <v>77</v>
      </c>
      <c r="B470" s="2">
        <v>2.9405460357666016</v>
      </c>
      <c r="C470" t="s">
        <v>4</v>
      </c>
    </row>
    <row r="471" spans="1:10">
      <c r="A471" t="s">
        <v>0</v>
      </c>
      <c r="B471" s="2">
        <f>SUM(TimeEntries96106[Time delta in h])</f>
        <v>3.1100000000442378</v>
      </c>
      <c r="C471" t="s">
        <v>4</v>
      </c>
    </row>
    <row r="472" spans="1:10">
      <c r="A472" t="s">
        <v>13</v>
      </c>
      <c r="B472" s="5" t="s">
        <v>92</v>
      </c>
    </row>
    <row r="473" spans="1:10">
      <c r="A473" t="s">
        <v>14</v>
      </c>
      <c r="B473" s="5" t="s">
        <v>18</v>
      </c>
    </row>
    <row r="474" spans="1:10">
      <c r="A474" t="s">
        <v>1</v>
      </c>
      <c r="B474" t="s">
        <v>91</v>
      </c>
    </row>
    <row r="475" spans="1:10">
      <c r="A475" t="s">
        <v>15</v>
      </c>
      <c r="B475" s="5" t="s">
        <v>92</v>
      </c>
    </row>
    <row r="476" spans="1:10">
      <c r="A476" t="s">
        <v>2</v>
      </c>
    </row>
    <row r="477" spans="1:10">
      <c r="A477" t="s">
        <v>46</v>
      </c>
      <c r="B477" t="s">
        <v>240</v>
      </c>
    </row>
    <row r="478" spans="1:10">
      <c r="A478" t="s">
        <v>5</v>
      </c>
      <c r="B478" s="2">
        <f>B470/SUM(TimeEntries96106[Time delta in h])</f>
        <v>0.9455131947668084</v>
      </c>
      <c r="C478" t="s">
        <v>6</v>
      </c>
    </row>
    <row r="479" spans="1:10">
      <c r="A479" t="s">
        <v>93</v>
      </c>
    </row>
    <row r="480" spans="1:10">
      <c r="A480" t="s">
        <v>94</v>
      </c>
    </row>
    <row r="481" spans="1:13">
      <c r="A481" t="s">
        <v>129</v>
      </c>
      <c r="B481" s="1">
        <v>44161.951909722222</v>
      </c>
    </row>
    <row r="483" spans="1:13">
      <c r="A483" t="s">
        <v>10</v>
      </c>
      <c r="B483" t="s">
        <v>7</v>
      </c>
      <c r="C483" t="s">
        <v>8</v>
      </c>
      <c r="D483" t="s">
        <v>9</v>
      </c>
      <c r="E483" t="s">
        <v>134</v>
      </c>
      <c r="F483" t="s">
        <v>84</v>
      </c>
      <c r="G483" t="s">
        <v>85</v>
      </c>
      <c r="I483" t="s">
        <v>70</v>
      </c>
      <c r="J483" s="15" t="s">
        <v>68</v>
      </c>
      <c r="K483" s="2" t="s">
        <v>69</v>
      </c>
      <c r="L483" t="s">
        <v>71</v>
      </c>
      <c r="M483" t="s">
        <v>72</v>
      </c>
    </row>
    <row r="484" spans="1:13">
      <c r="A484" t="s">
        <v>126</v>
      </c>
      <c r="B484" s="1">
        <v>44161.822326388887</v>
      </c>
      <c r="C484" s="1">
        <v>44161.951909722222</v>
      </c>
      <c r="D484" s="2">
        <f>MAX((TimeEntries96106[[#This Row],[End time]]-TimeEntries96106[[#This Row],[Start time]])*24,0)</f>
        <v>3.1100000000442378</v>
      </c>
      <c r="F484" s="54" t="s">
        <v>184</v>
      </c>
      <c r="G484" s="22" t="s">
        <v>185</v>
      </c>
      <c r="I484" t="s">
        <v>126</v>
      </c>
      <c r="J484" s="15">
        <v>0.05</v>
      </c>
      <c r="K484" s="2">
        <v>1.4702730178833008</v>
      </c>
      <c r="L484" s="2">
        <f>SUM(TimeEntries96106[Time delta in h])</f>
        <v>3.1100000000442378</v>
      </c>
      <c r="M484" s="16">
        <f>Tabelle736797107[[#This Row],[EBS self time]]/Tabelle736797107[[#This Row],[Total time]]</f>
        <v>0.4727565973834042</v>
      </c>
    </row>
    <row r="485" spans="1:13">
      <c r="B485" s="1"/>
      <c r="C485" s="1"/>
      <c r="D485" s="2"/>
      <c r="I485" t="s">
        <v>127</v>
      </c>
      <c r="J485" s="15">
        <v>0.2</v>
      </c>
      <c r="K485" s="2">
        <v>1.4702730178833008</v>
      </c>
      <c r="L485" s="2">
        <f>SUM(TimeEntries96106[Time delta in h])</f>
        <v>3.1100000000442378</v>
      </c>
      <c r="M485" s="16">
        <f>Tabelle736797107[[#This Row],[EBS self time]]/Tabelle736797107[[#This Row],[Total time]]</f>
        <v>0.4727565973834042</v>
      </c>
    </row>
    <row r="486" spans="1:13">
      <c r="I486" t="s">
        <v>169</v>
      </c>
      <c r="J486" s="15">
        <v>0.35</v>
      </c>
      <c r="K486" s="2">
        <v>1.4702730178833008</v>
      </c>
      <c r="L486" s="2">
        <f>SUM(TimeEntries96106[Time delta in h])</f>
        <v>3.1100000000442378</v>
      </c>
      <c r="M486" s="16">
        <f>Tabelle736797107[[#This Row],[EBS self time]]/Tabelle736797107[[#This Row],[Total time]]</f>
        <v>0.4727565973834042</v>
      </c>
    </row>
    <row r="487" spans="1:13">
      <c r="I487" t="s">
        <v>172</v>
      </c>
      <c r="J487" s="15">
        <v>0.5</v>
      </c>
      <c r="K487" s="2">
        <v>1.4702730178833008</v>
      </c>
      <c r="L487" s="2">
        <f>SUM(TimeEntries96106[Time delta in h])</f>
        <v>3.1100000000442378</v>
      </c>
      <c r="M487" s="16">
        <f>Tabelle736797107[[#This Row],[EBS self time]]/Tabelle736797107[[#This Row],[Total time]]</f>
        <v>0.4727565973834042</v>
      </c>
    </row>
    <row r="488" spans="1:13">
      <c r="I488" t="s">
        <v>187</v>
      </c>
      <c r="J488" s="15">
        <v>0.65</v>
      </c>
      <c r="K488" s="2">
        <v>1.4702730178833008</v>
      </c>
      <c r="L488" s="2">
        <f>SUM(TimeEntries96106[Time delta in h])</f>
        <v>3.1100000000442378</v>
      </c>
      <c r="M488" s="16">
        <f>Tabelle736797107[[#This Row],[EBS self time]]/Tabelle736797107[[#This Row],[Total time]]</f>
        <v>0.4727565973834042</v>
      </c>
    </row>
    <row r="489" spans="1:13">
      <c r="I489" t="s">
        <v>192</v>
      </c>
      <c r="J489" s="15">
        <v>0.8</v>
      </c>
      <c r="K489" s="2">
        <v>5.6987326274546541</v>
      </c>
      <c r="L489" s="2">
        <f>SUM(TimeEntries96106[Time delta in h])</f>
        <v>3.1100000000442378</v>
      </c>
      <c r="M489" s="16">
        <f>Tabelle736797107[[#This Row],[EBS self time]]/Tabelle736797107[[#This Row],[Total time]]</f>
        <v>1.8323899123387759</v>
      </c>
    </row>
    <row r="490" spans="1:13">
      <c r="I490" t="s">
        <v>193</v>
      </c>
      <c r="J490" s="15">
        <v>0.95</v>
      </c>
      <c r="K490" s="2">
        <v>5.6987326274546541</v>
      </c>
      <c r="L490" s="2">
        <f>SUM(TimeEntries96106[Time delta in h])</f>
        <v>3.1100000000442378</v>
      </c>
      <c r="M490" s="16">
        <f>Tabelle736797107[[#This Row],[EBS self time]]/Tabelle736797107[[#This Row],[Total time]]</f>
        <v>1.8323899123387759</v>
      </c>
    </row>
    <row r="492" spans="1:13">
      <c r="A492" t="s">
        <v>189</v>
      </c>
      <c r="B492" t="s">
        <v>243</v>
      </c>
      <c r="C492" t="s">
        <v>190</v>
      </c>
      <c r="D492">
        <v>23</v>
      </c>
      <c r="E492" t="s">
        <v>191</v>
      </c>
      <c r="F492">
        <v>13</v>
      </c>
    </row>
    <row r="493" spans="1:13">
      <c r="A493" s="4" t="s">
        <v>24</v>
      </c>
      <c r="I493" t="s">
        <v>135</v>
      </c>
      <c r="J493" t="s">
        <v>136</v>
      </c>
    </row>
    <row r="494" spans="1:13">
      <c r="A494" t="s">
        <v>3</v>
      </c>
      <c r="B494" t="s">
        <v>245</v>
      </c>
    </row>
    <row r="495" spans="1:13">
      <c r="A495" t="s">
        <v>77</v>
      </c>
      <c r="B495" s="2">
        <v>11.930018424987793</v>
      </c>
      <c r="C495" t="s">
        <v>4</v>
      </c>
    </row>
    <row r="496" spans="1:13">
      <c r="A496" t="s">
        <v>0</v>
      </c>
      <c r="B496" s="2">
        <f>SUM(TimeEntries98108[Time delta in h])</f>
        <v>10.268888888997026</v>
      </c>
      <c r="C496" t="s">
        <v>4</v>
      </c>
    </row>
    <row r="497" spans="1:13">
      <c r="A497" t="s">
        <v>13</v>
      </c>
      <c r="B497" s="5" t="s">
        <v>92</v>
      </c>
    </row>
    <row r="498" spans="1:13">
      <c r="A498" t="s">
        <v>14</v>
      </c>
      <c r="B498" s="5" t="s">
        <v>18</v>
      </c>
    </row>
    <row r="499" spans="1:13">
      <c r="A499" t="s">
        <v>1</v>
      </c>
      <c r="B499" t="s">
        <v>91</v>
      </c>
    </row>
    <row r="500" spans="1:13">
      <c r="A500" t="s">
        <v>15</v>
      </c>
      <c r="B500" s="5" t="s">
        <v>92</v>
      </c>
    </row>
    <row r="501" spans="1:13">
      <c r="A501" t="s">
        <v>2</v>
      </c>
    </row>
    <row r="502" spans="1:13">
      <c r="A502" t="s">
        <v>46</v>
      </c>
      <c r="B502" t="s">
        <v>243</v>
      </c>
    </row>
    <row r="503" spans="1:13">
      <c r="A503" t="s">
        <v>5</v>
      </c>
      <c r="B503" s="2">
        <f>B495/SUM(TimeEntries98108[Time delta in h])</f>
        <v>1.161763317720834</v>
      </c>
      <c r="C503" t="s">
        <v>6</v>
      </c>
    </row>
    <row r="504" spans="1:13">
      <c r="A504" t="s">
        <v>93</v>
      </c>
    </row>
    <row r="505" spans="1:13">
      <c r="A505" t="s">
        <v>94</v>
      </c>
    </row>
    <row r="506" spans="1:13">
      <c r="A506" t="s">
        <v>129</v>
      </c>
      <c r="B506" s="1">
        <v>44161.951909722222</v>
      </c>
    </row>
    <row r="508" spans="1:13">
      <c r="A508" t="s">
        <v>10</v>
      </c>
      <c r="B508" t="s">
        <v>7</v>
      </c>
      <c r="C508" t="s">
        <v>8</v>
      </c>
      <c r="D508" t="s">
        <v>9</v>
      </c>
      <c r="E508" t="s">
        <v>134</v>
      </c>
      <c r="F508" t="s">
        <v>84</v>
      </c>
      <c r="G508" t="s">
        <v>85</v>
      </c>
      <c r="I508" t="s">
        <v>70</v>
      </c>
      <c r="J508" s="15" t="s">
        <v>68</v>
      </c>
      <c r="K508" s="2" t="s">
        <v>69</v>
      </c>
      <c r="L508" t="s">
        <v>71</v>
      </c>
      <c r="M508" t="s">
        <v>72</v>
      </c>
    </row>
    <row r="509" spans="1:13">
      <c r="A509" t="s">
        <v>126</v>
      </c>
      <c r="B509" s="1">
        <v>44161.524050925924</v>
      </c>
      <c r="C509" s="1">
        <v>44161.951921296299</v>
      </c>
      <c r="D509" s="2">
        <f>MAX((TimeEntries98108[[#This Row],[End time]]-TimeEntries98108[[#This Row],[Start time]])*24,0)</f>
        <v>10.268888888997026</v>
      </c>
      <c r="F509" s="54" t="s">
        <v>184</v>
      </c>
      <c r="G509" s="22" t="s">
        <v>185</v>
      </c>
      <c r="I509" t="s">
        <v>126</v>
      </c>
      <c r="J509" s="15">
        <v>0.05</v>
      </c>
      <c r="K509" s="2">
        <v>5.9650092124938965</v>
      </c>
      <c r="L509" s="2">
        <f>SUM(TimeEntries98108[Time delta in h])</f>
        <v>10.268888888997026</v>
      </c>
      <c r="M509" s="16">
        <f>Tabelle736799109[[#This Row],[EBS self time]]/Tabelle736799109[[#This Row],[Total time]]</f>
        <v>0.58088165886041698</v>
      </c>
    </row>
    <row r="510" spans="1:13">
      <c r="B510" s="1"/>
      <c r="C510" s="1"/>
      <c r="D510" s="2"/>
      <c r="I510" t="s">
        <v>127</v>
      </c>
      <c r="J510" s="15">
        <v>0.2</v>
      </c>
      <c r="K510" s="2">
        <v>5.9650092124938965</v>
      </c>
      <c r="L510" s="2">
        <f>SUM(TimeEntries98108[Time delta in h])</f>
        <v>10.268888888997026</v>
      </c>
      <c r="M510" s="16">
        <f>Tabelle736799109[[#This Row],[EBS self time]]/Tabelle736799109[[#This Row],[Total time]]</f>
        <v>0.58088165886041698</v>
      </c>
    </row>
    <row r="511" spans="1:13">
      <c r="I511" t="s">
        <v>169</v>
      </c>
      <c r="J511" s="15">
        <v>0.35</v>
      </c>
      <c r="K511" s="2">
        <v>5.9650092124938965</v>
      </c>
      <c r="L511" s="2">
        <f>SUM(TimeEntries98108[Time delta in h])</f>
        <v>10.268888888997026</v>
      </c>
      <c r="M511" s="16">
        <f>Tabelle736799109[[#This Row],[EBS self time]]/Tabelle736799109[[#This Row],[Total time]]</f>
        <v>0.58088165886041698</v>
      </c>
    </row>
    <row r="512" spans="1:13">
      <c r="I512" t="s">
        <v>172</v>
      </c>
      <c r="J512" s="15">
        <v>0.5</v>
      </c>
      <c r="K512" s="2">
        <v>5.9650092124938965</v>
      </c>
      <c r="L512" s="2">
        <f>SUM(TimeEntries98108[Time delta in h])</f>
        <v>10.268888888997026</v>
      </c>
      <c r="M512" s="16">
        <f>Tabelle736799109[[#This Row],[EBS self time]]/Tabelle736799109[[#This Row],[Total time]]</f>
        <v>0.58088165886041698</v>
      </c>
    </row>
    <row r="513" spans="1:13">
      <c r="I513" t="s">
        <v>187</v>
      </c>
      <c r="J513" s="15">
        <v>0.65</v>
      </c>
      <c r="K513" s="2">
        <v>23.120190746100374</v>
      </c>
      <c r="L513" s="2">
        <f>SUM(TimeEntries98108[Time delta in h])</f>
        <v>10.268888888997026</v>
      </c>
      <c r="M513" s="16">
        <f>Tabelle736799109[[#This Row],[EBS self time]]/Tabelle736799109[[#This Row],[Total time]]</f>
        <v>2.2514792979085927</v>
      </c>
    </row>
    <row r="514" spans="1:13">
      <c r="I514" t="s">
        <v>192</v>
      </c>
      <c r="J514" s="15">
        <v>0.8</v>
      </c>
      <c r="K514" s="2">
        <v>23.120190746100374</v>
      </c>
      <c r="L514" s="2">
        <f>SUM(TimeEntries98108[Time delta in h])</f>
        <v>10.268888888997026</v>
      </c>
      <c r="M514" s="16">
        <f>Tabelle736799109[[#This Row],[EBS self time]]/Tabelle736799109[[#This Row],[Total time]]</f>
        <v>2.2514792979085927</v>
      </c>
    </row>
    <row r="515" spans="1:13">
      <c r="I515" t="s">
        <v>193</v>
      </c>
      <c r="J515" s="15">
        <v>0.95</v>
      </c>
      <c r="K515" s="2">
        <v>23.120190746100374</v>
      </c>
      <c r="L515" s="2">
        <f>SUM(TimeEntries98108[Time delta in h])</f>
        <v>10.268888888997026</v>
      </c>
      <c r="M515" s="16">
        <f>Tabelle736799109[[#This Row],[EBS self time]]/Tabelle736799109[[#This Row],[Total time]]</f>
        <v>2.2514792979085927</v>
      </c>
    </row>
    <row r="517" spans="1:13">
      <c r="A517" t="s">
        <v>189</v>
      </c>
      <c r="B517" t="s">
        <v>246</v>
      </c>
      <c r="C517" t="s">
        <v>190</v>
      </c>
      <c r="D517">
        <v>23</v>
      </c>
      <c r="E517" t="s">
        <v>191</v>
      </c>
      <c r="F517">
        <v>13</v>
      </c>
    </row>
    <row r="518" spans="1:13">
      <c r="A518" s="4" t="s">
        <v>24</v>
      </c>
      <c r="I518" t="s">
        <v>135</v>
      </c>
      <c r="J518" t="s">
        <v>136</v>
      </c>
    </row>
    <row r="519" spans="1:13">
      <c r="A519" t="s">
        <v>3</v>
      </c>
      <c r="B519" t="s">
        <v>248</v>
      </c>
    </row>
    <row r="520" spans="1:13">
      <c r="A520" t="s">
        <v>77</v>
      </c>
      <c r="B520" s="2">
        <v>6.1813812255859375</v>
      </c>
      <c r="C520" t="s">
        <v>4</v>
      </c>
    </row>
    <row r="521" spans="1:13">
      <c r="A521" t="s">
        <v>0</v>
      </c>
      <c r="B521" s="2">
        <f>SUM(TimeEntries100110[Time delta in h])</f>
        <v>4.3330555556458421</v>
      </c>
      <c r="C521" t="s">
        <v>4</v>
      </c>
    </row>
    <row r="522" spans="1:13">
      <c r="A522" t="s">
        <v>13</v>
      </c>
      <c r="B522" s="5" t="s">
        <v>92</v>
      </c>
    </row>
    <row r="523" spans="1:13">
      <c r="A523" t="s">
        <v>14</v>
      </c>
      <c r="B523" s="5" t="s">
        <v>18</v>
      </c>
    </row>
    <row r="524" spans="1:13">
      <c r="A524" t="s">
        <v>1</v>
      </c>
      <c r="B524" t="s">
        <v>91</v>
      </c>
    </row>
    <row r="525" spans="1:13">
      <c r="A525" t="s">
        <v>15</v>
      </c>
      <c r="B525" s="5" t="s">
        <v>92</v>
      </c>
    </row>
    <row r="526" spans="1:13">
      <c r="A526" t="s">
        <v>2</v>
      </c>
    </row>
    <row r="527" spans="1:13">
      <c r="A527" t="s">
        <v>46</v>
      </c>
      <c r="B527" t="s">
        <v>246</v>
      </c>
    </row>
    <row r="528" spans="1:13">
      <c r="A528" t="s">
        <v>5</v>
      </c>
      <c r="B528" s="2">
        <f>B520/SUM(TimeEntries100110[Time delta in h])</f>
        <v>1.4265640369027308</v>
      </c>
      <c r="C528" t="s">
        <v>6</v>
      </c>
    </row>
    <row r="529" spans="1:13">
      <c r="A529" t="s">
        <v>93</v>
      </c>
    </row>
    <row r="530" spans="1:13">
      <c r="A530" t="s">
        <v>94</v>
      </c>
    </row>
    <row r="531" spans="1:13">
      <c r="A531" t="s">
        <v>129</v>
      </c>
      <c r="B531" s="1">
        <v>44161.951921296299</v>
      </c>
    </row>
    <row r="533" spans="1:13">
      <c r="A533" t="s">
        <v>10</v>
      </c>
      <c r="B533" t="s">
        <v>7</v>
      </c>
      <c r="C533" t="s">
        <v>8</v>
      </c>
      <c r="D533" t="s">
        <v>9</v>
      </c>
      <c r="E533" t="s">
        <v>134</v>
      </c>
      <c r="F533" t="s">
        <v>84</v>
      </c>
      <c r="G533" t="s">
        <v>85</v>
      </c>
      <c r="I533" t="s">
        <v>70</v>
      </c>
      <c r="J533" s="15" t="s">
        <v>68</v>
      </c>
      <c r="K533" s="2" t="s">
        <v>69</v>
      </c>
      <c r="L533" t="s">
        <v>71</v>
      </c>
      <c r="M533" t="s">
        <v>72</v>
      </c>
    </row>
    <row r="534" spans="1:13">
      <c r="A534" t="s">
        <v>126</v>
      </c>
      <c r="B534" s="1">
        <v>44161.771377314813</v>
      </c>
      <c r="C534" s="1">
        <v>44161.951921296299</v>
      </c>
      <c r="D534" s="2">
        <f>MAX((TimeEntries100110[[#This Row],[End time]]-TimeEntries100110[[#This Row],[Start time]])*24,0)</f>
        <v>4.3330555556458421</v>
      </c>
      <c r="F534" s="54" t="s">
        <v>184</v>
      </c>
      <c r="G534" s="22" t="s">
        <v>185</v>
      </c>
      <c r="I534" t="s">
        <v>126</v>
      </c>
      <c r="J534" s="15">
        <v>0.05</v>
      </c>
      <c r="K534" s="2">
        <v>3.0906906127929688</v>
      </c>
      <c r="L534" s="2">
        <f>SUM(TimeEntries100110[Time delta in h])</f>
        <v>4.3330555556458421</v>
      </c>
      <c r="M534" s="16">
        <f>Tabelle7367101111[[#This Row],[EBS self time]]/Tabelle7367101111[[#This Row],[Total time]]</f>
        <v>0.71328201845136541</v>
      </c>
    </row>
    <row r="535" spans="1:13">
      <c r="B535" s="1"/>
      <c r="C535" s="1"/>
      <c r="D535" s="2"/>
      <c r="I535" t="s">
        <v>127</v>
      </c>
      <c r="J535" s="15">
        <v>0.2</v>
      </c>
      <c r="K535" s="2">
        <v>3.0906906127929688</v>
      </c>
      <c r="L535" s="2">
        <f>SUM(TimeEntries100110[Time delta in h])</f>
        <v>4.3330555556458421</v>
      </c>
      <c r="M535" s="16">
        <f>Tabelle7367101111[[#This Row],[EBS self time]]/Tabelle7367101111[[#This Row],[Total time]]</f>
        <v>0.71328201845136541</v>
      </c>
    </row>
    <row r="536" spans="1:13">
      <c r="I536" t="s">
        <v>169</v>
      </c>
      <c r="J536" s="15">
        <v>0.35</v>
      </c>
      <c r="K536" s="2">
        <v>3.0906906127929688</v>
      </c>
      <c r="L536" s="2">
        <f>SUM(TimeEntries100110[Time delta in h])</f>
        <v>4.3330555556458421</v>
      </c>
      <c r="M536" s="16">
        <f>Tabelle7367101111[[#This Row],[EBS self time]]/Tabelle7367101111[[#This Row],[Total time]]</f>
        <v>0.71328201845136541</v>
      </c>
    </row>
    <row r="537" spans="1:13">
      <c r="I537" t="s">
        <v>172</v>
      </c>
      <c r="J537" s="15">
        <v>0.5</v>
      </c>
      <c r="K537" s="2">
        <v>3.0906906127929688</v>
      </c>
      <c r="L537" s="2">
        <f>SUM(TimeEntries100110[Time delta in h])</f>
        <v>4.3330555556458421</v>
      </c>
      <c r="M537" s="16">
        <f>Tabelle7367101111[[#This Row],[EBS self time]]/Tabelle7367101111[[#This Row],[Total time]]</f>
        <v>0.71328201845136541</v>
      </c>
    </row>
    <row r="538" spans="1:13">
      <c r="I538" t="s">
        <v>187</v>
      </c>
      <c r="J538" s="15">
        <v>0.65</v>
      </c>
      <c r="K538" s="2">
        <v>3.0906906127929688</v>
      </c>
      <c r="L538" s="2">
        <f>SUM(TimeEntries100110[Time delta in h])</f>
        <v>4.3330555556458421</v>
      </c>
      <c r="M538" s="16">
        <f>Tabelle7367101111[[#This Row],[EBS self time]]/Tabelle7367101111[[#This Row],[Total time]]</f>
        <v>0.71328201845136541</v>
      </c>
    </row>
    <row r="539" spans="1:13">
      <c r="I539" t="s">
        <v>192</v>
      </c>
      <c r="J539" s="15">
        <v>0.8</v>
      </c>
      <c r="K539" s="2">
        <v>11.979420979817707</v>
      </c>
      <c r="L539" s="2">
        <f>SUM(TimeEntries100110[Time delta in h])</f>
        <v>4.3330555556458421</v>
      </c>
      <c r="M539" s="16">
        <f>Tabelle7367101111[[#This Row],[EBS self time]]/Tabelle7367101111[[#This Row],[Total time]]</f>
        <v>2.7646589862456019</v>
      </c>
    </row>
    <row r="540" spans="1:13">
      <c r="I540" t="s">
        <v>193</v>
      </c>
      <c r="J540" s="15">
        <v>0.95</v>
      </c>
      <c r="K540" s="2">
        <v>11.979420979817707</v>
      </c>
      <c r="L540" s="2">
        <f>SUM(TimeEntries100110[Time delta in h])</f>
        <v>4.3330555556458421</v>
      </c>
      <c r="M540" s="16">
        <f>Tabelle7367101111[[#This Row],[EBS self time]]/Tabelle7367101111[[#This Row],[Total time]]</f>
        <v>2.7646589862456019</v>
      </c>
    </row>
    <row r="542" spans="1:13">
      <c r="A542" t="s">
        <v>189</v>
      </c>
      <c r="B542" t="s">
        <v>249</v>
      </c>
      <c r="C542" t="s">
        <v>190</v>
      </c>
      <c r="D542">
        <v>23</v>
      </c>
      <c r="E542" t="s">
        <v>191</v>
      </c>
      <c r="F542">
        <v>13</v>
      </c>
    </row>
    <row r="543" spans="1:13">
      <c r="A543" s="4" t="s">
        <v>24</v>
      </c>
      <c r="I543" t="s">
        <v>135</v>
      </c>
      <c r="J543" t="s">
        <v>136</v>
      </c>
    </row>
    <row r="544" spans="1:13">
      <c r="A544" t="s">
        <v>3</v>
      </c>
      <c r="B544" t="s">
        <v>251</v>
      </c>
    </row>
    <row r="545" spans="1:13">
      <c r="A545" t="s">
        <v>77</v>
      </c>
      <c r="B545" s="2">
        <v>4.1767053604125977</v>
      </c>
      <c r="C545" t="s">
        <v>4</v>
      </c>
    </row>
    <row r="546" spans="1:13">
      <c r="A546" t="s">
        <v>0</v>
      </c>
      <c r="B546" s="2">
        <f>SUM(TimeEntries102112116126[Time delta in h])</f>
        <v>28.191111111023929</v>
      </c>
      <c r="C546" t="s">
        <v>4</v>
      </c>
    </row>
    <row r="547" spans="1:13">
      <c r="A547" t="s">
        <v>13</v>
      </c>
      <c r="B547" s="5" t="s">
        <v>92</v>
      </c>
    </row>
    <row r="548" spans="1:13">
      <c r="A548" t="s">
        <v>14</v>
      </c>
      <c r="B548" s="5" t="s">
        <v>18</v>
      </c>
    </row>
    <row r="549" spans="1:13">
      <c r="A549" t="s">
        <v>1</v>
      </c>
      <c r="B549" t="s">
        <v>91</v>
      </c>
    </row>
    <row r="550" spans="1:13">
      <c r="A550" t="s">
        <v>15</v>
      </c>
      <c r="B550" s="5" t="s">
        <v>92</v>
      </c>
    </row>
    <row r="551" spans="1:13">
      <c r="A551" t="s">
        <v>2</v>
      </c>
    </row>
    <row r="552" spans="1:13">
      <c r="A552" t="s">
        <v>46</v>
      </c>
      <c r="B552" t="s">
        <v>249</v>
      </c>
    </row>
    <row r="553" spans="1:13">
      <c r="A553" t="s">
        <v>5</v>
      </c>
      <c r="B553" s="2">
        <f>B545/SUM(TimeEntries102112116126[Time delta in h])</f>
        <v>0.14815681950114154</v>
      </c>
      <c r="C553" t="s">
        <v>6</v>
      </c>
    </row>
    <row r="554" spans="1:13">
      <c r="A554" t="s">
        <v>93</v>
      </c>
    </row>
    <row r="555" spans="1:13">
      <c r="A555" t="s">
        <v>94</v>
      </c>
    </row>
    <row r="556" spans="1:13">
      <c r="A556" t="s">
        <v>129</v>
      </c>
      <c r="B556" s="1">
        <v>44161.951921296299</v>
      </c>
    </row>
    <row r="558" spans="1:13">
      <c r="A558" t="s">
        <v>10</v>
      </c>
      <c r="B558" t="s">
        <v>7</v>
      </c>
      <c r="C558" t="s">
        <v>8</v>
      </c>
      <c r="D558" t="s">
        <v>9</v>
      </c>
      <c r="E558" t="s">
        <v>134</v>
      </c>
      <c r="F558" t="s">
        <v>84</v>
      </c>
      <c r="G558" t="s">
        <v>85</v>
      </c>
      <c r="I558" t="s">
        <v>70</v>
      </c>
      <c r="J558" s="15" t="s">
        <v>68</v>
      </c>
      <c r="K558" s="2" t="s">
        <v>69</v>
      </c>
      <c r="L558" t="s">
        <v>71</v>
      </c>
      <c r="M558" t="s">
        <v>72</v>
      </c>
    </row>
    <row r="559" spans="1:13">
      <c r="A559" t="s">
        <v>126</v>
      </c>
      <c r="B559" s="1">
        <v>44160.777303240742</v>
      </c>
      <c r="C559" s="1">
        <v>44161.951932870368</v>
      </c>
      <c r="D559" s="2">
        <f>MAX((TimeEntries102112116126[[#This Row],[End time]]-TimeEntries102112116126[[#This Row],[Start time]])*24,0)</f>
        <v>28.191111111023929</v>
      </c>
      <c r="F559" s="54" t="s">
        <v>184</v>
      </c>
      <c r="G559" s="22" t="s">
        <v>185</v>
      </c>
      <c r="I559" t="s">
        <v>126</v>
      </c>
      <c r="J559" s="15">
        <v>0.05</v>
      </c>
      <c r="K559" s="2">
        <v>2.0883526802062988</v>
      </c>
      <c r="L559" s="2">
        <f>SUM(TimeEntries102112116126[Time delta in h])</f>
        <v>28.191111111023929</v>
      </c>
      <c r="M559" s="16">
        <f>Tabelle7367103113117127[[#This Row],[EBS self time]]/Tabelle7367103113117127[[#This Row],[Total time]]</f>
        <v>7.407840975057077E-2</v>
      </c>
    </row>
    <row r="560" spans="1:13">
      <c r="B560" s="1"/>
      <c r="C560" s="1"/>
      <c r="D560" s="2"/>
      <c r="I560" t="s">
        <v>127</v>
      </c>
      <c r="J560" s="15">
        <v>0.2</v>
      </c>
      <c r="K560" s="2">
        <v>2.0883526802062988</v>
      </c>
      <c r="L560" s="2">
        <f>SUM(TimeEntries102112116126[Time delta in h])</f>
        <v>28.191111111023929</v>
      </c>
      <c r="M560" s="16">
        <f>Tabelle7367103113117127[[#This Row],[EBS self time]]/Tabelle7367103113117127[[#This Row],[Total time]]</f>
        <v>7.407840975057077E-2</v>
      </c>
    </row>
    <row r="561" spans="1:13">
      <c r="I561" t="s">
        <v>169</v>
      </c>
      <c r="J561" s="15">
        <v>0.35</v>
      </c>
      <c r="K561" s="2">
        <v>2.0883526802062988</v>
      </c>
      <c r="L561" s="2">
        <f>SUM(TimeEntries102112116126[Time delta in h])</f>
        <v>28.191111111023929</v>
      </c>
      <c r="M561" s="16">
        <f>Tabelle7367103113117127[[#This Row],[EBS self time]]/Tabelle7367103113117127[[#This Row],[Total time]]</f>
        <v>7.407840975057077E-2</v>
      </c>
    </row>
    <row r="562" spans="1:13">
      <c r="I562" t="s">
        <v>172</v>
      </c>
      <c r="J562" s="15">
        <v>0.5</v>
      </c>
      <c r="K562" s="2">
        <v>2.0883526802062988</v>
      </c>
      <c r="L562" s="2">
        <f>SUM(TimeEntries102112116126[Time delta in h])</f>
        <v>28.191111111023929</v>
      </c>
      <c r="M562" s="16">
        <f>Tabelle7367103113117127[[#This Row],[EBS self time]]/Tabelle7367103113117127[[#This Row],[Total time]]</f>
        <v>7.407840975057077E-2</v>
      </c>
    </row>
    <row r="563" spans="1:13">
      <c r="I563" t="s">
        <v>187</v>
      </c>
      <c r="J563" s="15">
        <v>0.65</v>
      </c>
      <c r="K563" s="2">
        <v>2.0883526802062988</v>
      </c>
      <c r="L563" s="2">
        <f>SUM(TimeEntries102112116126[Time delta in h])</f>
        <v>28.191111111023929</v>
      </c>
      <c r="M563" s="16">
        <f>Tabelle7367103113117127[[#This Row],[EBS self time]]/Tabelle7367103113117127[[#This Row],[Total time]]</f>
        <v>7.407840975057077E-2</v>
      </c>
    </row>
    <row r="564" spans="1:13">
      <c r="I564" t="s">
        <v>192</v>
      </c>
      <c r="J564" s="15">
        <v>0.8</v>
      </c>
      <c r="K564" s="2">
        <v>2.6889564355214501</v>
      </c>
      <c r="L564" s="2">
        <f>SUM(TimeEntries102112116126[Time delta in h])</f>
        <v>28.191111111023929</v>
      </c>
      <c r="M564" s="16">
        <f>Tabelle7367103113117127[[#This Row],[EBS self time]]/Tabelle7367103113117127[[#This Row],[Total time]]</f>
        <v>9.5383130694339791E-2</v>
      </c>
    </row>
    <row r="565" spans="1:13">
      <c r="I565" t="s">
        <v>193</v>
      </c>
      <c r="J565" s="15">
        <v>0.95</v>
      </c>
      <c r="K565" s="2">
        <v>8.094390233357748</v>
      </c>
      <c r="L565" s="2">
        <f>SUM(TimeEntries102112116126[Time delta in h])</f>
        <v>28.191111111023929</v>
      </c>
      <c r="M565" s="16">
        <f>Tabelle7367103113117127[[#This Row],[EBS self time]]/Tabelle7367103113117127[[#This Row],[Total time]]</f>
        <v>0.2871256191882588</v>
      </c>
    </row>
    <row r="567" spans="1:13">
      <c r="A567" t="s">
        <v>189</v>
      </c>
      <c r="B567" t="s">
        <v>252</v>
      </c>
      <c r="C567" t="s">
        <v>190</v>
      </c>
      <c r="D567">
        <v>18</v>
      </c>
      <c r="E567" t="s">
        <v>191</v>
      </c>
      <c r="F567">
        <v>13</v>
      </c>
    </row>
    <row r="568" spans="1:13">
      <c r="A568" s="4" t="s">
        <v>24</v>
      </c>
      <c r="I568" t="s">
        <v>135</v>
      </c>
      <c r="J568" t="s">
        <v>136</v>
      </c>
    </row>
    <row r="569" spans="1:13">
      <c r="A569" t="s">
        <v>3</v>
      </c>
      <c r="B569" t="s">
        <v>254</v>
      </c>
    </row>
    <row r="570" spans="1:13">
      <c r="A570" t="s">
        <v>77</v>
      </c>
      <c r="B570" s="2" t="s">
        <v>92</v>
      </c>
      <c r="C570" t="s">
        <v>4</v>
      </c>
    </row>
    <row r="571" spans="1:13">
      <c r="A571" t="s">
        <v>0</v>
      </c>
      <c r="B571" s="2">
        <f>SUM(TimeEntries118128[Time delta in h])</f>
        <v>12.417777777824085</v>
      </c>
      <c r="C571" t="s">
        <v>4</v>
      </c>
    </row>
    <row r="572" spans="1:13">
      <c r="A572" t="s">
        <v>13</v>
      </c>
      <c r="B572" s="5" t="s">
        <v>92</v>
      </c>
    </row>
    <row r="573" spans="1:13">
      <c r="A573" t="s">
        <v>14</v>
      </c>
      <c r="B573" s="5" t="s">
        <v>18</v>
      </c>
    </row>
    <row r="574" spans="1:13">
      <c r="A574" t="s">
        <v>1</v>
      </c>
      <c r="B574" t="s">
        <v>131</v>
      </c>
    </row>
    <row r="575" spans="1:13">
      <c r="A575" t="s">
        <v>15</v>
      </c>
      <c r="B575" s="5">
        <v>44161.951944444445</v>
      </c>
    </row>
    <row r="576" spans="1:13">
      <c r="A576" t="s">
        <v>2</v>
      </c>
    </row>
    <row r="577" spans="1:13">
      <c r="A577" t="s">
        <v>46</v>
      </c>
      <c r="B577" t="s">
        <v>252</v>
      </c>
    </row>
    <row r="578" spans="1:13">
      <c r="A578" t="s">
        <v>5</v>
      </c>
      <c r="B578" s="2" t="e">
        <f>B570/SUM(TimeEntries118128[Time delta in h])</f>
        <v>#VALUE!</v>
      </c>
      <c r="C578" t="s">
        <v>6</v>
      </c>
    </row>
    <row r="579" spans="1:13">
      <c r="A579" t="s">
        <v>93</v>
      </c>
    </row>
    <row r="580" spans="1:13">
      <c r="A580" t="s">
        <v>94</v>
      </c>
    </row>
    <row r="581" spans="1:13">
      <c r="A581" t="s">
        <v>129</v>
      </c>
      <c r="B581" s="1">
        <v>44161.951932870368</v>
      </c>
    </row>
    <row r="583" spans="1:13">
      <c r="A583" t="s">
        <v>10</v>
      </c>
      <c r="B583" t="s">
        <v>7</v>
      </c>
      <c r="C583" t="s">
        <v>8</v>
      </c>
      <c r="D583" t="s">
        <v>9</v>
      </c>
      <c r="E583" t="s">
        <v>134</v>
      </c>
      <c r="F583" t="s">
        <v>84</v>
      </c>
      <c r="G583" t="s">
        <v>85</v>
      </c>
      <c r="I583" t="s">
        <v>70</v>
      </c>
      <c r="J583" s="15" t="s">
        <v>68</v>
      </c>
      <c r="K583" s="2" t="s">
        <v>69</v>
      </c>
      <c r="L583" t="s">
        <v>71</v>
      </c>
      <c r="M583" t="s">
        <v>72</v>
      </c>
    </row>
    <row r="584" spans="1:13">
      <c r="A584" t="s">
        <v>126</v>
      </c>
      <c r="B584" s="1">
        <v>44161.434537037036</v>
      </c>
      <c r="C584" s="1">
        <v>44161.951944444445</v>
      </c>
      <c r="D584" s="2">
        <f>MAX((TimeEntries118128[[#This Row],[End time]]-TimeEntries118128[[#This Row],[Start time]])*24,0)</f>
        <v>12.417777777824085</v>
      </c>
      <c r="F584" s="54" t="s">
        <v>184</v>
      </c>
      <c r="G584" s="22" t="s">
        <v>185</v>
      </c>
      <c r="J584" s="15"/>
      <c r="K584" s="2"/>
      <c r="L584" s="2">
        <f>SUM(TimeEntries118128[Time delta in h])</f>
        <v>12.417777777824085</v>
      </c>
      <c r="M584" s="16">
        <f>Tabelle7367119129[[#This Row],[EBS self time]]/Tabelle7367119129[[#This Row],[Total time]]</f>
        <v>0</v>
      </c>
    </row>
    <row r="585" spans="1:13">
      <c r="B585" s="1"/>
      <c r="C585" s="1"/>
      <c r="D585" s="2"/>
    </row>
    <row r="587" spans="1:13">
      <c r="A587" t="s">
        <v>189</v>
      </c>
      <c r="B587" t="s">
        <v>255</v>
      </c>
      <c r="C587" t="s">
        <v>190</v>
      </c>
      <c r="D587">
        <v>23</v>
      </c>
      <c r="E587" t="s">
        <v>191</v>
      </c>
      <c r="F587">
        <v>13</v>
      </c>
    </row>
    <row r="588" spans="1:13">
      <c r="A588" s="4" t="s">
        <v>24</v>
      </c>
      <c r="I588" t="s">
        <v>135</v>
      </c>
      <c r="J588" t="s">
        <v>136</v>
      </c>
    </row>
    <row r="589" spans="1:13">
      <c r="A589" t="s">
        <v>3</v>
      </c>
      <c r="B589" t="s">
        <v>257</v>
      </c>
    </row>
    <row r="590" spans="1:13">
      <c r="A590" t="s">
        <v>77</v>
      </c>
      <c r="B590" s="2">
        <v>12.069421768188477</v>
      </c>
      <c r="C590" t="s">
        <v>4</v>
      </c>
    </row>
    <row r="591" spans="1:13">
      <c r="A591" t="s">
        <v>0</v>
      </c>
      <c r="B591" s="2">
        <f>SUM(TimeEntries120130[Time delta in h])</f>
        <v>31.274166666611563</v>
      </c>
      <c r="C591" t="s">
        <v>4</v>
      </c>
    </row>
    <row r="592" spans="1:13">
      <c r="A592" t="s">
        <v>13</v>
      </c>
      <c r="B592" s="5" t="s">
        <v>92</v>
      </c>
    </row>
    <row r="593" spans="1:13">
      <c r="A593" t="s">
        <v>14</v>
      </c>
      <c r="B593" s="5" t="s">
        <v>18</v>
      </c>
    </row>
    <row r="594" spans="1:13">
      <c r="A594" t="s">
        <v>1</v>
      </c>
      <c r="B594" t="s">
        <v>91</v>
      </c>
    </row>
    <row r="595" spans="1:13">
      <c r="A595" t="s">
        <v>15</v>
      </c>
      <c r="B595" s="5" t="s">
        <v>92</v>
      </c>
    </row>
    <row r="596" spans="1:13">
      <c r="A596" t="s">
        <v>2</v>
      </c>
    </row>
    <row r="597" spans="1:13">
      <c r="A597" t="s">
        <v>46</v>
      </c>
      <c r="B597" t="s">
        <v>255</v>
      </c>
    </row>
    <row r="598" spans="1:13">
      <c r="A598" t="s">
        <v>5</v>
      </c>
      <c r="B598" s="2">
        <f>B590/SUM(TimeEntries120130[Time delta in h])</f>
        <v>0.38592304942449013</v>
      </c>
      <c r="C598" t="s">
        <v>6</v>
      </c>
    </row>
    <row r="599" spans="1:13">
      <c r="A599" t="s">
        <v>93</v>
      </c>
    </row>
    <row r="600" spans="1:13">
      <c r="A600" t="s">
        <v>94</v>
      </c>
    </row>
    <row r="601" spans="1:13">
      <c r="A601" t="s">
        <v>129</v>
      </c>
      <c r="B601" s="1">
        <v>44161.951944444445</v>
      </c>
    </row>
    <row r="603" spans="1:13">
      <c r="A603" t="s">
        <v>10</v>
      </c>
      <c r="B603" t="s">
        <v>7</v>
      </c>
      <c r="C603" t="s">
        <v>8</v>
      </c>
      <c r="D603" t="s">
        <v>9</v>
      </c>
      <c r="E603" t="s">
        <v>134</v>
      </c>
      <c r="F603" t="s">
        <v>84</v>
      </c>
      <c r="G603" t="s">
        <v>85</v>
      </c>
      <c r="I603" t="s">
        <v>70</v>
      </c>
      <c r="J603" s="15" t="s">
        <v>68</v>
      </c>
      <c r="K603" s="2" t="s">
        <v>69</v>
      </c>
      <c r="L603" t="s">
        <v>71</v>
      </c>
      <c r="M603" t="s">
        <v>72</v>
      </c>
    </row>
    <row r="604" spans="1:13">
      <c r="A604" t="s">
        <v>126</v>
      </c>
      <c r="B604" s="1">
        <v>44160.648854166669</v>
      </c>
      <c r="C604" s="1">
        <v>44161.951944444445</v>
      </c>
      <c r="D604" s="2">
        <f>MAX((TimeEntries120130[[#This Row],[End time]]-TimeEntries120130[[#This Row],[Start time]])*24,0)</f>
        <v>31.274166666611563</v>
      </c>
      <c r="F604" s="54" t="s">
        <v>184</v>
      </c>
      <c r="G604" s="22" t="s">
        <v>185</v>
      </c>
      <c r="I604" t="s">
        <v>126</v>
      </c>
      <c r="J604" s="15">
        <v>0.05</v>
      </c>
      <c r="K604" s="2">
        <v>6.0347108840942383</v>
      </c>
      <c r="L604" s="2">
        <f>SUM(TimeEntries120130[Time delta in h])</f>
        <v>31.274166666611563</v>
      </c>
      <c r="M604" s="16">
        <f>Tabelle7367121131[[#This Row],[EBS self time]]/Tabelle7367121131[[#This Row],[Total time]]</f>
        <v>0.19296152471224506</v>
      </c>
    </row>
    <row r="605" spans="1:13">
      <c r="B605" s="1"/>
      <c r="C605" s="1"/>
      <c r="D605" s="2"/>
      <c r="I605" t="s">
        <v>127</v>
      </c>
      <c r="J605" s="15">
        <v>0.2</v>
      </c>
      <c r="K605" s="2">
        <v>6.0347108840942383</v>
      </c>
      <c r="L605" s="2">
        <f>SUM(TimeEntries120130[Time delta in h])</f>
        <v>31.274166666611563</v>
      </c>
      <c r="M605" s="16">
        <f>Tabelle7367121131[[#This Row],[EBS self time]]/Tabelle7367121131[[#This Row],[Total time]]</f>
        <v>0.19296152471224506</v>
      </c>
    </row>
    <row r="606" spans="1:13">
      <c r="I606" t="s">
        <v>169</v>
      </c>
      <c r="J606" s="15">
        <v>0.35</v>
      </c>
      <c r="K606" s="2">
        <v>6.0347108840942383</v>
      </c>
      <c r="L606" s="2">
        <f>SUM(TimeEntries120130[Time delta in h])</f>
        <v>31.274166666611563</v>
      </c>
      <c r="M606" s="16">
        <f>Tabelle7367121131[[#This Row],[EBS self time]]/Tabelle7367121131[[#This Row],[Total time]]</f>
        <v>0.19296152471224506</v>
      </c>
    </row>
    <row r="607" spans="1:13">
      <c r="I607" t="s">
        <v>172</v>
      </c>
      <c r="J607" s="15">
        <v>0.5</v>
      </c>
      <c r="K607" s="2">
        <v>6.0347108840942383</v>
      </c>
      <c r="L607" s="2">
        <f>SUM(TimeEntries120130[Time delta in h])</f>
        <v>31.274166666611563</v>
      </c>
      <c r="M607" s="16">
        <f>Tabelle7367121131[[#This Row],[EBS self time]]/Tabelle7367121131[[#This Row],[Total time]]</f>
        <v>0.19296152471224506</v>
      </c>
    </row>
    <row r="608" spans="1:13">
      <c r="I608" t="s">
        <v>187</v>
      </c>
      <c r="J608" s="15">
        <v>0.65</v>
      </c>
      <c r="K608" s="2">
        <v>23.390352263931156</v>
      </c>
      <c r="L608" s="2">
        <f>SUM(TimeEntries120130[Time delta in h])</f>
        <v>31.274166666611563</v>
      </c>
      <c r="M608" s="16">
        <f>Tabelle7367121131[[#This Row],[EBS self time]]/Tabelle7367121131[[#This Row],[Total time]]</f>
        <v>0.74791288648157006</v>
      </c>
    </row>
    <row r="609" spans="1:13">
      <c r="I609" t="s">
        <v>192</v>
      </c>
      <c r="J609" s="15">
        <v>0.8</v>
      </c>
      <c r="K609" s="2">
        <v>23.390352263931156</v>
      </c>
      <c r="L609" s="2">
        <f>SUM(TimeEntries120130[Time delta in h])</f>
        <v>31.274166666611563</v>
      </c>
      <c r="M609" s="16">
        <f>Tabelle7367121131[[#This Row],[EBS self time]]/Tabelle7367121131[[#This Row],[Total time]]</f>
        <v>0.74791288648157006</v>
      </c>
    </row>
    <row r="610" spans="1:13">
      <c r="I610" t="s">
        <v>193</v>
      </c>
      <c r="J610" s="15">
        <v>0.95</v>
      </c>
      <c r="K610" s="2">
        <v>23.390352263931156</v>
      </c>
      <c r="L610" s="2">
        <f>SUM(TimeEntries120130[Time delta in h])</f>
        <v>31.274166666611563</v>
      </c>
      <c r="M610" s="16">
        <f>Tabelle7367121131[[#This Row],[EBS self time]]/Tabelle7367121131[[#This Row],[Total time]]</f>
        <v>0.74791288648157006</v>
      </c>
    </row>
    <row r="612" spans="1:13">
      <c r="A612" t="s">
        <v>189</v>
      </c>
      <c r="B612" t="s">
        <v>258</v>
      </c>
      <c r="C612" t="s">
        <v>190</v>
      </c>
      <c r="D612">
        <v>18</v>
      </c>
      <c r="E612" t="s">
        <v>191</v>
      </c>
      <c r="F612">
        <v>13</v>
      </c>
    </row>
    <row r="613" spans="1:13">
      <c r="A613" s="4" t="s">
        <v>24</v>
      </c>
      <c r="I613" t="s">
        <v>135</v>
      </c>
      <c r="J613" t="s">
        <v>136</v>
      </c>
    </row>
    <row r="614" spans="1:13">
      <c r="A614" t="s">
        <v>3</v>
      </c>
      <c r="B614" t="s">
        <v>260</v>
      </c>
    </row>
    <row r="615" spans="1:13">
      <c r="A615" t="s">
        <v>77</v>
      </c>
      <c r="B615" s="2" t="s">
        <v>92</v>
      </c>
      <c r="C615" t="s">
        <v>4</v>
      </c>
    </row>
    <row r="616" spans="1:13">
      <c r="A616" t="s">
        <v>0</v>
      </c>
      <c r="B616" s="2">
        <f>SUM(TimeEntries122132[Time delta in h])</f>
        <v>2.9172222222550772</v>
      </c>
      <c r="C616" t="s">
        <v>4</v>
      </c>
    </row>
    <row r="617" spans="1:13">
      <c r="A617" t="s">
        <v>13</v>
      </c>
      <c r="B617" s="5" t="s">
        <v>92</v>
      </c>
    </row>
    <row r="618" spans="1:13">
      <c r="A618" t="s">
        <v>14</v>
      </c>
      <c r="B618" s="5" t="s">
        <v>18</v>
      </c>
    </row>
    <row r="619" spans="1:13">
      <c r="A619" t="s">
        <v>1</v>
      </c>
      <c r="B619" t="s">
        <v>91</v>
      </c>
    </row>
    <row r="620" spans="1:13">
      <c r="A620" t="s">
        <v>15</v>
      </c>
      <c r="B620" s="5" t="s">
        <v>92</v>
      </c>
    </row>
    <row r="621" spans="1:13">
      <c r="A621" t="s">
        <v>2</v>
      </c>
    </row>
    <row r="622" spans="1:13">
      <c r="A622" t="s">
        <v>46</v>
      </c>
      <c r="B622" t="s">
        <v>258</v>
      </c>
    </row>
    <row r="623" spans="1:13">
      <c r="A623" t="s">
        <v>5</v>
      </c>
      <c r="B623" s="2" t="e">
        <f>B615/SUM(TimeEntries122132[Time delta in h])</f>
        <v>#VALUE!</v>
      </c>
      <c r="C623" t="s">
        <v>6</v>
      </c>
    </row>
    <row r="624" spans="1:13">
      <c r="A624" t="s">
        <v>93</v>
      </c>
    </row>
    <row r="625" spans="1:13">
      <c r="A625" t="s">
        <v>94</v>
      </c>
    </row>
    <row r="626" spans="1:13">
      <c r="A626" t="s">
        <v>129</v>
      </c>
      <c r="B626" s="1">
        <v>44161.951944444445</v>
      </c>
    </row>
    <row r="628" spans="1:13">
      <c r="A628" t="s">
        <v>10</v>
      </c>
      <c r="B628" t="s">
        <v>7</v>
      </c>
      <c r="C628" t="s">
        <v>8</v>
      </c>
      <c r="D628" t="s">
        <v>9</v>
      </c>
      <c r="E628" t="s">
        <v>134</v>
      </c>
      <c r="F628" t="s">
        <v>84</v>
      </c>
      <c r="G628" t="s">
        <v>85</v>
      </c>
      <c r="I628" t="s">
        <v>70</v>
      </c>
      <c r="J628" s="15" t="s">
        <v>68</v>
      </c>
      <c r="K628" s="2" t="s">
        <v>69</v>
      </c>
      <c r="L628" t="s">
        <v>71</v>
      </c>
      <c r="M628" t="s">
        <v>72</v>
      </c>
    </row>
    <row r="629" spans="1:13">
      <c r="A629" t="s">
        <v>126</v>
      </c>
      <c r="B629" s="1">
        <v>44161.830393518518</v>
      </c>
      <c r="C629" s="1">
        <v>44161.951944444445</v>
      </c>
      <c r="D629" s="2">
        <f>MAX((TimeEntries122132[[#This Row],[End time]]-TimeEntries122132[[#This Row],[Start time]])*24,0)</f>
        <v>2.9172222222550772</v>
      </c>
      <c r="F629" s="54" t="s">
        <v>184</v>
      </c>
      <c r="G629" s="22" t="s">
        <v>185</v>
      </c>
      <c r="J629" s="15"/>
      <c r="K629" s="2"/>
      <c r="L629" s="2">
        <f>SUM(TimeEntries122132[Time delta in h])</f>
        <v>2.9172222222550772</v>
      </c>
      <c r="M629" s="16">
        <f>Tabelle7367123133[[#This Row],[EBS self time]]/Tabelle7367123133[[#This Row],[Total time]]</f>
        <v>0</v>
      </c>
    </row>
    <row r="630" spans="1:13">
      <c r="B630" s="1"/>
      <c r="C630" s="1"/>
      <c r="D630" s="2"/>
    </row>
    <row r="632" spans="1:13">
      <c r="A632" t="s">
        <v>189</v>
      </c>
      <c r="B632" t="s">
        <v>261</v>
      </c>
      <c r="C632" t="s">
        <v>190</v>
      </c>
      <c r="D632">
        <v>18</v>
      </c>
      <c r="E632" t="s">
        <v>191</v>
      </c>
      <c r="F632">
        <v>13</v>
      </c>
    </row>
    <row r="633" spans="1:13">
      <c r="A633" s="4" t="s">
        <v>24</v>
      </c>
      <c r="I633" t="s">
        <v>135</v>
      </c>
      <c r="J633" t="s">
        <v>136</v>
      </c>
    </row>
    <row r="634" spans="1:13">
      <c r="A634" t="s">
        <v>3</v>
      </c>
      <c r="B634" t="s">
        <v>263</v>
      </c>
    </row>
    <row r="635" spans="1:13">
      <c r="A635" t="s">
        <v>77</v>
      </c>
      <c r="B635" s="2" t="s">
        <v>92</v>
      </c>
      <c r="C635" t="s">
        <v>4</v>
      </c>
    </row>
    <row r="636" spans="1:13">
      <c r="A636" t="s">
        <v>0</v>
      </c>
      <c r="B636" s="2">
        <f>SUM(TimeEntries124134138148[Time delta in h])</f>
        <v>23.348055555601604</v>
      </c>
      <c r="C636" t="s">
        <v>4</v>
      </c>
    </row>
    <row r="637" spans="1:13">
      <c r="A637" t="s">
        <v>13</v>
      </c>
      <c r="B637" s="5" t="s">
        <v>92</v>
      </c>
    </row>
    <row r="638" spans="1:13">
      <c r="A638" t="s">
        <v>14</v>
      </c>
      <c r="B638" s="5" t="s">
        <v>18</v>
      </c>
    </row>
    <row r="639" spans="1:13">
      <c r="A639" t="s">
        <v>1</v>
      </c>
      <c r="B639" t="s">
        <v>91</v>
      </c>
    </row>
    <row r="640" spans="1:13">
      <c r="A640" t="s">
        <v>15</v>
      </c>
      <c r="B640" s="5" t="s">
        <v>92</v>
      </c>
    </row>
    <row r="641" spans="1:13">
      <c r="A641" t="s">
        <v>2</v>
      </c>
    </row>
    <row r="642" spans="1:13">
      <c r="A642" t="s">
        <v>46</v>
      </c>
      <c r="B642" t="s">
        <v>261</v>
      </c>
    </row>
    <row r="643" spans="1:13">
      <c r="A643" t="s">
        <v>5</v>
      </c>
      <c r="B643" s="2" t="e">
        <f>B635/SUM(TimeEntries124134138148[Time delta in h])</f>
        <v>#VALUE!</v>
      </c>
      <c r="C643" t="s">
        <v>6</v>
      </c>
    </row>
    <row r="644" spans="1:13">
      <c r="A644" t="s">
        <v>93</v>
      </c>
    </row>
    <row r="645" spans="1:13">
      <c r="A645" t="s">
        <v>94</v>
      </c>
    </row>
    <row r="646" spans="1:13">
      <c r="A646" t="s">
        <v>129</v>
      </c>
      <c r="B646" s="1">
        <v>44161.951956018522</v>
      </c>
    </row>
    <row r="648" spans="1:13">
      <c r="A648" t="s">
        <v>10</v>
      </c>
      <c r="B648" t="s">
        <v>7</v>
      </c>
      <c r="C648" t="s">
        <v>8</v>
      </c>
      <c r="D648" t="s">
        <v>9</v>
      </c>
      <c r="E648" t="s">
        <v>134</v>
      </c>
      <c r="F648" t="s">
        <v>84</v>
      </c>
      <c r="G648" t="s">
        <v>85</v>
      </c>
      <c r="I648" t="s">
        <v>70</v>
      </c>
      <c r="J648" s="15" t="s">
        <v>68</v>
      </c>
      <c r="K648" s="2" t="s">
        <v>69</v>
      </c>
      <c r="L648" t="s">
        <v>71</v>
      </c>
      <c r="M648" t="s">
        <v>72</v>
      </c>
    </row>
    <row r="649" spans="1:13">
      <c r="A649" t="s">
        <v>126</v>
      </c>
      <c r="B649" s="1">
        <v>44160.979131944441</v>
      </c>
      <c r="C649" s="1">
        <v>44161.951967592591</v>
      </c>
      <c r="D649" s="2">
        <f>MAX((TimeEntries124134138148[[#This Row],[End time]]-TimeEntries124134138148[[#This Row],[Start time]])*24,0)</f>
        <v>23.348055555601604</v>
      </c>
      <c r="F649" s="54" t="s">
        <v>184</v>
      </c>
      <c r="G649" s="22" t="s">
        <v>185</v>
      </c>
      <c r="J649" s="15"/>
      <c r="K649" s="2"/>
      <c r="L649" s="2">
        <f>SUM(TimeEntries124134138148[Time delta in h])</f>
        <v>23.348055555601604</v>
      </c>
      <c r="M649" s="16">
        <f>Tabelle7367125135139149[[#This Row],[EBS self time]]/Tabelle7367125135139149[[#This Row],[Total time]]</f>
        <v>0</v>
      </c>
    </row>
    <row r="650" spans="1:13">
      <c r="B650" s="1"/>
      <c r="C650" s="1"/>
      <c r="D650" s="2"/>
    </row>
    <row r="652" spans="1:13">
      <c r="A652" t="s">
        <v>189</v>
      </c>
      <c r="B652" t="s">
        <v>264</v>
      </c>
      <c r="C652" t="s">
        <v>190</v>
      </c>
      <c r="D652">
        <v>18</v>
      </c>
      <c r="E652" t="s">
        <v>191</v>
      </c>
      <c r="F652">
        <v>13</v>
      </c>
    </row>
    <row r="653" spans="1:13">
      <c r="A653" s="4" t="s">
        <v>24</v>
      </c>
      <c r="I653" t="s">
        <v>135</v>
      </c>
      <c r="J653" t="s">
        <v>136</v>
      </c>
    </row>
    <row r="654" spans="1:13">
      <c r="A654" t="s">
        <v>3</v>
      </c>
      <c r="B654" t="s">
        <v>266</v>
      </c>
    </row>
    <row r="655" spans="1:13">
      <c r="A655" t="s">
        <v>77</v>
      </c>
      <c r="B655" s="2" t="s">
        <v>92</v>
      </c>
      <c r="C655" t="s">
        <v>4</v>
      </c>
    </row>
    <row r="656" spans="1:13">
      <c r="A656" t="s">
        <v>0</v>
      </c>
      <c r="B656" s="2">
        <f>SUM(TimeEntries140150[Time delta in h])</f>
        <v>4.937777777784504</v>
      </c>
      <c r="C656" t="s">
        <v>4</v>
      </c>
    </row>
    <row r="657" spans="1:13">
      <c r="A657" t="s">
        <v>13</v>
      </c>
      <c r="B657" s="5" t="s">
        <v>92</v>
      </c>
    </row>
    <row r="658" spans="1:13">
      <c r="A658" t="s">
        <v>14</v>
      </c>
      <c r="B658" s="5" t="s">
        <v>18</v>
      </c>
    </row>
    <row r="659" spans="1:13">
      <c r="A659" t="s">
        <v>1</v>
      </c>
      <c r="B659" t="s">
        <v>131</v>
      </c>
    </row>
    <row r="660" spans="1:13">
      <c r="A660" t="s">
        <v>15</v>
      </c>
      <c r="B660" s="5">
        <v>44161.951979166668</v>
      </c>
    </row>
    <row r="661" spans="1:13">
      <c r="A661" t="s">
        <v>2</v>
      </c>
    </row>
    <row r="662" spans="1:13">
      <c r="A662" t="s">
        <v>46</v>
      </c>
      <c r="B662" t="s">
        <v>264</v>
      </c>
    </row>
    <row r="663" spans="1:13">
      <c r="A663" t="s">
        <v>5</v>
      </c>
      <c r="B663" s="2" t="e">
        <f>B655/SUM(TimeEntries140150[Time delta in h])</f>
        <v>#VALUE!</v>
      </c>
      <c r="C663" t="s">
        <v>6</v>
      </c>
    </row>
    <row r="664" spans="1:13">
      <c r="A664" t="s">
        <v>93</v>
      </c>
    </row>
    <row r="665" spans="1:13">
      <c r="A665" t="s">
        <v>94</v>
      </c>
    </row>
    <row r="666" spans="1:13">
      <c r="A666" t="s">
        <v>129</v>
      </c>
      <c r="B666" s="1">
        <v>44161.951979166668</v>
      </c>
    </row>
    <row r="668" spans="1:13">
      <c r="A668" t="s">
        <v>10</v>
      </c>
      <c r="B668" t="s">
        <v>7</v>
      </c>
      <c r="C668" t="s">
        <v>8</v>
      </c>
      <c r="D668" t="s">
        <v>9</v>
      </c>
      <c r="E668" t="s">
        <v>134</v>
      </c>
      <c r="F668" t="s">
        <v>84</v>
      </c>
      <c r="G668" t="s">
        <v>85</v>
      </c>
      <c r="I668" t="s">
        <v>70</v>
      </c>
      <c r="J668" s="15" t="s">
        <v>68</v>
      </c>
      <c r="K668" s="2" t="s">
        <v>69</v>
      </c>
      <c r="L668" t="s">
        <v>71</v>
      </c>
      <c r="M668" t="s">
        <v>72</v>
      </c>
    </row>
    <row r="669" spans="1:13">
      <c r="A669" t="s">
        <v>126</v>
      </c>
      <c r="B669" s="1">
        <v>44161.746238425927</v>
      </c>
      <c r="C669" s="1">
        <v>44161.951979166668</v>
      </c>
      <c r="D669" s="2">
        <f>MAX((TimeEntries140150[[#This Row],[End time]]-TimeEntries140150[[#This Row],[Start time]])*24,0)</f>
        <v>4.937777777784504</v>
      </c>
      <c r="F669" s="54" t="s">
        <v>184</v>
      </c>
      <c r="G669" s="22" t="s">
        <v>185</v>
      </c>
      <c r="J669" s="15"/>
      <c r="K669" s="2"/>
      <c r="L669" s="2">
        <f>SUM(TimeEntries140150[Time delta in h])</f>
        <v>4.937777777784504</v>
      </c>
      <c r="M669" s="16">
        <f>Tabelle7367141151[[#This Row],[EBS self time]]/Tabelle7367141151[[#This Row],[Total time]]</f>
        <v>0</v>
      </c>
    </row>
    <row r="670" spans="1:13">
      <c r="B670" s="1"/>
      <c r="C670" s="1"/>
      <c r="D670" s="2"/>
    </row>
    <row r="672" spans="1:13">
      <c r="A672" t="s">
        <v>189</v>
      </c>
      <c r="B672" t="s">
        <v>267</v>
      </c>
      <c r="C672" t="s">
        <v>190</v>
      </c>
      <c r="D672">
        <v>23</v>
      </c>
      <c r="E672" t="s">
        <v>191</v>
      </c>
      <c r="F672">
        <v>13</v>
      </c>
    </row>
    <row r="673" spans="1:13">
      <c r="A673" s="4" t="s">
        <v>24</v>
      </c>
      <c r="I673" t="s">
        <v>135</v>
      </c>
      <c r="J673" t="s">
        <v>136</v>
      </c>
    </row>
    <row r="674" spans="1:13">
      <c r="A674" t="s">
        <v>3</v>
      </c>
      <c r="B674" t="s">
        <v>269</v>
      </c>
    </row>
    <row r="675" spans="1:13">
      <c r="A675" t="s">
        <v>77</v>
      </c>
      <c r="B675" s="2">
        <v>6.8520727157592773</v>
      </c>
      <c r="C675" t="s">
        <v>4</v>
      </c>
    </row>
    <row r="676" spans="1:13">
      <c r="A676" t="s">
        <v>0</v>
      </c>
      <c r="B676" s="2">
        <f>SUM(TimeEntries142152[Time delta in h])</f>
        <v>8.4788888889597729</v>
      </c>
      <c r="C676" t="s">
        <v>4</v>
      </c>
    </row>
    <row r="677" spans="1:13">
      <c r="A677" t="s">
        <v>13</v>
      </c>
      <c r="B677" s="5" t="s">
        <v>92</v>
      </c>
    </row>
    <row r="678" spans="1:13">
      <c r="A678" t="s">
        <v>14</v>
      </c>
      <c r="B678" s="5" t="s">
        <v>18</v>
      </c>
    </row>
    <row r="679" spans="1:13">
      <c r="A679" t="s">
        <v>1</v>
      </c>
      <c r="B679" t="s">
        <v>131</v>
      </c>
    </row>
    <row r="680" spans="1:13">
      <c r="A680" t="s">
        <v>15</v>
      </c>
      <c r="B680" s="5">
        <v>44161.951979166668</v>
      </c>
    </row>
    <row r="681" spans="1:13">
      <c r="A681" t="s">
        <v>2</v>
      </c>
    </row>
    <row r="682" spans="1:13">
      <c r="A682" t="s">
        <v>46</v>
      </c>
      <c r="B682" t="s">
        <v>267</v>
      </c>
    </row>
    <row r="683" spans="1:13">
      <c r="A683" t="s">
        <v>5</v>
      </c>
      <c r="B683" s="2">
        <f>B675/SUM(TimeEntries142152[Time delta in h])</f>
        <v>0.80813333038026391</v>
      </c>
      <c r="C683" t="s">
        <v>6</v>
      </c>
    </row>
    <row r="684" spans="1:13">
      <c r="A684" t="s">
        <v>93</v>
      </c>
    </row>
    <row r="685" spans="1:13">
      <c r="A685" t="s">
        <v>94</v>
      </c>
    </row>
    <row r="686" spans="1:13">
      <c r="A686" t="s">
        <v>129</v>
      </c>
      <c r="B686" s="1">
        <v>44161.951979166668</v>
      </c>
    </row>
    <row r="688" spans="1:13">
      <c r="A688" t="s">
        <v>10</v>
      </c>
      <c r="B688" t="s">
        <v>7</v>
      </c>
      <c r="C688" t="s">
        <v>8</v>
      </c>
      <c r="D688" t="s">
        <v>9</v>
      </c>
      <c r="E688" t="s">
        <v>134</v>
      </c>
      <c r="F688" t="s">
        <v>84</v>
      </c>
      <c r="G688" t="s">
        <v>85</v>
      </c>
      <c r="I688" t="s">
        <v>70</v>
      </c>
      <c r="J688" s="15" t="s">
        <v>68</v>
      </c>
      <c r="K688" s="2" t="s">
        <v>69</v>
      </c>
      <c r="L688" t="s">
        <v>71</v>
      </c>
      <c r="M688" t="s">
        <v>72</v>
      </c>
    </row>
    <row r="689" spans="1:13">
      <c r="A689" t="s">
        <v>126</v>
      </c>
      <c r="B689" s="1">
        <v>44161.598692129628</v>
      </c>
      <c r="C689" s="1">
        <v>44161.951979166668</v>
      </c>
      <c r="D689" s="2">
        <f>MAX((TimeEntries142152[[#This Row],[End time]]-TimeEntries142152[[#This Row],[Start time]])*24,0)</f>
        <v>8.4788888889597729</v>
      </c>
      <c r="F689" s="54" t="s">
        <v>184</v>
      </c>
      <c r="G689" s="22" t="s">
        <v>185</v>
      </c>
      <c r="I689" t="s">
        <v>126</v>
      </c>
      <c r="J689" s="15">
        <v>0.05</v>
      </c>
      <c r="K689" s="2">
        <v>3.4260363578796387</v>
      </c>
      <c r="L689" s="2">
        <f>SUM(TimeEntries142152[Time delta in h])</f>
        <v>8.4788888889597729</v>
      </c>
      <c r="M689" s="16">
        <f>Tabelle7367143153[[#This Row],[EBS self time]]/Tabelle7367143153[[#This Row],[Total time]]</f>
        <v>0.40406666519013196</v>
      </c>
    </row>
    <row r="690" spans="1:13">
      <c r="B690" s="1"/>
      <c r="C690" s="1"/>
      <c r="D690" s="2"/>
      <c r="I690" t="s">
        <v>127</v>
      </c>
      <c r="J690" s="15">
        <v>0.2</v>
      </c>
      <c r="K690" s="2">
        <v>3.4260363578796387</v>
      </c>
      <c r="L690" s="2">
        <f>SUM(TimeEntries142152[Time delta in h])</f>
        <v>8.4788888889597729</v>
      </c>
      <c r="M690" s="16">
        <f>Tabelle7367143153[[#This Row],[EBS self time]]/Tabelle7367143153[[#This Row],[Total time]]</f>
        <v>0.40406666519013196</v>
      </c>
    </row>
    <row r="691" spans="1:13">
      <c r="I691" t="s">
        <v>169</v>
      </c>
      <c r="J691" s="15">
        <v>0.35</v>
      </c>
      <c r="K691" s="2">
        <v>3.4260363578796387</v>
      </c>
      <c r="L691" s="2">
        <f>SUM(TimeEntries142152[Time delta in h])</f>
        <v>8.4788888889597729</v>
      </c>
      <c r="M691" s="16">
        <f>Tabelle7367143153[[#This Row],[EBS self time]]/Tabelle7367143153[[#This Row],[Total time]]</f>
        <v>0.40406666519013196</v>
      </c>
    </row>
    <row r="692" spans="1:13">
      <c r="I692" t="s">
        <v>172</v>
      </c>
      <c r="J692" s="15">
        <v>0.5</v>
      </c>
      <c r="K692" s="2">
        <v>3.4260363578796387</v>
      </c>
      <c r="L692" s="2">
        <f>SUM(TimeEntries142152[Time delta in h])</f>
        <v>8.4788888889597729</v>
      </c>
      <c r="M692" s="16">
        <f>Tabelle7367143153[[#This Row],[EBS self time]]/Tabelle7367143153[[#This Row],[Total time]]</f>
        <v>0.40406666519013196</v>
      </c>
    </row>
    <row r="693" spans="1:13">
      <c r="I693" t="s">
        <v>187</v>
      </c>
      <c r="J693" s="15">
        <v>0.65</v>
      </c>
      <c r="K693" s="2">
        <v>13.279210689455963</v>
      </c>
      <c r="L693" s="2">
        <f>SUM(TimeEntries142152[Time delta in h])</f>
        <v>8.4788888889597729</v>
      </c>
      <c r="M693" s="16">
        <f>Tabelle7367143153[[#This Row],[EBS self time]]/Tabelle7367143153[[#This Row],[Total time]]</f>
        <v>1.5661498650780308</v>
      </c>
    </row>
    <row r="694" spans="1:13">
      <c r="I694" t="s">
        <v>192</v>
      </c>
      <c r="J694" s="15">
        <v>0.8</v>
      </c>
      <c r="K694" s="2">
        <v>13.279210689455963</v>
      </c>
      <c r="L694" s="2">
        <f>SUM(TimeEntries142152[Time delta in h])</f>
        <v>8.4788888889597729</v>
      </c>
      <c r="M694" s="16">
        <f>Tabelle7367143153[[#This Row],[EBS self time]]/Tabelle7367143153[[#This Row],[Total time]]</f>
        <v>1.5661498650780308</v>
      </c>
    </row>
    <row r="695" spans="1:13">
      <c r="I695" t="s">
        <v>193</v>
      </c>
      <c r="J695" s="15">
        <v>0.95</v>
      </c>
      <c r="K695" s="2">
        <v>13.279210689455963</v>
      </c>
      <c r="L695" s="2">
        <f>SUM(TimeEntries142152[Time delta in h])</f>
        <v>8.4788888889597729</v>
      </c>
      <c r="M695" s="16">
        <f>Tabelle7367143153[[#This Row],[EBS self time]]/Tabelle7367143153[[#This Row],[Total time]]</f>
        <v>1.5661498650780308</v>
      </c>
    </row>
    <row r="697" spans="1:13">
      <c r="A697" t="s">
        <v>189</v>
      </c>
      <c r="B697" t="s">
        <v>270</v>
      </c>
      <c r="C697" t="s">
        <v>190</v>
      </c>
      <c r="D697">
        <v>23</v>
      </c>
      <c r="E697" t="s">
        <v>191</v>
      </c>
      <c r="F697">
        <v>13</v>
      </c>
    </row>
    <row r="698" spans="1:13">
      <c r="A698" s="4" t="s">
        <v>24</v>
      </c>
      <c r="I698" t="s">
        <v>135</v>
      </c>
      <c r="J698" t="s">
        <v>136</v>
      </c>
    </row>
    <row r="699" spans="1:13">
      <c r="A699" t="s">
        <v>3</v>
      </c>
      <c r="B699" t="s">
        <v>272</v>
      </c>
    </row>
    <row r="700" spans="1:13">
      <c r="A700" t="s">
        <v>77</v>
      </c>
      <c r="B700" s="2">
        <v>8.9430809020996094</v>
      </c>
      <c r="C700" t="s">
        <v>4</v>
      </c>
    </row>
    <row r="701" spans="1:13">
      <c r="A701" t="s">
        <v>0</v>
      </c>
      <c r="B701" s="2">
        <f>SUM(TimeEntries144154[Time delta in h])</f>
        <v>18.598611110995989</v>
      </c>
      <c r="C701" t="s">
        <v>4</v>
      </c>
    </row>
    <row r="702" spans="1:13">
      <c r="A702" t="s">
        <v>13</v>
      </c>
      <c r="B702" s="5" t="s">
        <v>92</v>
      </c>
    </row>
    <row r="703" spans="1:13">
      <c r="A703" t="s">
        <v>14</v>
      </c>
      <c r="B703" s="5" t="s">
        <v>18</v>
      </c>
    </row>
    <row r="704" spans="1:13">
      <c r="A704" t="s">
        <v>1</v>
      </c>
      <c r="B704" t="s">
        <v>91</v>
      </c>
    </row>
    <row r="705" spans="1:13">
      <c r="A705" t="s">
        <v>15</v>
      </c>
      <c r="B705" s="5" t="s">
        <v>92</v>
      </c>
    </row>
    <row r="706" spans="1:13">
      <c r="A706" t="s">
        <v>2</v>
      </c>
    </row>
    <row r="707" spans="1:13">
      <c r="A707" t="s">
        <v>46</v>
      </c>
      <c r="B707" t="s">
        <v>270</v>
      </c>
    </row>
    <row r="708" spans="1:13">
      <c r="A708" t="s">
        <v>5</v>
      </c>
      <c r="B708" s="2">
        <f>B700/SUM(TimeEntries144154[Time delta in h])</f>
        <v>0.48084670670984803</v>
      </c>
      <c r="C708" t="s">
        <v>6</v>
      </c>
    </row>
    <row r="709" spans="1:13">
      <c r="A709" t="s">
        <v>93</v>
      </c>
    </row>
    <row r="710" spans="1:13">
      <c r="A710" t="s">
        <v>94</v>
      </c>
    </row>
    <row r="711" spans="1:13">
      <c r="A711" t="s">
        <v>129</v>
      </c>
      <c r="B711" s="1">
        <v>44161.951979166668</v>
      </c>
    </row>
    <row r="713" spans="1:13">
      <c r="A713" t="s">
        <v>10</v>
      </c>
      <c r="B713" t="s">
        <v>7</v>
      </c>
      <c r="C713" t="s">
        <v>8</v>
      </c>
      <c r="D713" t="s">
        <v>9</v>
      </c>
      <c r="E713" t="s">
        <v>134</v>
      </c>
      <c r="F713" t="s">
        <v>84</v>
      </c>
      <c r="G713" t="s">
        <v>85</v>
      </c>
      <c r="I713" t="s">
        <v>70</v>
      </c>
      <c r="J713" s="15" t="s">
        <v>68</v>
      </c>
      <c r="K713" s="2" t="s">
        <v>69</v>
      </c>
      <c r="L713" t="s">
        <v>71</v>
      </c>
      <c r="M713" t="s">
        <v>72</v>
      </c>
    </row>
    <row r="714" spans="1:13">
      <c r="A714" t="s">
        <v>126</v>
      </c>
      <c r="B714" s="1">
        <v>44161.177048611113</v>
      </c>
      <c r="C714" s="1">
        <v>44161.951990740738</v>
      </c>
      <c r="D714" s="2">
        <f>MAX((TimeEntries144154[[#This Row],[End time]]-TimeEntries144154[[#This Row],[Start time]])*24,0)</f>
        <v>18.598611110995989</v>
      </c>
      <c r="F714" s="54" t="s">
        <v>184</v>
      </c>
      <c r="G714" s="22" t="s">
        <v>185</v>
      </c>
      <c r="I714" t="s">
        <v>126</v>
      </c>
      <c r="J714" s="15">
        <v>0.05</v>
      </c>
      <c r="K714" s="2">
        <v>4.4715404510498047</v>
      </c>
      <c r="L714" s="2">
        <f>SUM(TimeEntries144154[Time delta in h])</f>
        <v>18.598611110995989</v>
      </c>
      <c r="M714" s="16">
        <f>Tabelle7367145155[[#This Row],[EBS self time]]/Tabelle7367145155[[#This Row],[Total time]]</f>
        <v>0.24042335335492401</v>
      </c>
    </row>
    <row r="715" spans="1:13">
      <c r="B715" s="1"/>
      <c r="C715" s="1"/>
      <c r="D715" s="2"/>
      <c r="I715" t="s">
        <v>127</v>
      </c>
      <c r="J715" s="15">
        <v>0.2</v>
      </c>
      <c r="K715" s="2">
        <v>4.4715404510498047</v>
      </c>
      <c r="L715" s="2">
        <f>SUM(TimeEntries144154[Time delta in h])</f>
        <v>18.598611110995989</v>
      </c>
      <c r="M715" s="16">
        <f>Tabelle7367145155[[#This Row],[EBS self time]]/Tabelle7367145155[[#This Row],[Total time]]</f>
        <v>0.24042335335492401</v>
      </c>
    </row>
    <row r="716" spans="1:13">
      <c r="I716" t="s">
        <v>169</v>
      </c>
      <c r="J716" s="15">
        <v>0.35</v>
      </c>
      <c r="K716" s="2">
        <v>4.4715404510498047</v>
      </c>
      <c r="L716" s="2">
        <f>SUM(TimeEntries144154[Time delta in h])</f>
        <v>18.598611110995989</v>
      </c>
      <c r="M716" s="16">
        <f>Tabelle7367145155[[#This Row],[EBS self time]]/Tabelle7367145155[[#This Row],[Total time]]</f>
        <v>0.24042335335492401</v>
      </c>
    </row>
    <row r="717" spans="1:13">
      <c r="I717" t="s">
        <v>172</v>
      </c>
      <c r="J717" s="15">
        <v>0.5</v>
      </c>
      <c r="K717" s="2">
        <v>4.4715404510498047</v>
      </c>
      <c r="L717" s="2">
        <f>SUM(TimeEntries144154[Time delta in h])</f>
        <v>18.598611110995989</v>
      </c>
      <c r="M717" s="16">
        <f>Tabelle7367145155[[#This Row],[EBS self time]]/Tabelle7367145155[[#This Row],[Total time]]</f>
        <v>0.24042335335492401</v>
      </c>
    </row>
    <row r="718" spans="1:13">
      <c r="I718" t="s">
        <v>187</v>
      </c>
      <c r="J718" s="15">
        <v>0.65</v>
      </c>
      <c r="K718" s="2">
        <v>4.4715404510498047</v>
      </c>
      <c r="L718" s="2">
        <f>SUM(TimeEntries144154[Time delta in h])</f>
        <v>18.598611110995989</v>
      </c>
      <c r="M718" s="16">
        <f>Tabelle7367145155[[#This Row],[EBS self time]]/Tabelle7367145155[[#This Row],[Total time]]</f>
        <v>0.24042335335492401</v>
      </c>
    </row>
    <row r="719" spans="1:13">
      <c r="I719" t="s">
        <v>192</v>
      </c>
      <c r="J719" s="15">
        <v>0.8</v>
      </c>
      <c r="K719" s="2">
        <v>17.331552135851954</v>
      </c>
      <c r="L719" s="2">
        <f>SUM(TimeEntries144154[Time delta in h])</f>
        <v>18.598611110995989</v>
      </c>
      <c r="M719" s="16">
        <f>Tabelle7367145155[[#This Row],[EBS self time]]/Tabelle7367145155[[#This Row],[Total time]]</f>
        <v>0.93187346261598447</v>
      </c>
    </row>
    <row r="720" spans="1:13">
      <c r="I720" t="s">
        <v>193</v>
      </c>
      <c r="J720" s="15">
        <v>0.95</v>
      </c>
      <c r="K720" s="2">
        <v>17.331552135851954</v>
      </c>
      <c r="L720" s="2">
        <f>SUM(TimeEntries144154[Time delta in h])</f>
        <v>18.598611110995989</v>
      </c>
      <c r="M720" s="16">
        <f>Tabelle7367145155[[#This Row],[EBS self time]]/Tabelle7367145155[[#This Row],[Total time]]</f>
        <v>0.93187346261598447</v>
      </c>
    </row>
    <row r="722" spans="1:10">
      <c r="A722" t="s">
        <v>189</v>
      </c>
      <c r="B722" t="s">
        <v>273</v>
      </c>
      <c r="C722" t="s">
        <v>190</v>
      </c>
      <c r="D722">
        <v>18</v>
      </c>
      <c r="E722" t="s">
        <v>191</v>
      </c>
      <c r="F722">
        <v>13</v>
      </c>
    </row>
    <row r="723" spans="1:10">
      <c r="A723" s="4" t="s">
        <v>24</v>
      </c>
      <c r="I723" t="s">
        <v>135</v>
      </c>
      <c r="J723" t="s">
        <v>136</v>
      </c>
    </row>
    <row r="724" spans="1:10">
      <c r="A724" t="s">
        <v>3</v>
      </c>
      <c r="B724" t="s">
        <v>275</v>
      </c>
    </row>
    <row r="725" spans="1:10">
      <c r="A725" t="s">
        <v>77</v>
      </c>
      <c r="B725" s="2" t="s">
        <v>92</v>
      </c>
      <c r="C725" t="s">
        <v>4</v>
      </c>
    </row>
    <row r="726" spans="1:10">
      <c r="A726" t="s">
        <v>0</v>
      </c>
      <c r="B726" s="2">
        <f>SUM(TimeEntries146156160170[Time delta in h])</f>
        <v>11.734722222201526</v>
      </c>
      <c r="C726" t="s">
        <v>4</v>
      </c>
    </row>
    <row r="727" spans="1:10">
      <c r="A727" t="s">
        <v>13</v>
      </c>
      <c r="B727" s="5" t="s">
        <v>92</v>
      </c>
    </row>
    <row r="728" spans="1:10">
      <c r="A728" t="s">
        <v>14</v>
      </c>
      <c r="B728" s="5" t="s">
        <v>18</v>
      </c>
    </row>
    <row r="729" spans="1:10">
      <c r="A729" t="s">
        <v>1</v>
      </c>
      <c r="B729" t="s">
        <v>91</v>
      </c>
    </row>
    <row r="730" spans="1:10">
      <c r="A730" t="s">
        <v>15</v>
      </c>
      <c r="B730" s="5" t="s">
        <v>92</v>
      </c>
    </row>
    <row r="731" spans="1:10">
      <c r="A731" t="s">
        <v>2</v>
      </c>
    </row>
    <row r="732" spans="1:10">
      <c r="A732" t="s">
        <v>46</v>
      </c>
      <c r="B732" t="s">
        <v>273</v>
      </c>
    </row>
    <row r="733" spans="1:10">
      <c r="A733" t="s">
        <v>5</v>
      </c>
      <c r="B733" s="2" t="e">
        <f>B725/SUM(TimeEntries146156160170[Time delta in h])</f>
        <v>#VALUE!</v>
      </c>
      <c r="C733" t="s">
        <v>6</v>
      </c>
    </row>
    <row r="734" spans="1:10">
      <c r="A734" t="s">
        <v>93</v>
      </c>
    </row>
    <row r="735" spans="1:10">
      <c r="A735" t="s">
        <v>94</v>
      </c>
    </row>
    <row r="736" spans="1:10">
      <c r="A736" t="s">
        <v>129</v>
      </c>
      <c r="B736" s="1">
        <v>44161.951990740738</v>
      </c>
    </row>
    <row r="738" spans="1:13">
      <c r="A738" t="s">
        <v>10</v>
      </c>
      <c r="B738" t="s">
        <v>7</v>
      </c>
      <c r="C738" t="s">
        <v>8</v>
      </c>
      <c r="D738" t="s">
        <v>9</v>
      </c>
      <c r="E738" t="s">
        <v>134</v>
      </c>
      <c r="F738" t="s">
        <v>84</v>
      </c>
      <c r="G738" t="s">
        <v>85</v>
      </c>
      <c r="I738" t="s">
        <v>70</v>
      </c>
      <c r="J738" s="15" t="s">
        <v>68</v>
      </c>
      <c r="K738" s="2" t="s">
        <v>69</v>
      </c>
      <c r="L738" t="s">
        <v>71</v>
      </c>
      <c r="M738" t="s">
        <v>72</v>
      </c>
    </row>
    <row r="739" spans="1:13">
      <c r="A739" t="s">
        <v>126</v>
      </c>
      <c r="B739" s="1">
        <v>44161.463067129633</v>
      </c>
      <c r="C739" s="1">
        <v>44161.952013888891</v>
      </c>
      <c r="D739" s="2">
        <f>MAX((TimeEntries146156160170[[#This Row],[End time]]-TimeEntries146156160170[[#This Row],[Start time]])*24,0)</f>
        <v>11.734722222201526</v>
      </c>
      <c r="F739" s="54" t="s">
        <v>184</v>
      </c>
      <c r="G739" s="22" t="s">
        <v>185</v>
      </c>
      <c r="J739" s="15"/>
      <c r="K739" s="2"/>
      <c r="L739" s="2">
        <f>SUM(TimeEntries146156160170[Time delta in h])</f>
        <v>11.734722222201526</v>
      </c>
      <c r="M739" s="16">
        <f>Tabelle7367147157161171[[#This Row],[EBS self time]]/Tabelle7367147157161171[[#This Row],[Total time]]</f>
        <v>0</v>
      </c>
    </row>
    <row r="740" spans="1:13">
      <c r="B740" s="1"/>
      <c r="C740" s="1"/>
      <c r="D740" s="2"/>
    </row>
    <row r="742" spans="1:13">
      <c r="A742" t="s">
        <v>189</v>
      </c>
      <c r="B742" t="s">
        <v>276</v>
      </c>
      <c r="C742" t="s">
        <v>190</v>
      </c>
      <c r="D742">
        <v>23</v>
      </c>
      <c r="E742" t="s">
        <v>191</v>
      </c>
      <c r="F742">
        <v>13</v>
      </c>
    </row>
    <row r="743" spans="1:13">
      <c r="A743" s="4" t="s">
        <v>24</v>
      </c>
      <c r="I743" t="s">
        <v>135</v>
      </c>
      <c r="J743" t="s">
        <v>136</v>
      </c>
    </row>
    <row r="744" spans="1:13">
      <c r="A744" t="s">
        <v>3</v>
      </c>
      <c r="B744" t="s">
        <v>278</v>
      </c>
    </row>
    <row r="745" spans="1:13">
      <c r="A745" t="s">
        <v>77</v>
      </c>
      <c r="B745" s="2">
        <v>13.444573402404785</v>
      </c>
      <c r="C745" t="s">
        <v>4</v>
      </c>
    </row>
    <row r="746" spans="1:13">
      <c r="A746" t="s">
        <v>0</v>
      </c>
      <c r="B746" s="2">
        <f>SUM(TimeEntries162172[Time delta in h])</f>
        <v>0.67777777783339843</v>
      </c>
      <c r="C746" t="s">
        <v>4</v>
      </c>
    </row>
    <row r="747" spans="1:13">
      <c r="A747" t="s">
        <v>13</v>
      </c>
      <c r="B747" s="5" t="s">
        <v>92</v>
      </c>
    </row>
    <row r="748" spans="1:13">
      <c r="A748" t="s">
        <v>14</v>
      </c>
      <c r="B748" s="5" t="s">
        <v>18</v>
      </c>
    </row>
    <row r="749" spans="1:13">
      <c r="A749" t="s">
        <v>1</v>
      </c>
      <c r="B749" t="s">
        <v>91</v>
      </c>
    </row>
    <row r="750" spans="1:13">
      <c r="A750" t="s">
        <v>15</v>
      </c>
      <c r="B750" s="5" t="s">
        <v>92</v>
      </c>
    </row>
    <row r="751" spans="1:13">
      <c r="A751" t="s">
        <v>2</v>
      </c>
    </row>
    <row r="752" spans="1:13">
      <c r="A752" t="s">
        <v>46</v>
      </c>
      <c r="B752" t="s">
        <v>276</v>
      </c>
    </row>
    <row r="753" spans="1:13">
      <c r="A753" t="s">
        <v>5</v>
      </c>
      <c r="B753" s="2">
        <f>B745/SUM(TimeEntries162172[Time delta in h])</f>
        <v>19.836255837985789</v>
      </c>
      <c r="C753" t="s">
        <v>6</v>
      </c>
    </row>
    <row r="754" spans="1:13">
      <c r="A754" t="s">
        <v>93</v>
      </c>
    </row>
    <row r="755" spans="1:13">
      <c r="A755" t="s">
        <v>94</v>
      </c>
    </row>
    <row r="756" spans="1:13">
      <c r="A756" t="s">
        <v>129</v>
      </c>
      <c r="B756" s="1">
        <v>44161.952013888891</v>
      </c>
    </row>
    <row r="758" spans="1:13">
      <c r="A758" t="s">
        <v>10</v>
      </c>
      <c r="B758" t="s">
        <v>7</v>
      </c>
      <c r="C758" t="s">
        <v>8</v>
      </c>
      <c r="D758" t="s">
        <v>9</v>
      </c>
      <c r="E758" t="s">
        <v>134</v>
      </c>
      <c r="F758" t="s">
        <v>84</v>
      </c>
      <c r="G758" t="s">
        <v>85</v>
      </c>
      <c r="I758" t="s">
        <v>70</v>
      </c>
      <c r="J758" s="15" t="s">
        <v>68</v>
      </c>
      <c r="K758" s="2" t="s">
        <v>69</v>
      </c>
      <c r="L758" t="s">
        <v>71</v>
      </c>
      <c r="M758" t="s">
        <v>72</v>
      </c>
    </row>
    <row r="759" spans="1:13">
      <c r="A759" t="s">
        <v>126</v>
      </c>
      <c r="B759" s="1">
        <v>44161.923773148148</v>
      </c>
      <c r="C759" s="1">
        <v>44161.952013888891</v>
      </c>
      <c r="D759" s="2">
        <f>MAX((TimeEntries162172[[#This Row],[End time]]-TimeEntries162172[[#This Row],[Start time]])*24,0)</f>
        <v>0.67777777783339843</v>
      </c>
      <c r="F759" s="54" t="s">
        <v>184</v>
      </c>
      <c r="G759" s="22" t="s">
        <v>185</v>
      </c>
      <c r="I759" t="s">
        <v>126</v>
      </c>
      <c r="J759" s="15">
        <v>0.05</v>
      </c>
      <c r="K759" s="2">
        <v>6.7222867012023926</v>
      </c>
      <c r="L759" s="2">
        <f>SUM(TimeEntries162172[Time delta in h])</f>
        <v>0.67777777783339843</v>
      </c>
      <c r="M759" s="16">
        <f>Tabelle7367163173[[#This Row],[EBS self time]]/Tabelle7367163173[[#This Row],[Total time]]</f>
        <v>9.9181279189928944</v>
      </c>
    </row>
    <row r="760" spans="1:13">
      <c r="B760" s="1"/>
      <c r="C760" s="1"/>
      <c r="D760" s="2"/>
      <c r="I760" t="s">
        <v>127</v>
      </c>
      <c r="J760" s="15">
        <v>0.2</v>
      </c>
      <c r="K760" s="2">
        <v>6.7222867012023926</v>
      </c>
      <c r="L760" s="2">
        <f>SUM(TimeEntries162172[Time delta in h])</f>
        <v>0.67777777783339843</v>
      </c>
      <c r="M760" s="16">
        <f>Tabelle7367163173[[#This Row],[EBS self time]]/Tabelle7367163173[[#This Row],[Total time]]</f>
        <v>9.9181279189928944</v>
      </c>
    </row>
    <row r="761" spans="1:13">
      <c r="I761" t="s">
        <v>169</v>
      </c>
      <c r="J761" s="15">
        <v>0.35</v>
      </c>
      <c r="K761" s="2">
        <v>6.7222867012023926</v>
      </c>
      <c r="L761" s="2">
        <f>SUM(TimeEntries162172[Time delta in h])</f>
        <v>0.67777777783339843</v>
      </c>
      <c r="M761" s="16">
        <f>Tabelle7367163173[[#This Row],[EBS self time]]/Tabelle7367163173[[#This Row],[Total time]]</f>
        <v>9.9181279189928944</v>
      </c>
    </row>
    <row r="762" spans="1:13">
      <c r="I762" t="s">
        <v>172</v>
      </c>
      <c r="J762" s="15">
        <v>0.5</v>
      </c>
      <c r="K762" s="2">
        <v>6.7222867012023926</v>
      </c>
      <c r="L762" s="2">
        <f>SUM(TimeEntries162172[Time delta in h])</f>
        <v>0.67777777783339843</v>
      </c>
      <c r="M762" s="16">
        <f>Tabelle7367163173[[#This Row],[EBS self time]]/Tabelle7367163173[[#This Row],[Total time]]</f>
        <v>9.9181279189928944</v>
      </c>
    </row>
    <row r="763" spans="1:13">
      <c r="I763" t="s">
        <v>187</v>
      </c>
      <c r="J763" s="15">
        <v>0.65</v>
      </c>
      <c r="K763" s="2">
        <v>26.055374810861984</v>
      </c>
      <c r="L763" s="2">
        <f>SUM(TimeEntries162172[Time delta in h])</f>
        <v>0.67777777783339843</v>
      </c>
      <c r="M763" s="16">
        <f>Tabelle7367163173[[#This Row],[EBS self time]]/Tabelle7367163173[[#This Row],[Total time]]</f>
        <v>38.442356275166254</v>
      </c>
    </row>
    <row r="764" spans="1:13">
      <c r="I764" t="s">
        <v>192</v>
      </c>
      <c r="J764" s="15">
        <v>0.8</v>
      </c>
      <c r="K764" s="2">
        <v>26.055374810861984</v>
      </c>
      <c r="L764" s="2">
        <f>SUM(TimeEntries162172[Time delta in h])</f>
        <v>0.67777777783339843</v>
      </c>
      <c r="M764" s="16">
        <f>Tabelle7367163173[[#This Row],[EBS self time]]/Tabelle7367163173[[#This Row],[Total time]]</f>
        <v>38.442356275166254</v>
      </c>
    </row>
    <row r="765" spans="1:13">
      <c r="I765" t="s">
        <v>193</v>
      </c>
      <c r="J765" s="15">
        <v>0.95</v>
      </c>
      <c r="K765" s="2">
        <v>26.055374810861984</v>
      </c>
      <c r="L765" s="2">
        <f>SUM(TimeEntries162172[Time delta in h])</f>
        <v>0.67777777783339843</v>
      </c>
      <c r="M765" s="16">
        <f>Tabelle7367163173[[#This Row],[EBS self time]]/Tabelle7367163173[[#This Row],[Total time]]</f>
        <v>38.442356275166254</v>
      </c>
    </row>
    <row r="767" spans="1:13">
      <c r="A767" t="s">
        <v>189</v>
      </c>
      <c r="B767" t="s">
        <v>279</v>
      </c>
      <c r="C767" t="s">
        <v>190</v>
      </c>
      <c r="D767">
        <v>23</v>
      </c>
      <c r="E767" t="s">
        <v>191</v>
      </c>
      <c r="F767">
        <v>13</v>
      </c>
    </row>
    <row r="768" spans="1:13">
      <c r="A768" s="4" t="s">
        <v>24</v>
      </c>
      <c r="I768" t="s">
        <v>135</v>
      </c>
      <c r="J768" t="s">
        <v>136</v>
      </c>
    </row>
    <row r="769" spans="1:13">
      <c r="A769" t="s">
        <v>3</v>
      </c>
      <c r="B769" t="s">
        <v>281</v>
      </c>
    </row>
    <row r="770" spans="1:13">
      <c r="A770" t="s">
        <v>77</v>
      </c>
      <c r="B770" s="2">
        <v>3.1368770599365234</v>
      </c>
      <c r="C770" t="s">
        <v>4</v>
      </c>
    </row>
    <row r="771" spans="1:13">
      <c r="A771" t="s">
        <v>0</v>
      </c>
      <c r="B771" s="2">
        <f>SUM(TimeEntries164174[Time delta in h])</f>
        <v>4.8930555555853061</v>
      </c>
      <c r="C771" t="s">
        <v>4</v>
      </c>
    </row>
    <row r="772" spans="1:13">
      <c r="A772" t="s">
        <v>13</v>
      </c>
      <c r="B772" s="5" t="s">
        <v>92</v>
      </c>
    </row>
    <row r="773" spans="1:13">
      <c r="A773" t="s">
        <v>14</v>
      </c>
      <c r="B773" s="5" t="s">
        <v>18</v>
      </c>
    </row>
    <row r="774" spans="1:13">
      <c r="A774" t="s">
        <v>1</v>
      </c>
      <c r="B774" t="s">
        <v>131</v>
      </c>
    </row>
    <row r="775" spans="1:13">
      <c r="A775" t="s">
        <v>15</v>
      </c>
      <c r="B775" s="5">
        <v>44161.952025462961</v>
      </c>
    </row>
    <row r="776" spans="1:13">
      <c r="A776" t="s">
        <v>2</v>
      </c>
    </row>
    <row r="777" spans="1:13">
      <c r="A777" t="s">
        <v>46</v>
      </c>
      <c r="B777" t="s">
        <v>279</v>
      </c>
    </row>
    <row r="778" spans="1:13">
      <c r="A778" t="s">
        <v>5</v>
      </c>
      <c r="B778" s="2">
        <f>B770/SUM(TimeEntries164174[Time delta in h])</f>
        <v>0.64108756262860189</v>
      </c>
      <c r="C778" t="s">
        <v>6</v>
      </c>
    </row>
    <row r="779" spans="1:13">
      <c r="A779" t="s">
        <v>93</v>
      </c>
    </row>
    <row r="780" spans="1:13">
      <c r="A780" t="s">
        <v>94</v>
      </c>
    </row>
    <row r="781" spans="1:13">
      <c r="A781" t="s">
        <v>129</v>
      </c>
      <c r="B781" s="1">
        <v>44161.952013888891</v>
      </c>
    </row>
    <row r="783" spans="1:13">
      <c r="A783" t="s">
        <v>10</v>
      </c>
      <c r="B783" t="s">
        <v>7</v>
      </c>
      <c r="C783" t="s">
        <v>8</v>
      </c>
      <c r="D783" t="s">
        <v>9</v>
      </c>
      <c r="E783" t="s">
        <v>134</v>
      </c>
      <c r="F783" t="s">
        <v>84</v>
      </c>
      <c r="G783" t="s">
        <v>85</v>
      </c>
      <c r="I783" t="s">
        <v>70</v>
      </c>
      <c r="J783" s="15" t="s">
        <v>68</v>
      </c>
      <c r="K783" s="2" t="s">
        <v>69</v>
      </c>
      <c r="L783" t="s">
        <v>71</v>
      </c>
      <c r="M783" t="s">
        <v>72</v>
      </c>
    </row>
    <row r="784" spans="1:13">
      <c r="A784" t="s">
        <v>126</v>
      </c>
      <c r="B784" s="1">
        <v>44161.748148148145</v>
      </c>
      <c r="C784" s="1">
        <v>44161.952025462961</v>
      </c>
      <c r="D784" s="2">
        <f>MAX((TimeEntries164174[[#This Row],[End time]]-TimeEntries164174[[#This Row],[Start time]])*24,0)</f>
        <v>4.8930555555853061</v>
      </c>
      <c r="F784" s="54" t="s">
        <v>184</v>
      </c>
      <c r="G784" s="22" t="s">
        <v>185</v>
      </c>
      <c r="I784" t="s">
        <v>126</v>
      </c>
      <c r="J784" s="15">
        <v>0.05</v>
      </c>
      <c r="K784" s="2">
        <v>1.5684385299682617</v>
      </c>
      <c r="L784" s="2">
        <f>SUM(TimeEntries164174[Time delta in h])</f>
        <v>4.8930555555853061</v>
      </c>
      <c r="M784" s="16">
        <f>Tabelle7367165175[[#This Row],[EBS self time]]/Tabelle7367165175[[#This Row],[Total time]]</f>
        <v>0.32054378131430095</v>
      </c>
    </row>
    <row r="785" spans="1:13">
      <c r="B785" s="1"/>
      <c r="C785" s="1"/>
      <c r="D785" s="2"/>
      <c r="I785" t="s">
        <v>127</v>
      </c>
      <c r="J785" s="15">
        <v>0.2</v>
      </c>
      <c r="K785" s="2">
        <v>1.5684385299682617</v>
      </c>
      <c r="L785" s="2">
        <f>SUM(TimeEntries164174[Time delta in h])</f>
        <v>4.8930555555853061</v>
      </c>
      <c r="M785" s="16">
        <f>Tabelle7367165175[[#This Row],[EBS self time]]/Tabelle7367165175[[#This Row],[Total time]]</f>
        <v>0.32054378131430095</v>
      </c>
    </row>
    <row r="786" spans="1:13">
      <c r="I786" t="s">
        <v>169</v>
      </c>
      <c r="J786" s="15">
        <v>0.35</v>
      </c>
      <c r="K786" s="2">
        <v>1.5684385299682617</v>
      </c>
      <c r="L786" s="2">
        <f>SUM(TimeEntries164174[Time delta in h])</f>
        <v>4.8930555555853061</v>
      </c>
      <c r="M786" s="16">
        <f>Tabelle7367165175[[#This Row],[EBS self time]]/Tabelle7367165175[[#This Row],[Total time]]</f>
        <v>0.32054378131430095</v>
      </c>
    </row>
    <row r="787" spans="1:13">
      <c r="I787" t="s">
        <v>172</v>
      </c>
      <c r="J787" s="15">
        <v>0.5</v>
      </c>
      <c r="K787" s="2">
        <v>1.5684385299682617</v>
      </c>
      <c r="L787" s="2">
        <f>SUM(TimeEntries164174[Time delta in h])</f>
        <v>4.8930555555853061</v>
      </c>
      <c r="M787" s="16">
        <f>Tabelle7367165175[[#This Row],[EBS self time]]/Tabelle7367165175[[#This Row],[Total time]]</f>
        <v>0.32054378131430095</v>
      </c>
    </row>
    <row r="788" spans="1:13">
      <c r="I788" t="s">
        <v>187</v>
      </c>
      <c r="J788" s="15">
        <v>0.65</v>
      </c>
      <c r="K788" s="2">
        <v>1.5684385299682617</v>
      </c>
      <c r="L788" s="2">
        <f>SUM(TimeEntries164174[Time delta in h])</f>
        <v>4.8930555555853061</v>
      </c>
      <c r="M788" s="16">
        <f>Tabelle7367165175[[#This Row],[EBS self time]]/Tabelle7367165175[[#This Row],[Total time]]</f>
        <v>0.32054378131430095</v>
      </c>
    </row>
    <row r="789" spans="1:13">
      <c r="I789" t="s">
        <v>192</v>
      </c>
      <c r="J789" s="15">
        <v>0.8</v>
      </c>
      <c r="K789" s="2">
        <v>6.0792191084041152</v>
      </c>
      <c r="L789" s="2">
        <f>SUM(TimeEntries164174[Time delta in h])</f>
        <v>4.8930555555853061</v>
      </c>
      <c r="M789" s="16">
        <f>Tabelle7367165175[[#This Row],[EBS self time]]/Tabelle7367165175[[#This Row],[Total time]]</f>
        <v>1.2424177570321742</v>
      </c>
    </row>
    <row r="790" spans="1:13">
      <c r="I790" t="s">
        <v>193</v>
      </c>
      <c r="J790" s="15">
        <v>0.95</v>
      </c>
      <c r="K790" s="2">
        <v>6.0792191084041152</v>
      </c>
      <c r="L790" s="2">
        <f>SUM(TimeEntries164174[Time delta in h])</f>
        <v>4.8930555555853061</v>
      </c>
      <c r="M790" s="16">
        <f>Tabelle7367165175[[#This Row],[EBS self time]]/Tabelle7367165175[[#This Row],[Total time]]</f>
        <v>1.2424177570321742</v>
      </c>
    </row>
    <row r="792" spans="1:13">
      <c r="A792" t="s">
        <v>189</v>
      </c>
      <c r="B792" t="s">
        <v>282</v>
      </c>
      <c r="C792" t="s">
        <v>190</v>
      </c>
      <c r="D792">
        <v>23</v>
      </c>
      <c r="E792" t="s">
        <v>191</v>
      </c>
      <c r="F792">
        <v>13</v>
      </c>
    </row>
    <row r="793" spans="1:13">
      <c r="A793" s="4" t="s">
        <v>24</v>
      </c>
      <c r="I793" t="s">
        <v>135</v>
      </c>
      <c r="J793" t="s">
        <v>136</v>
      </c>
    </row>
    <row r="794" spans="1:13">
      <c r="A794" t="s">
        <v>3</v>
      </c>
      <c r="B794" t="s">
        <v>284</v>
      </c>
    </row>
    <row r="795" spans="1:13">
      <c r="A795" t="s">
        <v>77</v>
      </c>
      <c r="B795" s="2">
        <v>7.3267736434936523</v>
      </c>
      <c r="C795" t="s">
        <v>4</v>
      </c>
    </row>
    <row r="796" spans="1:13">
      <c r="A796" t="s">
        <v>0</v>
      </c>
      <c r="B796" s="2">
        <f>SUM(TimeEntries166176[Time delta in h])</f>
        <v>16.818055555515457</v>
      </c>
      <c r="C796" t="s">
        <v>4</v>
      </c>
    </row>
    <row r="797" spans="1:13">
      <c r="A797" t="s">
        <v>13</v>
      </c>
      <c r="B797" s="5" t="s">
        <v>92</v>
      </c>
    </row>
    <row r="798" spans="1:13">
      <c r="A798" t="s">
        <v>14</v>
      </c>
      <c r="B798" s="5" t="s">
        <v>18</v>
      </c>
    </row>
    <row r="799" spans="1:13">
      <c r="A799" t="s">
        <v>1</v>
      </c>
      <c r="B799" t="s">
        <v>91</v>
      </c>
    </row>
    <row r="800" spans="1:13">
      <c r="A800" t="s">
        <v>15</v>
      </c>
      <c r="B800" s="5" t="s">
        <v>92</v>
      </c>
    </row>
    <row r="801" spans="1:13">
      <c r="A801" t="s">
        <v>2</v>
      </c>
    </row>
    <row r="802" spans="1:13">
      <c r="A802" t="s">
        <v>46</v>
      </c>
      <c r="B802" t="s">
        <v>282</v>
      </c>
    </row>
    <row r="803" spans="1:13">
      <c r="A803" t="s">
        <v>5</v>
      </c>
      <c r="B803" s="2">
        <f>B795/SUM(TimeEntries166176[Time delta in h])</f>
        <v>0.43564927106515877</v>
      </c>
      <c r="C803" t="s">
        <v>6</v>
      </c>
    </row>
    <row r="804" spans="1:13">
      <c r="A804" t="s">
        <v>93</v>
      </c>
    </row>
    <row r="805" spans="1:13">
      <c r="A805" t="s">
        <v>94</v>
      </c>
    </row>
    <row r="806" spans="1:13">
      <c r="A806" t="s">
        <v>129</v>
      </c>
      <c r="B806" s="1">
        <v>44161.952025462961</v>
      </c>
    </row>
    <row r="808" spans="1:13">
      <c r="A808" t="s">
        <v>10</v>
      </c>
      <c r="B808" t="s">
        <v>7</v>
      </c>
      <c r="C808" t="s">
        <v>8</v>
      </c>
      <c r="D808" t="s">
        <v>9</v>
      </c>
      <c r="E808" t="s">
        <v>134</v>
      </c>
      <c r="F808" t="s">
        <v>84</v>
      </c>
      <c r="G808" t="s">
        <v>85</v>
      </c>
      <c r="I808" t="s">
        <v>70</v>
      </c>
      <c r="J808" s="15" t="s">
        <v>68</v>
      </c>
      <c r="K808" s="2" t="s">
        <v>69</v>
      </c>
      <c r="L808" t="s">
        <v>71</v>
      </c>
      <c r="M808" t="s">
        <v>72</v>
      </c>
    </row>
    <row r="809" spans="1:13">
      <c r="A809" t="s">
        <v>126</v>
      </c>
      <c r="B809" s="1">
        <v>44161.251273148147</v>
      </c>
      <c r="C809" s="1">
        <v>44161.952025462961</v>
      </c>
      <c r="D809" s="2">
        <f>MAX((TimeEntries166176[[#This Row],[End time]]-TimeEntries166176[[#This Row],[Start time]])*24,0)</f>
        <v>16.818055555515457</v>
      </c>
      <c r="F809" s="54" t="s">
        <v>184</v>
      </c>
      <c r="G809" s="22" t="s">
        <v>185</v>
      </c>
      <c r="I809" t="s">
        <v>126</v>
      </c>
      <c r="J809" s="15">
        <v>0.05</v>
      </c>
      <c r="K809" s="2">
        <v>3.6633868217468262</v>
      </c>
      <c r="L809" s="2">
        <f>SUM(TimeEntries166176[Time delta in h])</f>
        <v>16.818055555515457</v>
      </c>
      <c r="M809" s="16">
        <f>Tabelle7367167177[[#This Row],[EBS self time]]/Tabelle7367167177[[#This Row],[Total time]]</f>
        <v>0.21782463553257939</v>
      </c>
    </row>
    <row r="810" spans="1:13">
      <c r="B810" s="1"/>
      <c r="C810" s="1"/>
      <c r="D810" s="2"/>
      <c r="I810" t="s">
        <v>127</v>
      </c>
      <c r="J810" s="15">
        <v>0.2</v>
      </c>
      <c r="K810" s="2">
        <v>3.6633868217468262</v>
      </c>
      <c r="L810" s="2">
        <f>SUM(TimeEntries166176[Time delta in h])</f>
        <v>16.818055555515457</v>
      </c>
      <c r="M810" s="16">
        <f>Tabelle7367167177[[#This Row],[EBS self time]]/Tabelle7367167177[[#This Row],[Total time]]</f>
        <v>0.21782463553257939</v>
      </c>
    </row>
    <row r="811" spans="1:13">
      <c r="I811" t="s">
        <v>169</v>
      </c>
      <c r="J811" s="15">
        <v>0.35</v>
      </c>
      <c r="K811" s="2">
        <v>3.6633868217468262</v>
      </c>
      <c r="L811" s="2">
        <f>SUM(TimeEntries166176[Time delta in h])</f>
        <v>16.818055555515457</v>
      </c>
      <c r="M811" s="16">
        <f>Tabelle7367167177[[#This Row],[EBS self time]]/Tabelle7367167177[[#This Row],[Total time]]</f>
        <v>0.21782463553257939</v>
      </c>
    </row>
    <row r="812" spans="1:13">
      <c r="I812" t="s">
        <v>172</v>
      </c>
      <c r="J812" s="15">
        <v>0.5</v>
      </c>
      <c r="K812" s="2">
        <v>3.6633868217468262</v>
      </c>
      <c r="L812" s="2">
        <f>SUM(TimeEntries166176[Time delta in h])</f>
        <v>16.818055555515457</v>
      </c>
      <c r="M812" s="16">
        <f>Tabelle7367167177[[#This Row],[EBS self time]]/Tabelle7367167177[[#This Row],[Total time]]</f>
        <v>0.21782463553257939</v>
      </c>
    </row>
    <row r="813" spans="1:13">
      <c r="I813" t="s">
        <v>187</v>
      </c>
      <c r="J813" s="15">
        <v>0.65</v>
      </c>
      <c r="K813" s="2">
        <v>8.1410962567773009</v>
      </c>
      <c r="L813" s="2">
        <f>SUM(TimeEntries166176[Time delta in h])</f>
        <v>16.818055555515457</v>
      </c>
      <c r="M813" s="16">
        <f>Tabelle7367167177[[#This Row],[EBS self time]]/Tabelle7367167177[[#This Row],[Total time]]</f>
        <v>0.4840688169868389</v>
      </c>
    </row>
    <row r="814" spans="1:13">
      <c r="I814" t="s">
        <v>192</v>
      </c>
      <c r="J814" s="15">
        <v>0.8</v>
      </c>
      <c r="K814" s="2">
        <v>14.199173727700876</v>
      </c>
      <c r="L814" s="2">
        <f>SUM(TimeEntries166176[Time delta in h])</f>
        <v>16.818055555515457</v>
      </c>
      <c r="M814" s="16">
        <f>Tabelle7367167177[[#This Row],[EBS self time]]/Tabelle7367167177[[#This Row],[Total time]]</f>
        <v>0.84428153307201304</v>
      </c>
    </row>
    <row r="815" spans="1:13">
      <c r="I815" t="s">
        <v>193</v>
      </c>
      <c r="J815" s="15">
        <v>0.95</v>
      </c>
      <c r="K815" s="2">
        <v>14.199173727700876</v>
      </c>
      <c r="L815" s="2">
        <f>SUM(TimeEntries166176[Time delta in h])</f>
        <v>16.818055555515457</v>
      </c>
      <c r="M815" s="16">
        <f>Tabelle7367167177[[#This Row],[EBS self time]]/Tabelle7367167177[[#This Row],[Total time]]</f>
        <v>0.84428153307201304</v>
      </c>
    </row>
    <row r="817" spans="1:10">
      <c r="A817" t="s">
        <v>189</v>
      </c>
      <c r="B817" t="s">
        <v>285</v>
      </c>
      <c r="C817" t="s">
        <v>190</v>
      </c>
      <c r="D817">
        <v>18</v>
      </c>
      <c r="E817" t="s">
        <v>191</v>
      </c>
      <c r="F817">
        <v>13</v>
      </c>
    </row>
    <row r="818" spans="1:10">
      <c r="A818" s="4" t="s">
        <v>24</v>
      </c>
      <c r="I818" t="s">
        <v>135</v>
      </c>
      <c r="J818" t="s">
        <v>136</v>
      </c>
    </row>
    <row r="819" spans="1:10">
      <c r="A819" t="s">
        <v>3</v>
      </c>
      <c r="B819" t="s">
        <v>287</v>
      </c>
    </row>
    <row r="820" spans="1:10">
      <c r="A820" t="s">
        <v>77</v>
      </c>
      <c r="B820" s="2" t="s">
        <v>92</v>
      </c>
      <c r="C820" t="s">
        <v>4</v>
      </c>
    </row>
    <row r="821" spans="1:10">
      <c r="A821" t="s">
        <v>0</v>
      </c>
      <c r="B821" s="2">
        <f>SUM(TimeEntries168178182192[Time delta in h])</f>
        <v>11.053611111128703</v>
      </c>
      <c r="C821" t="s">
        <v>4</v>
      </c>
    </row>
    <row r="822" spans="1:10">
      <c r="A822" t="s">
        <v>13</v>
      </c>
      <c r="B822" s="5" t="s">
        <v>92</v>
      </c>
    </row>
    <row r="823" spans="1:10">
      <c r="A823" t="s">
        <v>14</v>
      </c>
      <c r="B823" s="5" t="s">
        <v>18</v>
      </c>
    </row>
    <row r="824" spans="1:10">
      <c r="A824" t="s">
        <v>1</v>
      </c>
      <c r="B824" t="s">
        <v>91</v>
      </c>
    </row>
    <row r="825" spans="1:10">
      <c r="A825" t="s">
        <v>15</v>
      </c>
      <c r="B825" s="5" t="s">
        <v>92</v>
      </c>
    </row>
    <row r="826" spans="1:10">
      <c r="A826" t="s">
        <v>2</v>
      </c>
    </row>
    <row r="827" spans="1:10">
      <c r="A827" t="s">
        <v>46</v>
      </c>
      <c r="B827" t="s">
        <v>285</v>
      </c>
    </row>
    <row r="828" spans="1:10">
      <c r="A828" t="s">
        <v>5</v>
      </c>
      <c r="B828" s="2" t="e">
        <f>B820/SUM(TimeEntries168178182192[Time delta in h])</f>
        <v>#VALUE!</v>
      </c>
      <c r="C828" t="s">
        <v>6</v>
      </c>
    </row>
    <row r="829" spans="1:10">
      <c r="A829" t="s">
        <v>93</v>
      </c>
    </row>
    <row r="830" spans="1:10">
      <c r="A830" t="s">
        <v>94</v>
      </c>
    </row>
    <row r="831" spans="1:10">
      <c r="A831" t="s">
        <v>129</v>
      </c>
      <c r="B831" s="1">
        <v>44161.952037037037</v>
      </c>
    </row>
    <row r="833" spans="1:13">
      <c r="A833" t="s">
        <v>10</v>
      </c>
      <c r="B833" t="s">
        <v>7</v>
      </c>
      <c r="C833" t="s">
        <v>8</v>
      </c>
      <c r="D833" t="s">
        <v>9</v>
      </c>
      <c r="E833" t="s">
        <v>134</v>
      </c>
      <c r="F833" t="s">
        <v>84</v>
      </c>
      <c r="G833" t="s">
        <v>85</v>
      </c>
      <c r="I833" t="s">
        <v>70</v>
      </c>
      <c r="J833" s="15" t="s">
        <v>68</v>
      </c>
      <c r="K833" s="2" t="s">
        <v>69</v>
      </c>
      <c r="L833" t="s">
        <v>71</v>
      </c>
      <c r="M833" t="s">
        <v>72</v>
      </c>
    </row>
    <row r="834" spans="1:13">
      <c r="A834" t="s">
        <v>126</v>
      </c>
      <c r="B834" s="1">
        <v>44161.491481481484</v>
      </c>
      <c r="C834" s="1">
        <v>44161.952048611114</v>
      </c>
      <c r="D834" s="2">
        <f>MAX((TimeEntries168178182192[[#This Row],[End time]]-TimeEntries168178182192[[#This Row],[Start time]])*24,0)</f>
        <v>11.053611111128703</v>
      </c>
      <c r="F834" s="54" t="s">
        <v>184</v>
      </c>
      <c r="G834" s="22" t="s">
        <v>185</v>
      </c>
      <c r="J834" s="15"/>
      <c r="K834" s="2"/>
      <c r="L834" s="2">
        <f>SUM(TimeEntries168178182192[Time delta in h])</f>
        <v>11.053611111128703</v>
      </c>
      <c r="M834" s="16">
        <f>Tabelle7367169179183193[[#This Row],[EBS self time]]/Tabelle7367169179183193[[#This Row],[Total time]]</f>
        <v>0</v>
      </c>
    </row>
    <row r="835" spans="1:13">
      <c r="B835" s="1"/>
      <c r="C835" s="1"/>
      <c r="D835" s="2"/>
    </row>
    <row r="837" spans="1:13">
      <c r="A837" t="s">
        <v>189</v>
      </c>
      <c r="B837" t="s">
        <v>288</v>
      </c>
      <c r="C837" t="s">
        <v>190</v>
      </c>
      <c r="D837">
        <v>23</v>
      </c>
      <c r="E837" t="s">
        <v>191</v>
      </c>
      <c r="F837">
        <v>13</v>
      </c>
    </row>
    <row r="838" spans="1:13">
      <c r="A838" s="4" t="s">
        <v>24</v>
      </c>
      <c r="I838" t="s">
        <v>135</v>
      </c>
      <c r="J838" t="s">
        <v>136</v>
      </c>
    </row>
    <row r="839" spans="1:13">
      <c r="A839" t="s">
        <v>3</v>
      </c>
      <c r="B839" t="s">
        <v>290</v>
      </c>
    </row>
    <row r="840" spans="1:13">
      <c r="A840" t="s">
        <v>77</v>
      </c>
      <c r="B840" s="2">
        <v>5.85870361328125</v>
      </c>
      <c r="C840" t="s">
        <v>4</v>
      </c>
    </row>
    <row r="841" spans="1:13">
      <c r="A841" t="s">
        <v>0</v>
      </c>
      <c r="B841" s="2">
        <f>SUM(TimeEntries184194[Time delta in h])</f>
        <v>5.9252777777728625</v>
      </c>
      <c r="C841" t="s">
        <v>4</v>
      </c>
    </row>
    <row r="842" spans="1:13">
      <c r="A842" t="s">
        <v>13</v>
      </c>
      <c r="B842" s="5" t="s">
        <v>92</v>
      </c>
    </row>
    <row r="843" spans="1:13">
      <c r="A843" t="s">
        <v>14</v>
      </c>
      <c r="B843" s="5" t="s">
        <v>18</v>
      </c>
    </row>
    <row r="844" spans="1:13">
      <c r="A844" t="s">
        <v>1</v>
      </c>
      <c r="B844" t="s">
        <v>91</v>
      </c>
    </row>
    <row r="845" spans="1:13">
      <c r="A845" t="s">
        <v>15</v>
      </c>
      <c r="B845" s="5" t="s">
        <v>92</v>
      </c>
    </row>
    <row r="846" spans="1:13">
      <c r="A846" t="s">
        <v>2</v>
      </c>
    </row>
    <row r="847" spans="1:13">
      <c r="A847" t="s">
        <v>46</v>
      </c>
      <c r="B847" t="s">
        <v>288</v>
      </c>
    </row>
    <row r="848" spans="1:13">
      <c r="A848" t="s">
        <v>5</v>
      </c>
      <c r="B848" s="2">
        <f>B840/SUM(TimeEntries184194[Time delta in h])</f>
        <v>0.98876438084618612</v>
      </c>
      <c r="C848" t="s">
        <v>6</v>
      </c>
    </row>
    <row r="849" spans="1:13">
      <c r="A849" t="s">
        <v>93</v>
      </c>
    </row>
    <row r="850" spans="1:13">
      <c r="A850" t="s">
        <v>94</v>
      </c>
    </row>
    <row r="851" spans="1:13">
      <c r="A851" t="s">
        <v>129</v>
      </c>
      <c r="B851" s="1">
        <v>44161.952060185184</v>
      </c>
    </row>
    <row r="853" spans="1:13">
      <c r="A853" t="s">
        <v>10</v>
      </c>
      <c r="B853" t="s">
        <v>7</v>
      </c>
      <c r="C853" t="s">
        <v>8</v>
      </c>
      <c r="D853" t="s">
        <v>9</v>
      </c>
      <c r="E853" t="s">
        <v>134</v>
      </c>
      <c r="F853" t="s">
        <v>84</v>
      </c>
      <c r="G853" t="s">
        <v>85</v>
      </c>
      <c r="I853" t="s">
        <v>70</v>
      </c>
      <c r="J853" s="15" t="s">
        <v>68</v>
      </c>
      <c r="K853" s="2" t="s">
        <v>69</v>
      </c>
      <c r="L853" t="s">
        <v>71</v>
      </c>
      <c r="M853" t="s">
        <v>72</v>
      </c>
    </row>
    <row r="854" spans="1:13">
      <c r="A854" t="s">
        <v>126</v>
      </c>
      <c r="B854" s="1">
        <v>44161.70517361111</v>
      </c>
      <c r="C854" s="1">
        <v>44161.952060185184</v>
      </c>
      <c r="D854" s="2">
        <f>MAX((TimeEntries184194[[#This Row],[End time]]-TimeEntries184194[[#This Row],[Start time]])*24,0)</f>
        <v>5.9252777777728625</v>
      </c>
      <c r="F854" s="54" t="s">
        <v>184</v>
      </c>
      <c r="G854" s="22" t="s">
        <v>185</v>
      </c>
      <c r="I854" t="s">
        <v>126</v>
      </c>
      <c r="J854" s="15">
        <v>0.05</v>
      </c>
      <c r="K854" s="2">
        <v>2.929351806640625</v>
      </c>
      <c r="L854" s="2">
        <f>SUM(TimeEntries184194[Time delta in h])</f>
        <v>5.9252777777728625</v>
      </c>
      <c r="M854" s="16">
        <f>Tabelle7367185195[[#This Row],[EBS self time]]/Tabelle7367185195[[#This Row],[Total time]]</f>
        <v>0.49438219042309306</v>
      </c>
    </row>
    <row r="855" spans="1:13">
      <c r="B855" s="1"/>
      <c r="C855" s="1"/>
      <c r="D855" s="2"/>
      <c r="I855" t="s">
        <v>127</v>
      </c>
      <c r="J855" s="15">
        <v>0.2</v>
      </c>
      <c r="K855" s="2">
        <v>2.929351806640625</v>
      </c>
      <c r="L855" s="2">
        <f>SUM(TimeEntries184194[Time delta in h])</f>
        <v>5.9252777777728625</v>
      </c>
      <c r="M855" s="16">
        <f>Tabelle7367185195[[#This Row],[EBS self time]]/Tabelle7367185195[[#This Row],[Total time]]</f>
        <v>0.49438219042309306</v>
      </c>
    </row>
    <row r="856" spans="1:13">
      <c r="I856" t="s">
        <v>169</v>
      </c>
      <c r="J856" s="15">
        <v>0.35</v>
      </c>
      <c r="K856" s="2">
        <v>2.929351806640625</v>
      </c>
      <c r="L856" s="2">
        <f>SUM(TimeEntries184194[Time delta in h])</f>
        <v>5.9252777777728625</v>
      </c>
      <c r="M856" s="16">
        <f>Tabelle7367185195[[#This Row],[EBS self time]]/Tabelle7367185195[[#This Row],[Total time]]</f>
        <v>0.49438219042309306</v>
      </c>
    </row>
    <row r="857" spans="1:13">
      <c r="I857" t="s">
        <v>172</v>
      </c>
      <c r="J857" s="15">
        <v>0.5</v>
      </c>
      <c r="K857" s="2">
        <v>2.929351806640625</v>
      </c>
      <c r="L857" s="2">
        <f>SUM(TimeEntries184194[Time delta in h])</f>
        <v>5.9252777777728625</v>
      </c>
      <c r="M857" s="16">
        <f>Tabelle7367185195[[#This Row],[EBS self time]]/Tabelle7367185195[[#This Row],[Total time]]</f>
        <v>0.49438219042309306</v>
      </c>
    </row>
    <row r="858" spans="1:13">
      <c r="I858" t="s">
        <v>187</v>
      </c>
      <c r="J858" s="15">
        <v>0.65</v>
      </c>
      <c r="K858" s="2">
        <v>2.929351806640625</v>
      </c>
      <c r="L858" s="2">
        <f>SUM(TimeEntries184194[Time delta in h])</f>
        <v>5.9252777777728625</v>
      </c>
      <c r="M858" s="16">
        <f>Tabelle7367185195[[#This Row],[EBS self time]]/Tabelle7367185195[[#This Row],[Total time]]</f>
        <v>0.49438219042309306</v>
      </c>
    </row>
    <row r="859" spans="1:13">
      <c r="I859" t="s">
        <v>192</v>
      </c>
      <c r="J859" s="15">
        <v>0.8</v>
      </c>
      <c r="K859" s="2">
        <v>11.354076769924903</v>
      </c>
      <c r="L859" s="2">
        <f>SUM(TimeEntries184194[Time delta in h])</f>
        <v>5.9252777777728625</v>
      </c>
      <c r="M859" s="16">
        <f>Tabelle7367185195[[#This Row],[EBS self time]]/Tabelle7367185195[[#This Row],[Total time]]</f>
        <v>1.9162100403995856</v>
      </c>
    </row>
    <row r="860" spans="1:13">
      <c r="I860" t="s">
        <v>193</v>
      </c>
      <c r="J860" s="15">
        <v>0.95</v>
      </c>
      <c r="K860" s="2">
        <v>11.354076769924903</v>
      </c>
      <c r="L860" s="2">
        <f>SUM(TimeEntries184194[Time delta in h])</f>
        <v>5.9252777777728625</v>
      </c>
      <c r="M860" s="16">
        <f>Tabelle7367185195[[#This Row],[EBS self time]]/Tabelle7367185195[[#This Row],[Total time]]</f>
        <v>1.9162100403995856</v>
      </c>
    </row>
    <row r="862" spans="1:13">
      <c r="A862" t="s">
        <v>189</v>
      </c>
      <c r="B862" t="s">
        <v>291</v>
      </c>
      <c r="C862" t="s">
        <v>190</v>
      </c>
      <c r="D862">
        <v>18</v>
      </c>
      <c r="E862" t="s">
        <v>191</v>
      </c>
      <c r="F862">
        <v>13</v>
      </c>
    </row>
    <row r="863" spans="1:13">
      <c r="A863" s="4" t="s">
        <v>24</v>
      </c>
      <c r="I863" t="s">
        <v>135</v>
      </c>
      <c r="J863" t="s">
        <v>136</v>
      </c>
    </row>
    <row r="864" spans="1:13">
      <c r="A864" t="s">
        <v>3</v>
      </c>
      <c r="B864" t="s">
        <v>293</v>
      </c>
    </row>
    <row r="865" spans="1:13">
      <c r="A865" t="s">
        <v>77</v>
      </c>
      <c r="B865" s="2" t="s">
        <v>92</v>
      </c>
      <c r="C865" t="s">
        <v>4</v>
      </c>
    </row>
    <row r="866" spans="1:13">
      <c r="A866" t="s">
        <v>0</v>
      </c>
      <c r="B866" s="2">
        <f>SUM(TimeEntries186196[Time delta in h])</f>
        <v>10.973888888780493</v>
      </c>
      <c r="C866" t="s">
        <v>4</v>
      </c>
    </row>
    <row r="867" spans="1:13">
      <c r="A867" t="s">
        <v>13</v>
      </c>
      <c r="B867" s="5" t="s">
        <v>92</v>
      </c>
    </row>
    <row r="868" spans="1:13">
      <c r="A868" t="s">
        <v>14</v>
      </c>
      <c r="B868" s="5" t="s">
        <v>18</v>
      </c>
    </row>
    <row r="869" spans="1:13">
      <c r="A869" t="s">
        <v>1</v>
      </c>
      <c r="B869" t="s">
        <v>131</v>
      </c>
    </row>
    <row r="870" spans="1:13">
      <c r="A870" t="s">
        <v>15</v>
      </c>
      <c r="B870" s="5">
        <v>44161.952060185184</v>
      </c>
    </row>
    <row r="871" spans="1:13">
      <c r="A871" t="s">
        <v>2</v>
      </c>
    </row>
    <row r="872" spans="1:13">
      <c r="A872" t="s">
        <v>46</v>
      </c>
      <c r="B872" t="s">
        <v>291</v>
      </c>
    </row>
    <row r="873" spans="1:13">
      <c r="A873" t="s">
        <v>5</v>
      </c>
      <c r="B873" s="2" t="e">
        <f>B865/SUM(TimeEntries186196[Time delta in h])</f>
        <v>#VALUE!</v>
      </c>
      <c r="C873" t="s">
        <v>6</v>
      </c>
    </row>
    <row r="874" spans="1:13">
      <c r="A874" t="s">
        <v>93</v>
      </c>
    </row>
    <row r="875" spans="1:13">
      <c r="A875" t="s">
        <v>94</v>
      </c>
    </row>
    <row r="876" spans="1:13">
      <c r="A876" t="s">
        <v>129</v>
      </c>
      <c r="B876" s="1">
        <v>44161.952060185184</v>
      </c>
    </row>
    <row r="878" spans="1:13">
      <c r="A878" t="s">
        <v>10</v>
      </c>
      <c r="B878" t="s">
        <v>7</v>
      </c>
      <c r="C878" t="s">
        <v>8</v>
      </c>
      <c r="D878" t="s">
        <v>9</v>
      </c>
      <c r="E878" t="s">
        <v>134</v>
      </c>
      <c r="F878" t="s">
        <v>84</v>
      </c>
      <c r="G878" t="s">
        <v>85</v>
      </c>
      <c r="I878" t="s">
        <v>70</v>
      </c>
      <c r="J878" s="15" t="s">
        <v>68</v>
      </c>
      <c r="K878" s="2" t="s">
        <v>69</v>
      </c>
      <c r="L878" t="s">
        <v>71</v>
      </c>
      <c r="M878" t="s">
        <v>72</v>
      </c>
    </row>
    <row r="879" spans="1:13">
      <c r="A879" t="s">
        <v>126</v>
      </c>
      <c r="B879" s="1">
        <v>44161.494814814818</v>
      </c>
      <c r="C879" s="1">
        <v>44161.952060185184</v>
      </c>
      <c r="D879" s="2">
        <f>MAX((TimeEntries186196[[#This Row],[End time]]-TimeEntries186196[[#This Row],[Start time]])*24,0)</f>
        <v>10.973888888780493</v>
      </c>
      <c r="F879" s="54" t="s">
        <v>184</v>
      </c>
      <c r="G879" s="22" t="s">
        <v>185</v>
      </c>
      <c r="J879" s="15"/>
      <c r="K879" s="2"/>
      <c r="L879" s="2">
        <f>SUM(TimeEntries186196[Time delta in h])</f>
        <v>10.973888888780493</v>
      </c>
      <c r="M879" s="16">
        <f>Tabelle7367187197[[#This Row],[EBS self time]]/Tabelle7367187197[[#This Row],[Total time]]</f>
        <v>0</v>
      </c>
    </row>
    <row r="880" spans="1:13">
      <c r="B880" s="1"/>
      <c r="C880" s="1"/>
      <c r="D880" s="2"/>
    </row>
    <row r="882" spans="1:10">
      <c r="A882" t="s">
        <v>189</v>
      </c>
      <c r="B882" t="s">
        <v>294</v>
      </c>
      <c r="C882" t="s">
        <v>190</v>
      </c>
      <c r="D882">
        <v>23</v>
      </c>
      <c r="E882" t="s">
        <v>191</v>
      </c>
      <c r="F882">
        <v>13</v>
      </c>
    </row>
    <row r="883" spans="1:10">
      <c r="A883" s="4" t="s">
        <v>24</v>
      </c>
      <c r="I883" t="s">
        <v>135</v>
      </c>
      <c r="J883" t="s">
        <v>136</v>
      </c>
    </row>
    <row r="884" spans="1:10">
      <c r="A884" t="s">
        <v>3</v>
      </c>
      <c r="B884" t="s">
        <v>296</v>
      </c>
    </row>
    <row r="885" spans="1:10">
      <c r="A885" t="s">
        <v>77</v>
      </c>
      <c r="B885" s="2">
        <v>5.6242494583129883</v>
      </c>
      <c r="C885" t="s">
        <v>4</v>
      </c>
    </row>
    <row r="886" spans="1:10">
      <c r="A886" t="s">
        <v>0</v>
      </c>
      <c r="B886" s="2">
        <f>SUM(TimeEntries188198[Time delta in h])</f>
        <v>3.7011111112078652</v>
      </c>
      <c r="C886" t="s">
        <v>4</v>
      </c>
    </row>
    <row r="887" spans="1:10">
      <c r="A887" t="s">
        <v>13</v>
      </c>
      <c r="B887" s="5" t="s">
        <v>92</v>
      </c>
    </row>
    <row r="888" spans="1:10">
      <c r="A888" t="s">
        <v>14</v>
      </c>
      <c r="B888" s="5" t="s">
        <v>18</v>
      </c>
    </row>
    <row r="889" spans="1:10">
      <c r="A889" t="s">
        <v>1</v>
      </c>
      <c r="B889" t="s">
        <v>91</v>
      </c>
    </row>
    <row r="890" spans="1:10">
      <c r="A890" t="s">
        <v>15</v>
      </c>
      <c r="B890" s="5" t="s">
        <v>92</v>
      </c>
    </row>
    <row r="891" spans="1:10">
      <c r="A891" t="s">
        <v>2</v>
      </c>
    </row>
    <row r="892" spans="1:10">
      <c r="A892" t="s">
        <v>46</v>
      </c>
      <c r="B892" t="s">
        <v>294</v>
      </c>
    </row>
    <row r="893" spans="1:10">
      <c r="A893" t="s">
        <v>5</v>
      </c>
      <c r="B893" s="2">
        <f>B885/SUM(TimeEntries188198[Time delta in h])</f>
        <v>1.5196110814618324</v>
      </c>
      <c r="C893" t="s">
        <v>6</v>
      </c>
    </row>
    <row r="894" spans="1:10">
      <c r="A894" t="s">
        <v>93</v>
      </c>
    </row>
    <row r="895" spans="1:10">
      <c r="A895" t="s">
        <v>94</v>
      </c>
    </row>
    <row r="896" spans="1:10">
      <c r="A896" t="s">
        <v>129</v>
      </c>
      <c r="B896" s="1">
        <v>44161.95207175926</v>
      </c>
    </row>
    <row r="898" spans="1:13">
      <c r="A898" t="s">
        <v>10</v>
      </c>
      <c r="B898" t="s">
        <v>7</v>
      </c>
      <c r="C898" t="s">
        <v>8</v>
      </c>
      <c r="D898" t="s">
        <v>9</v>
      </c>
      <c r="E898" t="s">
        <v>134</v>
      </c>
      <c r="F898" t="s">
        <v>84</v>
      </c>
      <c r="G898" t="s">
        <v>85</v>
      </c>
      <c r="I898" t="s">
        <v>70</v>
      </c>
      <c r="J898" s="15" t="s">
        <v>68</v>
      </c>
      <c r="K898" s="2" t="s">
        <v>69</v>
      </c>
      <c r="L898" t="s">
        <v>71</v>
      </c>
      <c r="M898" t="s">
        <v>72</v>
      </c>
    </row>
    <row r="899" spans="1:13">
      <c r="A899" t="s">
        <v>126</v>
      </c>
      <c r="B899" s="1">
        <v>44161.797858796293</v>
      </c>
      <c r="C899" s="1">
        <v>44161.95207175926</v>
      </c>
      <c r="D899" s="2">
        <f>MAX((TimeEntries188198[[#This Row],[End time]]-TimeEntries188198[[#This Row],[Start time]])*24,0)</f>
        <v>3.7011111112078652</v>
      </c>
      <c r="F899" s="54" t="s">
        <v>184</v>
      </c>
      <c r="G899" s="22" t="s">
        <v>185</v>
      </c>
      <c r="I899" t="s">
        <v>126</v>
      </c>
      <c r="J899" s="15">
        <v>0.05</v>
      </c>
      <c r="K899" s="2">
        <v>2.8121247291564941</v>
      </c>
      <c r="L899" s="2">
        <f>SUM(TimeEntries188198[Time delta in h])</f>
        <v>3.7011111112078652</v>
      </c>
      <c r="M899" s="16">
        <f>Tabelle7367189199[[#This Row],[EBS self time]]/Tabelle7367189199[[#This Row],[Total time]]</f>
        <v>0.75980554073091622</v>
      </c>
    </row>
    <row r="900" spans="1:13">
      <c r="B900" s="1"/>
      <c r="C900" s="1"/>
      <c r="D900" s="2"/>
      <c r="I900" t="s">
        <v>127</v>
      </c>
      <c r="J900" s="15">
        <v>0.2</v>
      </c>
      <c r="K900" s="2">
        <v>2.8121247291564941</v>
      </c>
      <c r="L900" s="2">
        <f>SUM(TimeEntries188198[Time delta in h])</f>
        <v>3.7011111112078652</v>
      </c>
      <c r="M900" s="16">
        <f>Tabelle7367189199[[#This Row],[EBS self time]]/Tabelle7367189199[[#This Row],[Total time]]</f>
        <v>0.75980554073091622</v>
      </c>
    </row>
    <row r="901" spans="1:13">
      <c r="I901" t="s">
        <v>169</v>
      </c>
      <c r="J901" s="15">
        <v>0.35</v>
      </c>
      <c r="K901" s="2">
        <v>2.8121247291564941</v>
      </c>
      <c r="L901" s="2">
        <f>SUM(TimeEntries188198[Time delta in h])</f>
        <v>3.7011111112078652</v>
      </c>
      <c r="M901" s="16">
        <f>Tabelle7367189199[[#This Row],[EBS self time]]/Tabelle7367189199[[#This Row],[Total time]]</f>
        <v>0.75980554073091622</v>
      </c>
    </row>
    <row r="902" spans="1:13">
      <c r="I902" t="s">
        <v>172</v>
      </c>
      <c r="J902" s="15">
        <v>0.5</v>
      </c>
      <c r="K902" s="2">
        <v>2.8121247291564941</v>
      </c>
      <c r="L902" s="2">
        <f>SUM(TimeEntries188198[Time delta in h])</f>
        <v>3.7011111112078652</v>
      </c>
      <c r="M902" s="16">
        <f>Tabelle7367189199[[#This Row],[EBS self time]]/Tabelle7367189199[[#This Row],[Total time]]</f>
        <v>0.75980554073091622</v>
      </c>
    </row>
    <row r="903" spans="1:13">
      <c r="I903" t="s">
        <v>187</v>
      </c>
      <c r="J903" s="15">
        <v>0.65</v>
      </c>
      <c r="K903" s="2">
        <v>10.899708252544551</v>
      </c>
      <c r="L903" s="2">
        <f>SUM(TimeEntries188198[Time delta in h])</f>
        <v>3.7011111112078652</v>
      </c>
      <c r="M903" s="16">
        <f>Tabelle7367189199[[#This Row],[EBS self time]]/Tabelle7367189199[[#This Row],[Total time]]</f>
        <v>2.9449827160113031</v>
      </c>
    </row>
    <row r="904" spans="1:13">
      <c r="I904" t="s">
        <v>192</v>
      </c>
      <c r="J904" s="15">
        <v>0.8</v>
      </c>
      <c r="K904" s="2">
        <v>10.899708252544551</v>
      </c>
      <c r="L904" s="2">
        <f>SUM(TimeEntries188198[Time delta in h])</f>
        <v>3.7011111112078652</v>
      </c>
      <c r="M904" s="16">
        <f>Tabelle7367189199[[#This Row],[EBS self time]]/Tabelle7367189199[[#This Row],[Total time]]</f>
        <v>2.9449827160113031</v>
      </c>
    </row>
    <row r="905" spans="1:13">
      <c r="I905" t="s">
        <v>193</v>
      </c>
      <c r="J905" s="15">
        <v>0.95</v>
      </c>
      <c r="K905" s="2">
        <v>10.899708252544551</v>
      </c>
      <c r="L905" s="2">
        <f>SUM(TimeEntries188198[Time delta in h])</f>
        <v>3.7011111112078652</v>
      </c>
      <c r="M905" s="16">
        <f>Tabelle7367189199[[#This Row],[EBS self time]]/Tabelle7367189199[[#This Row],[Total time]]</f>
        <v>2.9449827160113031</v>
      </c>
    </row>
    <row r="907" spans="1:13">
      <c r="A907" t="s">
        <v>189</v>
      </c>
      <c r="B907" t="s">
        <v>297</v>
      </c>
      <c r="C907" t="s">
        <v>190</v>
      </c>
      <c r="D907">
        <v>23</v>
      </c>
      <c r="E907" t="s">
        <v>191</v>
      </c>
      <c r="F907">
        <v>13</v>
      </c>
    </row>
    <row r="908" spans="1:13">
      <c r="A908" s="4" t="s">
        <v>24</v>
      </c>
      <c r="I908" t="s">
        <v>135</v>
      </c>
      <c r="J908" t="s">
        <v>136</v>
      </c>
    </row>
    <row r="909" spans="1:13">
      <c r="A909" t="s">
        <v>3</v>
      </c>
      <c r="B909" t="s">
        <v>299</v>
      </c>
    </row>
    <row r="910" spans="1:13">
      <c r="A910" t="s">
        <v>77</v>
      </c>
      <c r="B910" s="2">
        <v>1.8435459136962891</v>
      </c>
      <c r="C910" t="s">
        <v>4</v>
      </c>
    </row>
    <row r="911" spans="1:13">
      <c r="A911" t="s">
        <v>0</v>
      </c>
      <c r="B911" s="2">
        <f>SUM(TimeEntries190200204214[Time delta in h])</f>
        <v>22.535833333327901</v>
      </c>
      <c r="C911" t="s">
        <v>4</v>
      </c>
    </row>
    <row r="912" spans="1:13">
      <c r="A912" t="s">
        <v>13</v>
      </c>
      <c r="B912" s="5" t="s">
        <v>92</v>
      </c>
    </row>
    <row r="913" spans="1:13">
      <c r="A913" t="s">
        <v>14</v>
      </c>
      <c r="B913" s="5" t="s">
        <v>18</v>
      </c>
    </row>
    <row r="914" spans="1:13">
      <c r="A914" t="s">
        <v>1</v>
      </c>
      <c r="B914" t="s">
        <v>91</v>
      </c>
    </row>
    <row r="915" spans="1:13">
      <c r="A915" t="s">
        <v>15</v>
      </c>
      <c r="B915" s="5" t="s">
        <v>92</v>
      </c>
    </row>
    <row r="916" spans="1:13">
      <c r="A916" t="s">
        <v>2</v>
      </c>
    </row>
    <row r="917" spans="1:13">
      <c r="A917" t="s">
        <v>46</v>
      </c>
      <c r="B917" t="s">
        <v>297</v>
      </c>
    </row>
    <row r="918" spans="1:13">
      <c r="A918" t="s">
        <v>5</v>
      </c>
      <c r="B918" s="2">
        <f>B910/SUM(TimeEntries190200204214[Time delta in h])</f>
        <v>8.1805091758905449E-2</v>
      </c>
      <c r="C918" t="s">
        <v>6</v>
      </c>
    </row>
    <row r="919" spans="1:13">
      <c r="A919" t="s">
        <v>93</v>
      </c>
    </row>
    <row r="920" spans="1:13">
      <c r="A920" t="s">
        <v>94</v>
      </c>
    </row>
    <row r="921" spans="1:13">
      <c r="A921" t="s">
        <v>129</v>
      </c>
      <c r="B921" s="1">
        <v>44161.95207175926</v>
      </c>
    </row>
    <row r="923" spans="1:13">
      <c r="A923" t="s">
        <v>10</v>
      </c>
      <c r="B923" t="s">
        <v>7</v>
      </c>
      <c r="C923" t="s">
        <v>8</v>
      </c>
      <c r="D923" t="s">
        <v>9</v>
      </c>
      <c r="E923" t="s">
        <v>134</v>
      </c>
      <c r="F923" t="s">
        <v>84</v>
      </c>
      <c r="G923" t="s">
        <v>85</v>
      </c>
      <c r="I923" t="s">
        <v>70</v>
      </c>
      <c r="J923" s="15" t="s">
        <v>68</v>
      </c>
      <c r="K923" s="2" t="s">
        <v>69</v>
      </c>
      <c r="L923" t="s">
        <v>71</v>
      </c>
      <c r="M923" t="s">
        <v>72</v>
      </c>
    </row>
    <row r="924" spans="1:13">
      <c r="A924" t="s">
        <v>126</v>
      </c>
      <c r="B924" s="1">
        <v>44161.013101851851</v>
      </c>
      <c r="C924" s="1">
        <v>44161.952094907407</v>
      </c>
      <c r="D924" s="2">
        <f>MAX((TimeEntries190200204214[[#This Row],[End time]]-TimeEntries190200204214[[#This Row],[Start time]])*24,0)</f>
        <v>22.535833333327901</v>
      </c>
      <c r="F924" s="54" t="s">
        <v>184</v>
      </c>
      <c r="G924" s="22" t="s">
        <v>185</v>
      </c>
      <c r="I924" t="s">
        <v>126</v>
      </c>
      <c r="J924" s="15">
        <v>0.05</v>
      </c>
      <c r="K924" s="2">
        <v>0.92177295684814453</v>
      </c>
      <c r="L924" s="2">
        <f>SUM(TimeEntries190200204214[Time delta in h])</f>
        <v>22.535833333327901</v>
      </c>
      <c r="M924" s="16">
        <f>Tabelle7367191201205215[[#This Row],[EBS self time]]/Tabelle7367191201205215[[#This Row],[Total time]]</f>
        <v>4.0902545879452724E-2</v>
      </c>
    </row>
    <row r="925" spans="1:13">
      <c r="B925" s="1"/>
      <c r="C925" s="1"/>
      <c r="D925" s="2"/>
      <c r="I925" t="s">
        <v>127</v>
      </c>
      <c r="J925" s="15">
        <v>0.2</v>
      </c>
      <c r="K925" s="2">
        <v>0.92177295684814453</v>
      </c>
      <c r="L925" s="2">
        <f>SUM(TimeEntries190200204214[Time delta in h])</f>
        <v>22.535833333327901</v>
      </c>
      <c r="M925" s="16">
        <f>Tabelle7367191201205215[[#This Row],[EBS self time]]/Tabelle7367191201205215[[#This Row],[Total time]]</f>
        <v>4.0902545879452724E-2</v>
      </c>
    </row>
    <row r="926" spans="1:13">
      <c r="I926" t="s">
        <v>169</v>
      </c>
      <c r="J926" s="15">
        <v>0.35</v>
      </c>
      <c r="K926" s="2">
        <v>0.92177295684814453</v>
      </c>
      <c r="L926" s="2">
        <f>SUM(TimeEntries190200204214[Time delta in h])</f>
        <v>22.535833333327901</v>
      </c>
      <c r="M926" s="16">
        <f>Tabelle7367191201205215[[#This Row],[EBS self time]]/Tabelle7367191201205215[[#This Row],[Total time]]</f>
        <v>4.0902545879452724E-2</v>
      </c>
    </row>
    <row r="927" spans="1:13">
      <c r="I927" t="s">
        <v>172</v>
      </c>
      <c r="J927" s="15">
        <v>0.5</v>
      </c>
      <c r="K927" s="2">
        <v>0.92177295684814453</v>
      </c>
      <c r="L927" s="2">
        <f>SUM(TimeEntries190200204214[Time delta in h])</f>
        <v>22.535833333327901</v>
      </c>
      <c r="M927" s="16">
        <f>Tabelle7367191201205215[[#This Row],[EBS self time]]/Tabelle7367191201205215[[#This Row],[Total time]]</f>
        <v>4.0902545879452724E-2</v>
      </c>
    </row>
    <row r="928" spans="1:13">
      <c r="I928" t="s">
        <v>187</v>
      </c>
      <c r="J928" s="15">
        <v>0.65</v>
      </c>
      <c r="K928" s="2">
        <v>3.5727633986362188</v>
      </c>
      <c r="L928" s="2">
        <f>SUM(TimeEntries190200204214[Time delta in h])</f>
        <v>22.535833333327901</v>
      </c>
      <c r="M928" s="16">
        <f>Tabelle7367191201205215[[#This Row],[EBS self time]]/Tabelle7367191201205215[[#This Row],[Total time]]</f>
        <v>0.15853699953276248</v>
      </c>
    </row>
    <row r="929" spans="1:13">
      <c r="I929" t="s">
        <v>192</v>
      </c>
      <c r="J929" s="15">
        <v>0.8</v>
      </c>
      <c r="K929" s="2">
        <v>3.5727633986362188</v>
      </c>
      <c r="L929" s="2">
        <f>SUM(TimeEntries190200204214[Time delta in h])</f>
        <v>22.535833333327901</v>
      </c>
      <c r="M929" s="16">
        <f>Tabelle7367191201205215[[#This Row],[EBS self time]]/Tabelle7367191201205215[[#This Row],[Total time]]</f>
        <v>0.15853699953276248</v>
      </c>
    </row>
    <row r="930" spans="1:13">
      <c r="I930" t="s">
        <v>193</v>
      </c>
      <c r="J930" s="15">
        <v>0.95</v>
      </c>
      <c r="K930" s="2">
        <v>3.5727633986362188</v>
      </c>
      <c r="L930" s="2">
        <f>SUM(TimeEntries190200204214[Time delta in h])</f>
        <v>22.535833333327901</v>
      </c>
      <c r="M930" s="16">
        <f>Tabelle7367191201205215[[#This Row],[EBS self time]]/Tabelle7367191201205215[[#This Row],[Total time]]</f>
        <v>0.15853699953276248</v>
      </c>
    </row>
    <row r="932" spans="1:13">
      <c r="A932" t="s">
        <v>189</v>
      </c>
      <c r="B932" t="s">
        <v>300</v>
      </c>
      <c r="C932" t="s">
        <v>190</v>
      </c>
      <c r="D932">
        <v>23</v>
      </c>
      <c r="E932" t="s">
        <v>191</v>
      </c>
      <c r="F932">
        <v>13</v>
      </c>
    </row>
    <row r="933" spans="1:13">
      <c r="A933" s="4" t="s">
        <v>24</v>
      </c>
      <c r="I933" t="s">
        <v>135</v>
      </c>
      <c r="J933" t="s">
        <v>136</v>
      </c>
    </row>
    <row r="934" spans="1:13">
      <c r="A934" t="s">
        <v>3</v>
      </c>
      <c r="B934" t="s">
        <v>302</v>
      </c>
    </row>
    <row r="935" spans="1:13">
      <c r="A935" t="s">
        <v>77</v>
      </c>
      <c r="B935" s="2">
        <v>6.3605451583862305</v>
      </c>
      <c r="C935" t="s">
        <v>4</v>
      </c>
    </row>
    <row r="936" spans="1:13">
      <c r="A936" t="s">
        <v>0</v>
      </c>
      <c r="B936" s="2">
        <f>SUM(TimeEntries206216[Time delta in h])</f>
        <v>14.904444444458932</v>
      </c>
      <c r="C936" t="s">
        <v>4</v>
      </c>
    </row>
    <row r="937" spans="1:13">
      <c r="A937" t="s">
        <v>13</v>
      </c>
      <c r="B937" s="5" t="s">
        <v>92</v>
      </c>
    </row>
    <row r="938" spans="1:13">
      <c r="A938" t="s">
        <v>14</v>
      </c>
      <c r="B938" s="5" t="s">
        <v>18</v>
      </c>
    </row>
    <row r="939" spans="1:13">
      <c r="A939" t="s">
        <v>1</v>
      </c>
      <c r="B939" t="s">
        <v>91</v>
      </c>
    </row>
    <row r="940" spans="1:13">
      <c r="A940" t="s">
        <v>15</v>
      </c>
      <c r="B940" s="5" t="s">
        <v>92</v>
      </c>
    </row>
    <row r="941" spans="1:13">
      <c r="A941" t="s">
        <v>2</v>
      </c>
    </row>
    <row r="942" spans="1:13">
      <c r="A942" t="s">
        <v>46</v>
      </c>
      <c r="B942" t="s">
        <v>300</v>
      </c>
    </row>
    <row r="943" spans="1:13">
      <c r="A943" t="s">
        <v>5</v>
      </c>
      <c r="B943" s="2">
        <f>B935/SUM(TimeEntries206216[Time delta in h])</f>
        <v>0.42675493085895655</v>
      </c>
      <c r="C943" t="s">
        <v>6</v>
      </c>
    </row>
    <row r="944" spans="1:13">
      <c r="A944" t="s">
        <v>93</v>
      </c>
    </row>
    <row r="945" spans="1:13">
      <c r="A945" t="s">
        <v>94</v>
      </c>
    </row>
    <row r="946" spans="1:13">
      <c r="A946" t="s">
        <v>129</v>
      </c>
      <c r="B946" s="1">
        <v>44161.952094907407</v>
      </c>
    </row>
    <row r="948" spans="1:13">
      <c r="A948" t="s">
        <v>10</v>
      </c>
      <c r="B948" t="s">
        <v>7</v>
      </c>
      <c r="C948" t="s">
        <v>8</v>
      </c>
      <c r="D948" t="s">
        <v>9</v>
      </c>
      <c r="E948" t="s">
        <v>134</v>
      </c>
      <c r="F948" t="s">
        <v>84</v>
      </c>
      <c r="G948" t="s">
        <v>85</v>
      </c>
      <c r="I948" t="s">
        <v>70</v>
      </c>
      <c r="J948" s="15" t="s">
        <v>68</v>
      </c>
      <c r="K948" s="2" t="s">
        <v>69</v>
      </c>
      <c r="L948" t="s">
        <v>71</v>
      </c>
      <c r="M948" t="s">
        <v>72</v>
      </c>
    </row>
    <row r="949" spans="1:13">
      <c r="A949" t="s">
        <v>126</v>
      </c>
      <c r="B949" s="1">
        <v>44161.331076388888</v>
      </c>
      <c r="C949" s="1">
        <v>44161.952094907407</v>
      </c>
      <c r="D949" s="2">
        <f>MAX((TimeEntries206216[[#This Row],[End time]]-TimeEntries206216[[#This Row],[Start time]])*24,0)</f>
        <v>14.904444444458932</v>
      </c>
      <c r="F949" s="54" t="s">
        <v>184</v>
      </c>
      <c r="G949" s="22" t="s">
        <v>185</v>
      </c>
      <c r="I949" t="s">
        <v>126</v>
      </c>
      <c r="J949" s="15">
        <v>0.05</v>
      </c>
      <c r="K949" s="2">
        <v>3.1802725791931152</v>
      </c>
      <c r="L949" s="2">
        <f>SUM(TimeEntries206216[Time delta in h])</f>
        <v>14.904444444458932</v>
      </c>
      <c r="M949" s="16">
        <f>Tabelle7367207217[[#This Row],[EBS self time]]/Tabelle7367207217[[#This Row],[Total time]]</f>
        <v>0.21337746542947827</v>
      </c>
    </row>
    <row r="950" spans="1:13">
      <c r="B950" s="1"/>
      <c r="C950" s="1"/>
      <c r="D950" s="2"/>
      <c r="I950" t="s">
        <v>127</v>
      </c>
      <c r="J950" s="15">
        <v>0.2</v>
      </c>
      <c r="K950" s="2">
        <v>3.1802725791931152</v>
      </c>
      <c r="L950" s="2">
        <f>SUM(TimeEntries206216[Time delta in h])</f>
        <v>14.904444444458932</v>
      </c>
      <c r="M950" s="16">
        <f>Tabelle7367207217[[#This Row],[EBS self time]]/Tabelle7367207217[[#This Row],[Total time]]</f>
        <v>0.21337746542947827</v>
      </c>
    </row>
    <row r="951" spans="1:13">
      <c r="I951" t="s">
        <v>169</v>
      </c>
      <c r="J951" s="15">
        <v>0.35</v>
      </c>
      <c r="K951" s="2">
        <v>3.1802725791931152</v>
      </c>
      <c r="L951" s="2">
        <f>SUM(TimeEntries206216[Time delta in h])</f>
        <v>14.904444444458932</v>
      </c>
      <c r="M951" s="16">
        <f>Tabelle7367207217[[#This Row],[EBS self time]]/Tabelle7367207217[[#This Row],[Total time]]</f>
        <v>0.21337746542947827</v>
      </c>
    </row>
    <row r="952" spans="1:13">
      <c r="I952" t="s">
        <v>172</v>
      </c>
      <c r="J952" s="15">
        <v>0.5</v>
      </c>
      <c r="K952" s="2">
        <v>3.1802725791931152</v>
      </c>
      <c r="L952" s="2">
        <f>SUM(TimeEntries206216[Time delta in h])</f>
        <v>14.904444444458932</v>
      </c>
      <c r="M952" s="16">
        <f>Tabelle7367207217[[#This Row],[EBS self time]]/Tabelle7367207217[[#This Row],[Total time]]</f>
        <v>0.21337746542947827</v>
      </c>
    </row>
    <row r="953" spans="1:13">
      <c r="I953" t="s">
        <v>187</v>
      </c>
      <c r="J953" s="15">
        <v>0.65</v>
      </c>
      <c r="K953" s="2">
        <v>3.1802725791931152</v>
      </c>
      <c r="L953" s="2">
        <f>SUM(TimeEntries206216[Time delta in h])</f>
        <v>14.904444444458932</v>
      </c>
      <c r="M953" s="16">
        <f>Tabelle7367207217[[#This Row],[EBS self time]]/Tabelle7367207217[[#This Row],[Total time]]</f>
        <v>0.21337746542947827</v>
      </c>
    </row>
    <row r="954" spans="1:13">
      <c r="I954" t="s">
        <v>192</v>
      </c>
      <c r="J954" s="15">
        <v>0.8</v>
      </c>
      <c r="K954" s="2">
        <v>4.0949091116587422</v>
      </c>
      <c r="L954" s="2">
        <f>SUM(TimeEntries206216[Time delta in h])</f>
        <v>14.904444444458932</v>
      </c>
      <c r="M954" s="16">
        <f>Tabelle7367207217[[#This Row],[EBS self time]]/Tabelle7367207217[[#This Row],[Total time]]</f>
        <v>0.27474416285144521</v>
      </c>
    </row>
    <row r="955" spans="1:13">
      <c r="I955" t="s">
        <v>193</v>
      </c>
      <c r="J955" s="15">
        <v>0.95</v>
      </c>
      <c r="K955" s="2">
        <v>12.326637903849283</v>
      </c>
      <c r="L955" s="2">
        <f>SUM(TimeEntries206216[Time delta in h])</f>
        <v>14.904444444458932</v>
      </c>
      <c r="M955" s="16">
        <f>Tabelle7367207217[[#This Row],[EBS self time]]/Tabelle7367207217[[#This Row],[Total time]]</f>
        <v>0.82704443964914054</v>
      </c>
    </row>
    <row r="957" spans="1:13">
      <c r="A957" t="s">
        <v>189</v>
      </c>
      <c r="B957" t="s">
        <v>303</v>
      </c>
      <c r="C957" t="s">
        <v>190</v>
      </c>
      <c r="D957">
        <v>23</v>
      </c>
      <c r="E957" t="s">
        <v>191</v>
      </c>
      <c r="F957">
        <v>13</v>
      </c>
    </row>
    <row r="958" spans="1:13">
      <c r="A958" s="4" t="s">
        <v>24</v>
      </c>
      <c r="I958" t="s">
        <v>135</v>
      </c>
      <c r="J958" t="s">
        <v>136</v>
      </c>
    </row>
    <row r="959" spans="1:13">
      <c r="A959" t="s">
        <v>3</v>
      </c>
      <c r="B959" t="s">
        <v>305</v>
      </c>
    </row>
    <row r="960" spans="1:13">
      <c r="A960" t="s">
        <v>77</v>
      </c>
      <c r="B960" s="2">
        <v>13.755645751953125</v>
      </c>
      <c r="C960" t="s">
        <v>4</v>
      </c>
    </row>
    <row r="961" spans="1:13">
      <c r="A961" t="s">
        <v>0</v>
      </c>
      <c r="B961" s="2">
        <f>SUM(TimeEntries208218[Time delta in h])</f>
        <v>30.48111111111939</v>
      </c>
      <c r="C961" t="s">
        <v>4</v>
      </c>
    </row>
    <row r="962" spans="1:13">
      <c r="A962" t="s">
        <v>13</v>
      </c>
      <c r="B962" s="5" t="s">
        <v>92</v>
      </c>
    </row>
    <row r="963" spans="1:13">
      <c r="A963" t="s">
        <v>14</v>
      </c>
      <c r="B963" s="5" t="s">
        <v>18</v>
      </c>
    </row>
    <row r="964" spans="1:13">
      <c r="A964" t="s">
        <v>1</v>
      </c>
      <c r="B964" t="s">
        <v>91</v>
      </c>
    </row>
    <row r="965" spans="1:13">
      <c r="A965" t="s">
        <v>15</v>
      </c>
      <c r="B965" s="5" t="s">
        <v>92</v>
      </c>
    </row>
    <row r="966" spans="1:13">
      <c r="A966" t="s">
        <v>2</v>
      </c>
    </row>
    <row r="967" spans="1:13">
      <c r="A967" t="s">
        <v>46</v>
      </c>
      <c r="B967" t="s">
        <v>303</v>
      </c>
    </row>
    <row r="968" spans="1:13">
      <c r="A968" t="s">
        <v>5</v>
      </c>
      <c r="B968" s="2">
        <f>B960/SUM(TimeEntries208218[Time delta in h])</f>
        <v>0.45128426263093535</v>
      </c>
      <c r="C968" t="s">
        <v>6</v>
      </c>
    </row>
    <row r="969" spans="1:13">
      <c r="A969" t="s">
        <v>93</v>
      </c>
    </row>
    <row r="970" spans="1:13">
      <c r="A970" t="s">
        <v>94</v>
      </c>
    </row>
    <row r="971" spans="1:13">
      <c r="A971" t="s">
        <v>129</v>
      </c>
      <c r="B971" s="1">
        <v>44161.952106481483</v>
      </c>
    </row>
    <row r="973" spans="1:13">
      <c r="A973" t="s">
        <v>10</v>
      </c>
      <c r="B973" t="s">
        <v>7</v>
      </c>
      <c r="C973" t="s">
        <v>8</v>
      </c>
      <c r="D973" t="s">
        <v>9</v>
      </c>
      <c r="E973" t="s">
        <v>134</v>
      </c>
      <c r="F973" t="s">
        <v>84</v>
      </c>
      <c r="G973" t="s">
        <v>85</v>
      </c>
      <c r="I973" t="s">
        <v>70</v>
      </c>
      <c r="J973" s="15" t="s">
        <v>68</v>
      </c>
      <c r="K973" s="2" t="s">
        <v>69</v>
      </c>
      <c r="L973" t="s">
        <v>71</v>
      </c>
      <c r="M973" t="s">
        <v>72</v>
      </c>
    </row>
    <row r="974" spans="1:13">
      <c r="A974" t="s">
        <v>126</v>
      </c>
      <c r="B974" s="1">
        <v>44160.682060185187</v>
      </c>
      <c r="C974" s="1">
        <v>44161.952106481483</v>
      </c>
      <c r="D974" s="2">
        <f>MAX((TimeEntries208218[[#This Row],[End time]]-TimeEntries208218[[#This Row],[Start time]])*24,0)</f>
        <v>30.48111111111939</v>
      </c>
      <c r="F974" s="54" t="s">
        <v>184</v>
      </c>
      <c r="G974" s="22" t="s">
        <v>185</v>
      </c>
      <c r="I974" t="s">
        <v>126</v>
      </c>
      <c r="J974" s="15">
        <v>0.05</v>
      </c>
      <c r="K974" s="2">
        <v>6.8778228759765625</v>
      </c>
      <c r="L974" s="2">
        <f>SUM(TimeEntries208218[Time delta in h])</f>
        <v>30.48111111111939</v>
      </c>
      <c r="M974" s="16">
        <f>Tabelle7367209219[[#This Row],[EBS self time]]/Tabelle7367209219[[#This Row],[Total time]]</f>
        <v>0.22564213131546768</v>
      </c>
    </row>
    <row r="975" spans="1:13">
      <c r="B975" s="1"/>
      <c r="C975" s="1"/>
      <c r="D975" s="2"/>
      <c r="I975" t="s">
        <v>127</v>
      </c>
      <c r="J975" s="15">
        <v>0.2</v>
      </c>
      <c r="K975" s="2">
        <v>6.8778228759765625</v>
      </c>
      <c r="L975" s="2">
        <f>SUM(TimeEntries208218[Time delta in h])</f>
        <v>30.48111111111939</v>
      </c>
      <c r="M975" s="16">
        <f>Tabelle7367209219[[#This Row],[EBS self time]]/Tabelle7367209219[[#This Row],[Total time]]</f>
        <v>0.22564213131546768</v>
      </c>
    </row>
    <row r="976" spans="1:13">
      <c r="I976" t="s">
        <v>169</v>
      </c>
      <c r="J976" s="15">
        <v>0.35</v>
      </c>
      <c r="K976" s="2">
        <v>6.8778228759765625</v>
      </c>
      <c r="L976" s="2">
        <f>SUM(TimeEntries208218[Time delta in h])</f>
        <v>30.48111111111939</v>
      </c>
      <c r="M976" s="16">
        <f>Tabelle7367209219[[#This Row],[EBS self time]]/Tabelle7367209219[[#This Row],[Total time]]</f>
        <v>0.22564213131546768</v>
      </c>
    </row>
    <row r="977" spans="1:13">
      <c r="I977" t="s">
        <v>172</v>
      </c>
      <c r="J977" s="15">
        <v>0.5</v>
      </c>
      <c r="K977" s="2">
        <v>6.8778228759765625</v>
      </c>
      <c r="L977" s="2">
        <f>SUM(TimeEntries208218[Time delta in h])</f>
        <v>30.48111111111939</v>
      </c>
      <c r="M977" s="16">
        <f>Tabelle7367209219[[#This Row],[EBS self time]]/Tabelle7367209219[[#This Row],[Total time]]</f>
        <v>0.22564213131546768</v>
      </c>
    </row>
    <row r="978" spans="1:13">
      <c r="I978" t="s">
        <v>187</v>
      </c>
      <c r="J978" s="15">
        <v>0.65</v>
      </c>
      <c r="K978" s="2">
        <v>26.658228201459544</v>
      </c>
      <c r="L978" s="2">
        <f>SUM(TimeEntries208218[Time delta in h])</f>
        <v>30.48111111111939</v>
      </c>
      <c r="M978" s="16">
        <f>Tabelle7367209219[[#This Row],[EBS self time]]/Tabelle7367209219[[#This Row],[Total time]]</f>
        <v>0.87458190432351812</v>
      </c>
    </row>
    <row r="979" spans="1:13">
      <c r="I979" t="s">
        <v>192</v>
      </c>
      <c r="J979" s="15">
        <v>0.8</v>
      </c>
      <c r="K979" s="2">
        <v>26.658228201459544</v>
      </c>
      <c r="L979" s="2">
        <f>SUM(TimeEntries208218[Time delta in h])</f>
        <v>30.48111111111939</v>
      </c>
      <c r="M979" s="16">
        <f>Tabelle7367209219[[#This Row],[EBS self time]]/Tabelle7367209219[[#This Row],[Total time]]</f>
        <v>0.87458190432351812</v>
      </c>
    </row>
    <row r="980" spans="1:13">
      <c r="I980" t="s">
        <v>193</v>
      </c>
      <c r="J980" s="15">
        <v>0.95</v>
      </c>
      <c r="K980" s="2">
        <v>26.658228201459544</v>
      </c>
      <c r="L980" s="2">
        <f>SUM(TimeEntries208218[Time delta in h])</f>
        <v>30.48111111111939</v>
      </c>
      <c r="M980" s="16">
        <f>Tabelle7367209219[[#This Row],[EBS self time]]/Tabelle7367209219[[#This Row],[Total time]]</f>
        <v>0.87458190432351812</v>
      </c>
    </row>
    <row r="982" spans="1:13">
      <c r="A982" t="s">
        <v>189</v>
      </c>
      <c r="B982" t="s">
        <v>306</v>
      </c>
      <c r="C982" t="s">
        <v>190</v>
      </c>
      <c r="D982">
        <v>18</v>
      </c>
      <c r="E982" t="s">
        <v>191</v>
      </c>
      <c r="F982">
        <v>13</v>
      </c>
    </row>
    <row r="983" spans="1:13">
      <c r="A983" s="4" t="s">
        <v>24</v>
      </c>
      <c r="I983" t="s">
        <v>135</v>
      </c>
      <c r="J983" t="s">
        <v>136</v>
      </c>
    </row>
    <row r="984" spans="1:13">
      <c r="A984" t="s">
        <v>3</v>
      </c>
      <c r="B984" t="s">
        <v>308</v>
      </c>
    </row>
    <row r="985" spans="1:13">
      <c r="A985" t="s">
        <v>77</v>
      </c>
      <c r="B985" s="2" t="s">
        <v>92</v>
      </c>
      <c r="C985" t="s">
        <v>4</v>
      </c>
    </row>
    <row r="986" spans="1:13">
      <c r="A986" t="s">
        <v>0</v>
      </c>
      <c r="B986" s="2">
        <f>SUM(TimeEntries210220[Time delta in h])</f>
        <v>25.793888888962101</v>
      </c>
      <c r="C986" t="s">
        <v>4</v>
      </c>
    </row>
    <row r="987" spans="1:13">
      <c r="A987" t="s">
        <v>13</v>
      </c>
      <c r="B987" s="5" t="s">
        <v>92</v>
      </c>
    </row>
    <row r="988" spans="1:13">
      <c r="A988" t="s">
        <v>14</v>
      </c>
      <c r="B988" s="5" t="s">
        <v>18</v>
      </c>
    </row>
    <row r="989" spans="1:13">
      <c r="A989" t="s">
        <v>1</v>
      </c>
      <c r="B989" t="s">
        <v>91</v>
      </c>
    </row>
    <row r="990" spans="1:13">
      <c r="A990" t="s">
        <v>15</v>
      </c>
      <c r="B990" s="5" t="s">
        <v>92</v>
      </c>
    </row>
    <row r="991" spans="1:13">
      <c r="A991" t="s">
        <v>2</v>
      </c>
    </row>
    <row r="992" spans="1:13">
      <c r="A992" t="s">
        <v>46</v>
      </c>
      <c r="B992" t="s">
        <v>306</v>
      </c>
    </row>
    <row r="993" spans="1:13">
      <c r="A993" t="s">
        <v>5</v>
      </c>
      <c r="B993" s="2" t="e">
        <f>B985/SUM(TimeEntries210220[Time delta in h])</f>
        <v>#VALUE!</v>
      </c>
      <c r="C993" t="s">
        <v>6</v>
      </c>
    </row>
    <row r="994" spans="1:13">
      <c r="A994" t="s">
        <v>93</v>
      </c>
    </row>
    <row r="995" spans="1:13">
      <c r="A995" t="s">
        <v>94</v>
      </c>
    </row>
    <row r="996" spans="1:13">
      <c r="A996" t="s">
        <v>129</v>
      </c>
      <c r="B996" s="1">
        <v>44161.952106481483</v>
      </c>
    </row>
    <row r="998" spans="1:13">
      <c r="A998" t="s">
        <v>10</v>
      </c>
      <c r="B998" t="s">
        <v>7</v>
      </c>
      <c r="C998" t="s">
        <v>8</v>
      </c>
      <c r="D998" t="s">
        <v>9</v>
      </c>
      <c r="E998" t="s">
        <v>134</v>
      </c>
      <c r="F998" t="s">
        <v>84</v>
      </c>
      <c r="G998" t="s">
        <v>85</v>
      </c>
      <c r="I998" t="s">
        <v>70</v>
      </c>
      <c r="J998" s="15" t="s">
        <v>68</v>
      </c>
      <c r="K998" s="2" t="s">
        <v>69</v>
      </c>
      <c r="L998" t="s">
        <v>71</v>
      </c>
      <c r="M998" t="s">
        <v>72</v>
      </c>
    </row>
    <row r="999" spans="1:13">
      <c r="A999" t="s">
        <v>126</v>
      </c>
      <c r="B999" s="1">
        <v>44160.87736111111</v>
      </c>
      <c r="C999" s="1">
        <v>44161.952106481483</v>
      </c>
      <c r="D999" s="2">
        <f>MAX((TimeEntries210220[[#This Row],[End time]]-TimeEntries210220[[#This Row],[Start time]])*24,0)</f>
        <v>25.793888888962101</v>
      </c>
      <c r="F999" s="54" t="s">
        <v>184</v>
      </c>
      <c r="G999" s="22" t="s">
        <v>185</v>
      </c>
      <c r="J999" s="15"/>
      <c r="K999" s="2"/>
      <c r="L999" s="2">
        <f>SUM(TimeEntries210220[Time delta in h])</f>
        <v>25.793888888962101</v>
      </c>
      <c r="M999" s="16">
        <f>Tabelle7367211221[[#This Row],[EBS self time]]/Tabelle7367211221[[#This Row],[Total time]]</f>
        <v>0</v>
      </c>
    </row>
    <row r="1000" spans="1:13">
      <c r="B1000" s="1"/>
      <c r="C1000" s="1"/>
      <c r="D1000" s="2"/>
    </row>
    <row r="1002" spans="1:13">
      <c r="A1002" t="s">
        <v>189</v>
      </c>
      <c r="B1002" t="s">
        <v>309</v>
      </c>
      <c r="C1002" t="s">
        <v>190</v>
      </c>
      <c r="D1002">
        <v>23</v>
      </c>
      <c r="E1002" t="s">
        <v>191</v>
      </c>
      <c r="F1002">
        <v>13</v>
      </c>
    </row>
    <row r="1003" spans="1:13">
      <c r="A1003" s="4" t="s">
        <v>24</v>
      </c>
      <c r="I1003" t="s">
        <v>135</v>
      </c>
      <c r="J1003" t="s">
        <v>136</v>
      </c>
    </row>
    <row r="1004" spans="1:13">
      <c r="A1004" t="s">
        <v>3</v>
      </c>
      <c r="B1004" t="s">
        <v>311</v>
      </c>
    </row>
    <row r="1005" spans="1:13">
      <c r="A1005" t="s">
        <v>77</v>
      </c>
      <c r="B1005" s="2">
        <v>4.5425539016723633</v>
      </c>
      <c r="C1005" t="s">
        <v>4</v>
      </c>
    </row>
    <row r="1006" spans="1:13">
      <c r="A1006" t="s">
        <v>0</v>
      </c>
      <c r="B1006" s="2">
        <f>SUM(TimeEntries212222226236[Time delta in h])</f>
        <v>9.878888888808433</v>
      </c>
      <c r="C1006" t="s">
        <v>4</v>
      </c>
    </row>
    <row r="1007" spans="1:13">
      <c r="A1007" t="s">
        <v>13</v>
      </c>
      <c r="B1007" s="5" t="s">
        <v>92</v>
      </c>
    </row>
    <row r="1008" spans="1:13">
      <c r="A1008" t="s">
        <v>14</v>
      </c>
      <c r="B1008" s="5" t="s">
        <v>18</v>
      </c>
    </row>
    <row r="1009" spans="1:13">
      <c r="A1009" t="s">
        <v>1</v>
      </c>
      <c r="B1009" t="s">
        <v>91</v>
      </c>
    </row>
    <row r="1010" spans="1:13">
      <c r="A1010" t="s">
        <v>15</v>
      </c>
      <c r="B1010" s="5" t="s">
        <v>92</v>
      </c>
    </row>
    <row r="1011" spans="1:13">
      <c r="A1011" t="s">
        <v>2</v>
      </c>
    </row>
    <row r="1012" spans="1:13">
      <c r="A1012" t="s">
        <v>46</v>
      </c>
      <c r="B1012" t="s">
        <v>309</v>
      </c>
    </row>
    <row r="1013" spans="1:13">
      <c r="A1013" t="s">
        <v>5</v>
      </c>
      <c r="B1013" s="2">
        <f>B1005/SUM(TimeEntries212222226236[Time delta in h])</f>
        <v>0.45982437425918604</v>
      </c>
      <c r="C1013" t="s">
        <v>6</v>
      </c>
    </row>
    <row r="1014" spans="1:13">
      <c r="A1014" t="s">
        <v>93</v>
      </c>
    </row>
    <row r="1015" spans="1:13">
      <c r="A1015" t="s">
        <v>94</v>
      </c>
    </row>
    <row r="1016" spans="1:13">
      <c r="A1016" t="s">
        <v>129</v>
      </c>
      <c r="B1016" s="1">
        <v>44161.952118055553</v>
      </c>
    </row>
    <row r="1018" spans="1:13">
      <c r="A1018" t="s">
        <v>10</v>
      </c>
      <c r="B1018" t="s">
        <v>7</v>
      </c>
      <c r="C1018" t="s">
        <v>8</v>
      </c>
      <c r="D1018" t="s">
        <v>9</v>
      </c>
      <c r="E1018" t="s">
        <v>134</v>
      </c>
      <c r="F1018" t="s">
        <v>84</v>
      </c>
      <c r="G1018" t="s">
        <v>85</v>
      </c>
      <c r="I1018" t="s">
        <v>70</v>
      </c>
      <c r="J1018" s="15" t="s">
        <v>68</v>
      </c>
      <c r="K1018" s="2" t="s">
        <v>69</v>
      </c>
      <c r="L1018" t="s">
        <v>71</v>
      </c>
      <c r="M1018" t="s">
        <v>72</v>
      </c>
    </row>
    <row r="1019" spans="1:13">
      <c r="A1019" t="s">
        <v>126</v>
      </c>
      <c r="B1019" s="1">
        <v>44161.540509259263</v>
      </c>
      <c r="C1019" s="1">
        <v>44161.95212962963</v>
      </c>
      <c r="D1019" s="2">
        <f>MAX((TimeEntries212222226236[[#This Row],[End time]]-TimeEntries212222226236[[#This Row],[Start time]])*24,0)</f>
        <v>9.878888888808433</v>
      </c>
      <c r="F1019" s="54" t="s">
        <v>184</v>
      </c>
      <c r="G1019" s="22" t="s">
        <v>185</v>
      </c>
      <c r="I1019" t="s">
        <v>126</v>
      </c>
      <c r="J1019" s="15">
        <v>0.05</v>
      </c>
      <c r="K1019" s="2">
        <v>2.2712769508361816</v>
      </c>
      <c r="L1019" s="2">
        <f>SUM(TimeEntries212222226236[Time delta in h])</f>
        <v>9.878888888808433</v>
      </c>
      <c r="M1019" s="16">
        <f>Tabelle7367213223227237[[#This Row],[EBS self time]]/Tabelle7367213223227237[[#This Row],[Total time]]</f>
        <v>0.22991218712959302</v>
      </c>
    </row>
    <row r="1020" spans="1:13">
      <c r="B1020" s="1"/>
      <c r="C1020" s="1"/>
      <c r="D1020" s="2"/>
      <c r="I1020" t="s">
        <v>127</v>
      </c>
      <c r="J1020" s="15">
        <v>0.2</v>
      </c>
      <c r="K1020" s="2">
        <v>2.2712769508361816</v>
      </c>
      <c r="L1020" s="2">
        <f>SUM(TimeEntries212222226236[Time delta in h])</f>
        <v>9.878888888808433</v>
      </c>
      <c r="M1020" s="16">
        <f>Tabelle7367213223227237[[#This Row],[EBS self time]]/Tabelle7367213223227237[[#This Row],[Total time]]</f>
        <v>0.22991218712959302</v>
      </c>
    </row>
    <row r="1021" spans="1:13">
      <c r="I1021" t="s">
        <v>169</v>
      </c>
      <c r="J1021" s="15">
        <v>0.35</v>
      </c>
      <c r="K1021" s="2">
        <v>2.2712769508361816</v>
      </c>
      <c r="L1021" s="2">
        <f>SUM(TimeEntries212222226236[Time delta in h])</f>
        <v>9.878888888808433</v>
      </c>
      <c r="M1021" s="16">
        <f>Tabelle7367213223227237[[#This Row],[EBS self time]]/Tabelle7367213223227237[[#This Row],[Total time]]</f>
        <v>0.22991218712959302</v>
      </c>
    </row>
    <row r="1022" spans="1:13">
      <c r="I1022" t="s">
        <v>172</v>
      </c>
      <c r="J1022" s="15">
        <v>0.5</v>
      </c>
      <c r="K1022" s="2">
        <v>2.2712769508361816</v>
      </c>
      <c r="L1022" s="2">
        <f>SUM(TimeEntries212222226236[Time delta in h])</f>
        <v>9.878888888808433</v>
      </c>
      <c r="M1022" s="16">
        <f>Tabelle7367213223227237[[#This Row],[EBS self time]]/Tabelle7367213223227237[[#This Row],[Total time]]</f>
        <v>0.22991218712959302</v>
      </c>
    </row>
    <row r="1023" spans="1:13">
      <c r="I1023" t="s">
        <v>187</v>
      </c>
      <c r="J1023" s="15">
        <v>0.65</v>
      </c>
      <c r="K1023" s="2">
        <v>5.0474288362865325</v>
      </c>
      <c r="L1023" s="2">
        <f>SUM(TimeEntries212222226236[Time delta in h])</f>
        <v>9.878888888808433</v>
      </c>
      <c r="M1023" s="16">
        <f>Tabelle7367213223227237[[#This Row],[EBS self time]]/Tabelle7367213223227237[[#This Row],[Total time]]</f>
        <v>0.5109308236075667</v>
      </c>
    </row>
    <row r="1024" spans="1:13">
      <c r="I1024" t="s">
        <v>192</v>
      </c>
      <c r="J1024" s="15">
        <v>0.8</v>
      </c>
      <c r="K1024" s="2">
        <v>8.8033990342487662</v>
      </c>
      <c r="L1024" s="2">
        <f>SUM(TimeEntries212222226236[Time delta in h])</f>
        <v>9.878888888808433</v>
      </c>
      <c r="M1024" s="16">
        <f>Tabelle7367213223227237[[#This Row],[EBS self time]]/Tabelle7367213223227237[[#This Row],[Total time]]</f>
        <v>0.89113250825423651</v>
      </c>
    </row>
    <row r="1025" spans="1:13">
      <c r="I1025" t="s">
        <v>193</v>
      </c>
      <c r="J1025" s="15">
        <v>0.95</v>
      </c>
      <c r="K1025" s="2">
        <v>8.8033990342487662</v>
      </c>
      <c r="L1025" s="2">
        <f>SUM(TimeEntries212222226236[Time delta in h])</f>
        <v>9.878888888808433</v>
      </c>
      <c r="M1025" s="16">
        <f>Tabelle7367213223227237[[#This Row],[EBS self time]]/Tabelle7367213223227237[[#This Row],[Total time]]</f>
        <v>0.89113250825423651</v>
      </c>
    </row>
    <row r="1027" spans="1:13">
      <c r="A1027" t="s">
        <v>189</v>
      </c>
      <c r="B1027" t="s">
        <v>312</v>
      </c>
      <c r="C1027" t="s">
        <v>190</v>
      </c>
      <c r="D1027">
        <v>23</v>
      </c>
      <c r="E1027" t="s">
        <v>191</v>
      </c>
      <c r="F1027">
        <v>13</v>
      </c>
    </row>
    <row r="1028" spans="1:13">
      <c r="A1028" s="4" t="s">
        <v>24</v>
      </c>
      <c r="I1028" t="s">
        <v>135</v>
      </c>
      <c r="J1028" t="s">
        <v>136</v>
      </c>
    </row>
    <row r="1029" spans="1:13">
      <c r="A1029" t="s">
        <v>3</v>
      </c>
      <c r="B1029" t="s">
        <v>314</v>
      </c>
    </row>
    <row r="1030" spans="1:13">
      <c r="A1030" t="s">
        <v>77</v>
      </c>
      <c r="B1030" s="2">
        <v>8.1418552398681641</v>
      </c>
      <c r="C1030" t="s">
        <v>4</v>
      </c>
    </row>
    <row r="1031" spans="1:13">
      <c r="A1031" t="s">
        <v>0</v>
      </c>
      <c r="B1031" s="2">
        <f>SUM(TimeEntries228238[Time delta in h])</f>
        <v>14.683333333348855</v>
      </c>
      <c r="C1031" t="s">
        <v>4</v>
      </c>
    </row>
    <row r="1032" spans="1:13">
      <c r="A1032" t="s">
        <v>13</v>
      </c>
      <c r="B1032" s="5" t="s">
        <v>92</v>
      </c>
    </row>
    <row r="1033" spans="1:13">
      <c r="A1033" t="s">
        <v>14</v>
      </c>
      <c r="B1033" s="5" t="s">
        <v>18</v>
      </c>
    </row>
    <row r="1034" spans="1:13">
      <c r="A1034" t="s">
        <v>1</v>
      </c>
      <c r="B1034" t="s">
        <v>131</v>
      </c>
    </row>
    <row r="1035" spans="1:13">
      <c r="A1035" t="s">
        <v>15</v>
      </c>
      <c r="B1035" s="5">
        <v>44161.952141203707</v>
      </c>
    </row>
    <row r="1036" spans="1:13">
      <c r="A1036" t="s">
        <v>2</v>
      </c>
    </row>
    <row r="1037" spans="1:13">
      <c r="A1037" t="s">
        <v>46</v>
      </c>
      <c r="B1037" t="s">
        <v>312</v>
      </c>
    </row>
    <row r="1038" spans="1:13">
      <c r="A1038" t="s">
        <v>5</v>
      </c>
      <c r="B1038" s="2">
        <f>B1030/SUM(TimeEntries228238[Time delta in h])</f>
        <v>0.55449638409940227</v>
      </c>
      <c r="C1038" t="s">
        <v>6</v>
      </c>
    </row>
    <row r="1039" spans="1:13">
      <c r="A1039" t="s">
        <v>93</v>
      </c>
    </row>
    <row r="1040" spans="1:13">
      <c r="A1040" t="s">
        <v>94</v>
      </c>
    </row>
    <row r="1041" spans="1:13">
      <c r="A1041" t="s">
        <v>129</v>
      </c>
      <c r="B1041" s="1">
        <v>44161.952141203707</v>
      </c>
    </row>
    <row r="1043" spans="1:13">
      <c r="A1043" t="s">
        <v>10</v>
      </c>
      <c r="B1043" t="s">
        <v>7</v>
      </c>
      <c r="C1043" t="s">
        <v>8</v>
      </c>
      <c r="D1043" t="s">
        <v>9</v>
      </c>
      <c r="E1043" t="s">
        <v>134</v>
      </c>
      <c r="F1043" t="s">
        <v>84</v>
      </c>
      <c r="G1043" t="s">
        <v>85</v>
      </c>
      <c r="I1043" t="s">
        <v>70</v>
      </c>
      <c r="J1043" s="15" t="s">
        <v>68</v>
      </c>
      <c r="K1043" s="2" t="s">
        <v>69</v>
      </c>
      <c r="L1043" t="s">
        <v>71</v>
      </c>
      <c r="M1043" t="s">
        <v>72</v>
      </c>
    </row>
    <row r="1044" spans="1:13">
      <c r="A1044" t="s">
        <v>126</v>
      </c>
      <c r="B1044" s="1">
        <v>44161.34033564815</v>
      </c>
      <c r="C1044" s="1">
        <v>44161.952141203707</v>
      </c>
      <c r="D1044" s="2">
        <f>MAX((TimeEntries228238[[#This Row],[End time]]-TimeEntries228238[[#This Row],[Start time]])*24,0)</f>
        <v>14.683333333348855</v>
      </c>
      <c r="F1044" s="54" t="s">
        <v>184</v>
      </c>
      <c r="G1044" s="22" t="s">
        <v>185</v>
      </c>
      <c r="I1044" t="s">
        <v>126</v>
      </c>
      <c r="J1044" s="15">
        <v>0.05</v>
      </c>
      <c r="K1044" s="2">
        <v>4.070927619934082</v>
      </c>
      <c r="L1044" s="2">
        <f>SUM(TimeEntries228238[Time delta in h])</f>
        <v>14.683333333348855</v>
      </c>
      <c r="M1044" s="16">
        <f>Tabelle7367229239[[#This Row],[EBS self time]]/Tabelle7367229239[[#This Row],[Total time]]</f>
        <v>0.27724819204970114</v>
      </c>
    </row>
    <row r="1045" spans="1:13">
      <c r="B1045" s="1"/>
      <c r="C1045" s="1"/>
      <c r="D1045" s="2"/>
      <c r="I1045" t="s">
        <v>127</v>
      </c>
      <c r="J1045" s="15">
        <v>0.2</v>
      </c>
      <c r="K1045" s="2">
        <v>4.070927619934082</v>
      </c>
      <c r="L1045" s="2">
        <f>SUM(TimeEntries228238[Time delta in h])</f>
        <v>14.683333333348855</v>
      </c>
      <c r="M1045" s="16">
        <f>Tabelle7367229239[[#This Row],[EBS self time]]/Tabelle7367229239[[#This Row],[Total time]]</f>
        <v>0.27724819204970114</v>
      </c>
    </row>
    <row r="1046" spans="1:13">
      <c r="I1046" t="s">
        <v>169</v>
      </c>
      <c r="J1046" s="15">
        <v>0.35</v>
      </c>
      <c r="K1046" s="2">
        <v>4.070927619934082</v>
      </c>
      <c r="L1046" s="2">
        <f>SUM(TimeEntries228238[Time delta in h])</f>
        <v>14.683333333348855</v>
      </c>
      <c r="M1046" s="16">
        <f>Tabelle7367229239[[#This Row],[EBS self time]]/Tabelle7367229239[[#This Row],[Total time]]</f>
        <v>0.27724819204970114</v>
      </c>
    </row>
    <row r="1047" spans="1:13">
      <c r="I1047" t="s">
        <v>172</v>
      </c>
      <c r="J1047" s="15">
        <v>0.5</v>
      </c>
      <c r="K1047" s="2">
        <v>4.070927619934082</v>
      </c>
      <c r="L1047" s="2">
        <f>SUM(TimeEntries228238[Time delta in h])</f>
        <v>14.683333333348855</v>
      </c>
      <c r="M1047" s="16">
        <f>Tabelle7367229239[[#This Row],[EBS self time]]/Tabelle7367229239[[#This Row],[Total time]]</f>
        <v>0.27724819204970114</v>
      </c>
    </row>
    <row r="1048" spans="1:13">
      <c r="I1048" t="s">
        <v>187</v>
      </c>
      <c r="J1048" s="15">
        <v>0.65</v>
      </c>
      <c r="K1048" s="2">
        <v>9.0467688018961514</v>
      </c>
      <c r="L1048" s="2">
        <f>SUM(TimeEntries228238[Time delta in h])</f>
        <v>14.683333333348855</v>
      </c>
      <c r="M1048" s="16">
        <f>Tabelle7367229239[[#This Row],[EBS self time]]/Tabelle7367229239[[#This Row],[Total time]]</f>
        <v>0.61612500353370636</v>
      </c>
    </row>
    <row r="1049" spans="1:13">
      <c r="I1049" t="s">
        <v>192</v>
      </c>
      <c r="J1049" s="15">
        <v>0.8</v>
      </c>
      <c r="K1049" s="2">
        <v>15.778789224550705</v>
      </c>
      <c r="L1049" s="2">
        <f>SUM(TimeEntries228238[Time delta in h])</f>
        <v>14.683333333348855</v>
      </c>
      <c r="M1049" s="16">
        <f>Tabelle7367229239[[#This Row],[EBS self time]]/Tabelle7367229239[[#This Row],[Total time]]</f>
        <v>1.0746053955414774</v>
      </c>
    </row>
    <row r="1050" spans="1:13">
      <c r="I1050" t="s">
        <v>193</v>
      </c>
      <c r="J1050" s="15">
        <v>0.95</v>
      </c>
      <c r="K1050" s="2">
        <v>15.778789224550705</v>
      </c>
      <c r="L1050" s="2">
        <f>SUM(TimeEntries228238[Time delta in h])</f>
        <v>14.683333333348855</v>
      </c>
      <c r="M1050" s="16">
        <f>Tabelle7367229239[[#This Row],[EBS self time]]/Tabelle7367229239[[#This Row],[Total time]]</f>
        <v>1.0746053955414774</v>
      </c>
    </row>
    <row r="1052" spans="1:13">
      <c r="A1052" t="s">
        <v>189</v>
      </c>
      <c r="B1052" t="s">
        <v>315</v>
      </c>
      <c r="C1052" t="s">
        <v>190</v>
      </c>
      <c r="D1052">
        <v>18</v>
      </c>
      <c r="E1052" t="s">
        <v>191</v>
      </c>
      <c r="F1052">
        <v>13</v>
      </c>
    </row>
    <row r="1053" spans="1:13">
      <c r="A1053" s="4" t="s">
        <v>24</v>
      </c>
      <c r="I1053" t="s">
        <v>135</v>
      </c>
      <c r="J1053" t="s">
        <v>136</v>
      </c>
    </row>
    <row r="1054" spans="1:13">
      <c r="A1054" t="s">
        <v>3</v>
      </c>
      <c r="B1054" t="s">
        <v>317</v>
      </c>
    </row>
    <row r="1055" spans="1:13">
      <c r="A1055" t="s">
        <v>77</v>
      </c>
      <c r="B1055" s="2" t="s">
        <v>92</v>
      </c>
      <c r="C1055" t="s">
        <v>4</v>
      </c>
    </row>
    <row r="1056" spans="1:13">
      <c r="A1056" t="s">
        <v>0</v>
      </c>
      <c r="B1056" s="2">
        <f>SUM(TimeEntries230240[Time delta in h])</f>
        <v>2.4336111112497747</v>
      </c>
      <c r="C1056" t="s">
        <v>4</v>
      </c>
    </row>
    <row r="1057" spans="1:13">
      <c r="A1057" t="s">
        <v>13</v>
      </c>
      <c r="B1057" s="5" t="s">
        <v>92</v>
      </c>
    </row>
    <row r="1058" spans="1:13">
      <c r="A1058" t="s">
        <v>14</v>
      </c>
      <c r="B1058" s="5" t="s">
        <v>18</v>
      </c>
    </row>
    <row r="1059" spans="1:13">
      <c r="A1059" t="s">
        <v>1</v>
      </c>
      <c r="B1059" t="s">
        <v>91</v>
      </c>
    </row>
    <row r="1060" spans="1:13">
      <c r="A1060" t="s">
        <v>15</v>
      </c>
      <c r="B1060" s="5" t="s">
        <v>92</v>
      </c>
    </row>
    <row r="1061" spans="1:13">
      <c r="A1061" t="s">
        <v>2</v>
      </c>
    </row>
    <row r="1062" spans="1:13">
      <c r="A1062" t="s">
        <v>46</v>
      </c>
      <c r="B1062" t="s">
        <v>315</v>
      </c>
    </row>
    <row r="1063" spans="1:13">
      <c r="A1063" t="s">
        <v>5</v>
      </c>
      <c r="B1063" s="2" t="e">
        <f>B1055/SUM(TimeEntries230240[Time delta in h])</f>
        <v>#VALUE!</v>
      </c>
      <c r="C1063" t="s">
        <v>6</v>
      </c>
    </row>
    <row r="1064" spans="1:13">
      <c r="A1064" t="s">
        <v>93</v>
      </c>
    </row>
    <row r="1065" spans="1:13">
      <c r="A1065" t="s">
        <v>94</v>
      </c>
    </row>
    <row r="1066" spans="1:13">
      <c r="A1066" t="s">
        <v>129</v>
      </c>
      <c r="B1066" s="1">
        <v>44161.952141203707</v>
      </c>
    </row>
    <row r="1068" spans="1:13">
      <c r="A1068" t="s">
        <v>10</v>
      </c>
      <c r="B1068" t="s">
        <v>7</v>
      </c>
      <c r="C1068" t="s">
        <v>8</v>
      </c>
      <c r="D1068" t="s">
        <v>9</v>
      </c>
      <c r="E1068" t="s">
        <v>134</v>
      </c>
      <c r="F1068" t="s">
        <v>84</v>
      </c>
      <c r="G1068" t="s">
        <v>85</v>
      </c>
      <c r="I1068" t="s">
        <v>70</v>
      </c>
      <c r="J1068" s="15" t="s">
        <v>68</v>
      </c>
      <c r="K1068" s="2" t="s">
        <v>69</v>
      </c>
      <c r="L1068" t="s">
        <v>71</v>
      </c>
      <c r="M1068" t="s">
        <v>72</v>
      </c>
    </row>
    <row r="1069" spans="1:13">
      <c r="A1069" t="s">
        <v>126</v>
      </c>
      <c r="B1069" s="1">
        <v>44161.850740740738</v>
      </c>
      <c r="C1069" s="1">
        <v>44161.952141203707</v>
      </c>
      <c r="D1069" s="2">
        <f>MAX((TimeEntries230240[[#This Row],[End time]]-TimeEntries230240[[#This Row],[Start time]])*24,0)</f>
        <v>2.4336111112497747</v>
      </c>
      <c r="F1069" s="54" t="s">
        <v>184</v>
      </c>
      <c r="G1069" s="22" t="s">
        <v>185</v>
      </c>
      <c r="J1069" s="15"/>
      <c r="K1069" s="2"/>
      <c r="L1069" s="2">
        <f>SUM(TimeEntries230240[Time delta in h])</f>
        <v>2.4336111112497747</v>
      </c>
      <c r="M1069" s="16">
        <f>Tabelle7367231241[[#This Row],[EBS self time]]/Tabelle7367231241[[#This Row],[Total time]]</f>
        <v>0</v>
      </c>
    </row>
    <row r="1070" spans="1:13">
      <c r="B1070" s="1"/>
      <c r="C1070" s="1"/>
      <c r="D1070" s="2"/>
    </row>
    <row r="1072" spans="1:13">
      <c r="A1072" t="s">
        <v>189</v>
      </c>
      <c r="B1072" t="s">
        <v>318</v>
      </c>
      <c r="C1072" t="s">
        <v>190</v>
      </c>
      <c r="D1072">
        <v>23</v>
      </c>
      <c r="E1072" t="s">
        <v>191</v>
      </c>
      <c r="F1072">
        <v>13</v>
      </c>
    </row>
    <row r="1073" spans="1:13">
      <c r="A1073" s="4" t="s">
        <v>24</v>
      </c>
      <c r="I1073" t="s">
        <v>135</v>
      </c>
      <c r="J1073" t="s">
        <v>136</v>
      </c>
    </row>
    <row r="1074" spans="1:13">
      <c r="A1074" t="s">
        <v>3</v>
      </c>
      <c r="B1074" t="s">
        <v>320</v>
      </c>
    </row>
    <row r="1075" spans="1:13">
      <c r="A1075" t="s">
        <v>77</v>
      </c>
      <c r="B1075" s="2">
        <v>1.9998464584350586</v>
      </c>
      <c r="C1075" t="s">
        <v>4</v>
      </c>
    </row>
    <row r="1076" spans="1:13">
      <c r="A1076" t="s">
        <v>0</v>
      </c>
      <c r="B1076" s="2">
        <f>SUM(TimeEntries232242[Time delta in h])</f>
        <v>3.4827777776517905</v>
      </c>
      <c r="C1076" t="s">
        <v>4</v>
      </c>
    </row>
    <row r="1077" spans="1:13">
      <c r="A1077" t="s">
        <v>13</v>
      </c>
      <c r="B1077" s="5" t="s">
        <v>92</v>
      </c>
    </row>
    <row r="1078" spans="1:13">
      <c r="A1078" t="s">
        <v>14</v>
      </c>
      <c r="B1078" s="5" t="s">
        <v>18</v>
      </c>
    </row>
    <row r="1079" spans="1:13">
      <c r="A1079" t="s">
        <v>1</v>
      </c>
      <c r="B1079" t="s">
        <v>91</v>
      </c>
    </row>
    <row r="1080" spans="1:13">
      <c r="A1080" t="s">
        <v>15</v>
      </c>
      <c r="B1080" s="5" t="s">
        <v>92</v>
      </c>
    </row>
    <row r="1081" spans="1:13">
      <c r="A1081" t="s">
        <v>2</v>
      </c>
    </row>
    <row r="1082" spans="1:13">
      <c r="A1082" t="s">
        <v>46</v>
      </c>
      <c r="B1082" t="s">
        <v>318</v>
      </c>
    </row>
    <row r="1083" spans="1:13">
      <c r="A1083" t="s">
        <v>5</v>
      </c>
      <c r="B1083" s="2">
        <f>B1075/SUM(TimeEntries232242[Time delta in h])</f>
        <v>0.57421018109958899</v>
      </c>
      <c r="C1083" t="s">
        <v>6</v>
      </c>
    </row>
    <row r="1084" spans="1:13">
      <c r="A1084" t="s">
        <v>93</v>
      </c>
    </row>
    <row r="1085" spans="1:13">
      <c r="A1085" t="s">
        <v>94</v>
      </c>
    </row>
    <row r="1086" spans="1:13">
      <c r="A1086" t="s">
        <v>129</v>
      </c>
      <c r="B1086" s="1">
        <v>44161.952152777776</v>
      </c>
    </row>
    <row r="1088" spans="1:13">
      <c r="A1088" t="s">
        <v>10</v>
      </c>
      <c r="B1088" t="s">
        <v>7</v>
      </c>
      <c r="C1088" t="s">
        <v>8</v>
      </c>
      <c r="D1088" t="s">
        <v>9</v>
      </c>
      <c r="E1088" t="s">
        <v>134</v>
      </c>
      <c r="F1088" t="s">
        <v>84</v>
      </c>
      <c r="G1088" t="s">
        <v>85</v>
      </c>
      <c r="I1088" t="s">
        <v>70</v>
      </c>
      <c r="J1088" s="15" t="s">
        <v>68</v>
      </c>
      <c r="K1088" s="2" t="s">
        <v>69</v>
      </c>
      <c r="L1088" t="s">
        <v>71</v>
      </c>
      <c r="M1088" t="s">
        <v>72</v>
      </c>
    </row>
    <row r="1089" spans="1:13">
      <c r="A1089" t="s">
        <v>126</v>
      </c>
      <c r="B1089" s="1">
        <v>44161.807037037041</v>
      </c>
      <c r="C1089" s="1">
        <v>44161.952152777776</v>
      </c>
      <c r="D1089" s="2">
        <f>MAX((TimeEntries232242[[#This Row],[End time]]-TimeEntries232242[[#This Row],[Start time]])*24,0)</f>
        <v>3.4827777776517905</v>
      </c>
      <c r="F1089" s="54" t="s">
        <v>184</v>
      </c>
      <c r="G1089" s="22" t="s">
        <v>185</v>
      </c>
      <c r="I1089" t="s">
        <v>126</v>
      </c>
      <c r="J1089" s="15">
        <v>0.05</v>
      </c>
      <c r="K1089" s="2">
        <v>0.9999232292175293</v>
      </c>
      <c r="L1089" s="2">
        <f>SUM(TimeEntries232242[Time delta in h])</f>
        <v>3.4827777776517905</v>
      </c>
      <c r="M1089" s="16">
        <f>Tabelle7367233243[[#This Row],[EBS self time]]/Tabelle7367233243[[#This Row],[Total time]]</f>
        <v>0.28710509054979449</v>
      </c>
    </row>
    <row r="1090" spans="1:13">
      <c r="B1090" s="1"/>
      <c r="C1090" s="1"/>
      <c r="D1090" s="2"/>
      <c r="I1090" t="s">
        <v>127</v>
      </c>
      <c r="J1090" s="15">
        <v>0.2</v>
      </c>
      <c r="K1090" s="2">
        <v>0.9999232292175293</v>
      </c>
      <c r="L1090" s="2">
        <f>SUM(TimeEntries232242[Time delta in h])</f>
        <v>3.4827777776517905</v>
      </c>
      <c r="M1090" s="16">
        <f>Tabelle7367233243[[#This Row],[EBS self time]]/Tabelle7367233243[[#This Row],[Total time]]</f>
        <v>0.28710509054979449</v>
      </c>
    </row>
    <row r="1091" spans="1:13">
      <c r="I1091" t="s">
        <v>169</v>
      </c>
      <c r="J1091" s="15">
        <v>0.35</v>
      </c>
      <c r="K1091" s="2">
        <v>0.9999232292175293</v>
      </c>
      <c r="L1091" s="2">
        <f>SUM(TimeEntries232242[Time delta in h])</f>
        <v>3.4827777776517905</v>
      </c>
      <c r="M1091" s="16">
        <f>Tabelle7367233243[[#This Row],[EBS self time]]/Tabelle7367233243[[#This Row],[Total time]]</f>
        <v>0.28710509054979449</v>
      </c>
    </row>
    <row r="1092" spans="1:13">
      <c r="I1092" t="s">
        <v>172</v>
      </c>
      <c r="J1092" s="15">
        <v>0.5</v>
      </c>
      <c r="K1092" s="2">
        <v>0.9999232292175293</v>
      </c>
      <c r="L1092" s="2">
        <f>SUM(TimeEntries232242[Time delta in h])</f>
        <v>3.4827777776517905</v>
      </c>
      <c r="M1092" s="16">
        <f>Tabelle7367233243[[#This Row],[EBS self time]]/Tabelle7367233243[[#This Row],[Total time]]</f>
        <v>0.28710509054979449</v>
      </c>
    </row>
    <row r="1093" spans="1:13">
      <c r="I1093" t="s">
        <v>187</v>
      </c>
      <c r="J1093" s="15">
        <v>0.65</v>
      </c>
      <c r="K1093" s="2">
        <v>0.9999232292175293</v>
      </c>
      <c r="L1093" s="2">
        <f>SUM(TimeEntries232242[Time delta in h])</f>
        <v>3.4827777776517905</v>
      </c>
      <c r="M1093" s="16">
        <f>Tabelle7367233243[[#This Row],[EBS self time]]/Tabelle7367233243[[#This Row],[Total time]]</f>
        <v>0.28710509054979449</v>
      </c>
    </row>
    <row r="1094" spans="1:13">
      <c r="I1094" t="s">
        <v>192</v>
      </c>
      <c r="J1094" s="15">
        <v>0.8</v>
      </c>
      <c r="K1094" s="2">
        <v>3.8756714310756948</v>
      </c>
      <c r="L1094" s="2">
        <f>SUM(TimeEntries232242[Time delta in h])</f>
        <v>3.4827777776517905</v>
      </c>
      <c r="M1094" s="16">
        <f>Tabelle7367233243[[#This Row],[EBS self time]]/Tabelle7367233243[[#This Row],[Total time]]</f>
        <v>1.1128104284875755</v>
      </c>
    </row>
    <row r="1095" spans="1:13">
      <c r="I1095" t="s">
        <v>193</v>
      </c>
      <c r="J1095" s="15">
        <v>0.95</v>
      </c>
      <c r="K1095" s="2">
        <v>3.8756714310756948</v>
      </c>
      <c r="L1095" s="2">
        <f>SUM(TimeEntries232242[Time delta in h])</f>
        <v>3.4827777776517905</v>
      </c>
      <c r="M1095" s="16">
        <f>Tabelle7367233243[[#This Row],[EBS self time]]/Tabelle7367233243[[#This Row],[Total time]]</f>
        <v>1.1128104284875755</v>
      </c>
    </row>
    <row r="1097" spans="1:13">
      <c r="A1097" t="s">
        <v>189</v>
      </c>
      <c r="B1097" t="s">
        <v>321</v>
      </c>
      <c r="C1097" t="s">
        <v>190</v>
      </c>
      <c r="D1097">
        <v>23</v>
      </c>
      <c r="E1097" t="s">
        <v>191</v>
      </c>
      <c r="F1097">
        <v>13</v>
      </c>
    </row>
    <row r="1098" spans="1:13">
      <c r="A1098" s="4" t="s">
        <v>24</v>
      </c>
      <c r="I1098" t="s">
        <v>135</v>
      </c>
      <c r="J1098" t="s">
        <v>136</v>
      </c>
    </row>
    <row r="1099" spans="1:13">
      <c r="A1099" t="s">
        <v>3</v>
      </c>
      <c r="B1099" t="s">
        <v>323</v>
      </c>
    </row>
    <row r="1100" spans="1:13">
      <c r="A1100" t="s">
        <v>77</v>
      </c>
      <c r="B1100" s="2">
        <v>8.8327064514160156</v>
      </c>
      <c r="C1100" t="s">
        <v>4</v>
      </c>
    </row>
    <row r="1101" spans="1:13">
      <c r="A1101" t="s">
        <v>0</v>
      </c>
      <c r="B1101" s="2">
        <f>SUM(TimeEntries234244248258[Time delta in h])</f>
        <v>25.464166666497476</v>
      </c>
      <c r="C1101" t="s">
        <v>4</v>
      </c>
    </row>
    <row r="1102" spans="1:13">
      <c r="A1102" t="s">
        <v>13</v>
      </c>
      <c r="B1102" s="5" t="s">
        <v>92</v>
      </c>
    </row>
    <row r="1103" spans="1:13">
      <c r="A1103" t="s">
        <v>14</v>
      </c>
      <c r="B1103" s="5" t="s">
        <v>18</v>
      </c>
    </row>
    <row r="1104" spans="1:13">
      <c r="A1104" t="s">
        <v>1</v>
      </c>
      <c r="B1104" t="s">
        <v>91</v>
      </c>
    </row>
    <row r="1105" spans="1:13">
      <c r="A1105" t="s">
        <v>15</v>
      </c>
      <c r="B1105" s="5" t="s">
        <v>92</v>
      </c>
    </row>
    <row r="1106" spans="1:13">
      <c r="A1106" t="s">
        <v>2</v>
      </c>
    </row>
    <row r="1107" spans="1:13">
      <c r="A1107" t="s">
        <v>46</v>
      </c>
      <c r="B1107" t="s">
        <v>321</v>
      </c>
    </row>
    <row r="1108" spans="1:13">
      <c r="A1108" t="s">
        <v>5</v>
      </c>
      <c r="B1108" s="2">
        <f>B1100/SUM(TimeEntries234244248258[Time delta in h])</f>
        <v>0.34686807414895582</v>
      </c>
      <c r="C1108" t="s">
        <v>6</v>
      </c>
    </row>
    <row r="1109" spans="1:13">
      <c r="A1109" t="s">
        <v>93</v>
      </c>
    </row>
    <row r="1110" spans="1:13">
      <c r="A1110" t="s">
        <v>94</v>
      </c>
    </row>
    <row r="1111" spans="1:13">
      <c r="A1111" t="s">
        <v>129</v>
      </c>
      <c r="B1111" s="1">
        <v>44161.952152777776</v>
      </c>
    </row>
    <row r="1113" spans="1:13">
      <c r="A1113" t="s">
        <v>10</v>
      </c>
      <c r="B1113" t="s">
        <v>7</v>
      </c>
      <c r="C1113" t="s">
        <v>8</v>
      </c>
      <c r="D1113" t="s">
        <v>9</v>
      </c>
      <c r="E1113" t="s">
        <v>134</v>
      </c>
      <c r="F1113" t="s">
        <v>84</v>
      </c>
      <c r="G1113" t="s">
        <v>85</v>
      </c>
      <c r="I1113" t="s">
        <v>70</v>
      </c>
      <c r="J1113" s="15" t="s">
        <v>68</v>
      </c>
      <c r="K1113" s="2" t="s">
        <v>69</v>
      </c>
      <c r="L1113" t="s">
        <v>71</v>
      </c>
      <c r="M1113" t="s">
        <v>72</v>
      </c>
    </row>
    <row r="1114" spans="1:13">
      <c r="A1114" t="s">
        <v>126</v>
      </c>
      <c r="B1114" s="1">
        <v>44160.891168981485</v>
      </c>
      <c r="C1114" s="1">
        <v>44161.952175925922</v>
      </c>
      <c r="D1114" s="2">
        <f>MAX((TimeEntries234244248258[[#This Row],[End time]]-TimeEntries234244248258[[#This Row],[Start time]])*24,0)</f>
        <v>25.464166666497476</v>
      </c>
      <c r="F1114" s="54" t="s">
        <v>184</v>
      </c>
      <c r="G1114" s="22" t="s">
        <v>185</v>
      </c>
      <c r="I1114" t="s">
        <v>126</v>
      </c>
      <c r="J1114" s="15">
        <v>0.05</v>
      </c>
      <c r="K1114" s="2">
        <v>4.4163532257080078</v>
      </c>
      <c r="L1114" s="2">
        <f>SUM(TimeEntries234244248258[Time delta in h])</f>
        <v>25.464166666497476</v>
      </c>
      <c r="M1114" s="16">
        <f>Tabelle7367235245249259[[#This Row],[EBS self time]]/Tabelle7367235245249259[[#This Row],[Total time]]</f>
        <v>0.17343403707447791</v>
      </c>
    </row>
    <row r="1115" spans="1:13">
      <c r="B1115" s="1"/>
      <c r="C1115" s="1"/>
      <c r="D1115" s="2"/>
      <c r="I1115" t="s">
        <v>127</v>
      </c>
      <c r="J1115" s="15">
        <v>0.2</v>
      </c>
      <c r="K1115" s="2">
        <v>4.4163532257080078</v>
      </c>
      <c r="L1115" s="2">
        <f>SUM(TimeEntries234244248258[Time delta in h])</f>
        <v>25.464166666497476</v>
      </c>
      <c r="M1115" s="16">
        <f>Tabelle7367235245249259[[#This Row],[EBS self time]]/Tabelle7367235245249259[[#This Row],[Total time]]</f>
        <v>0.17343403707447791</v>
      </c>
    </row>
    <row r="1116" spans="1:13">
      <c r="I1116" t="s">
        <v>169</v>
      </c>
      <c r="J1116" s="15">
        <v>0.35</v>
      </c>
      <c r="K1116" s="2">
        <v>4.4163532257080078</v>
      </c>
      <c r="L1116" s="2">
        <f>SUM(TimeEntries234244248258[Time delta in h])</f>
        <v>25.464166666497476</v>
      </c>
      <c r="M1116" s="16">
        <f>Tabelle7367235245249259[[#This Row],[EBS self time]]/Tabelle7367235245249259[[#This Row],[Total time]]</f>
        <v>0.17343403707447791</v>
      </c>
    </row>
    <row r="1117" spans="1:13">
      <c r="I1117" t="s">
        <v>172</v>
      </c>
      <c r="J1117" s="15">
        <v>0.5</v>
      </c>
      <c r="K1117" s="2">
        <v>4.4163532257080078</v>
      </c>
      <c r="L1117" s="2">
        <f>SUM(TimeEntries234244248258[Time delta in h])</f>
        <v>25.464166666497476</v>
      </c>
      <c r="M1117" s="16">
        <f>Tabelle7367235245249259[[#This Row],[EBS self time]]/Tabelle7367235245249259[[#This Row],[Total time]]</f>
        <v>0.17343403707447791</v>
      </c>
    </row>
    <row r="1118" spans="1:13">
      <c r="I1118" t="s">
        <v>187</v>
      </c>
      <c r="J1118" s="15">
        <v>0.65</v>
      </c>
      <c r="K1118" s="2">
        <v>9.8144035734871604</v>
      </c>
      <c r="L1118" s="2">
        <f>SUM(TimeEntries234244248258[Time delta in h])</f>
        <v>25.464166666497476</v>
      </c>
      <c r="M1118" s="16">
        <f>Tabelle7367235245249259[[#This Row],[EBS self time]]/Tabelle7367235245249259[[#This Row],[Total time]]</f>
        <v>0.38542017502578274</v>
      </c>
    </row>
    <row r="1119" spans="1:13">
      <c r="I1119" t="s">
        <v>192</v>
      </c>
      <c r="J1119" s="15">
        <v>0.8</v>
      </c>
      <c r="K1119" s="2">
        <v>17.117648161658945</v>
      </c>
      <c r="L1119" s="2">
        <f>SUM(TimeEntries234244248258[Time delta in h])</f>
        <v>25.464166666497476</v>
      </c>
      <c r="M1119" s="16">
        <f>Tabelle7367235245249259[[#This Row],[EBS self time]]/Tabelle7367235245249259[[#This Row],[Total time]]</f>
        <v>0.67222494990107717</v>
      </c>
    </row>
    <row r="1120" spans="1:13">
      <c r="I1120" t="s">
        <v>193</v>
      </c>
      <c r="J1120" s="15">
        <v>0.95</v>
      </c>
      <c r="K1120" s="2">
        <v>17.117648161658945</v>
      </c>
      <c r="L1120" s="2">
        <f>SUM(TimeEntries234244248258[Time delta in h])</f>
        <v>25.464166666497476</v>
      </c>
      <c r="M1120" s="16">
        <f>Tabelle7367235245249259[[#This Row],[EBS self time]]/Tabelle7367235245249259[[#This Row],[Total time]]</f>
        <v>0.67222494990107717</v>
      </c>
    </row>
    <row r="1122" spans="1:10">
      <c r="A1122" t="s">
        <v>189</v>
      </c>
      <c r="B1122" t="s">
        <v>324</v>
      </c>
      <c r="C1122" t="s">
        <v>190</v>
      </c>
      <c r="D1122">
        <v>18</v>
      </c>
      <c r="E1122" t="s">
        <v>191</v>
      </c>
      <c r="F1122">
        <v>13</v>
      </c>
    </row>
    <row r="1123" spans="1:10">
      <c r="A1123" s="4" t="s">
        <v>24</v>
      </c>
      <c r="I1123" t="s">
        <v>135</v>
      </c>
      <c r="J1123" t="s">
        <v>136</v>
      </c>
    </row>
    <row r="1124" spans="1:10">
      <c r="A1124" t="s">
        <v>3</v>
      </c>
      <c r="B1124" t="s">
        <v>326</v>
      </c>
    </row>
    <row r="1125" spans="1:10">
      <c r="A1125" t="s">
        <v>77</v>
      </c>
      <c r="B1125" s="2" t="s">
        <v>92</v>
      </c>
      <c r="C1125" t="s">
        <v>4</v>
      </c>
    </row>
    <row r="1126" spans="1:10">
      <c r="A1126" t="s">
        <v>0</v>
      </c>
      <c r="B1126" s="2">
        <f>SUM(TimeEntries250260[Time delta in h])</f>
        <v>10.66722222219687</v>
      </c>
      <c r="C1126" t="s">
        <v>4</v>
      </c>
    </row>
    <row r="1127" spans="1:10">
      <c r="A1127" t="s">
        <v>13</v>
      </c>
      <c r="B1127" s="5" t="s">
        <v>92</v>
      </c>
    </row>
    <row r="1128" spans="1:10">
      <c r="A1128" t="s">
        <v>14</v>
      </c>
      <c r="B1128" s="5" t="s">
        <v>18</v>
      </c>
    </row>
    <row r="1129" spans="1:10">
      <c r="A1129" t="s">
        <v>1</v>
      </c>
      <c r="B1129" t="s">
        <v>91</v>
      </c>
    </row>
    <row r="1130" spans="1:10">
      <c r="A1130" t="s">
        <v>15</v>
      </c>
      <c r="B1130" s="5" t="s">
        <v>92</v>
      </c>
    </row>
    <row r="1131" spans="1:10">
      <c r="A1131" t="s">
        <v>2</v>
      </c>
    </row>
    <row r="1132" spans="1:10">
      <c r="A1132" t="s">
        <v>46</v>
      </c>
      <c r="B1132" t="s">
        <v>324</v>
      </c>
    </row>
    <row r="1133" spans="1:10">
      <c r="A1133" t="s">
        <v>5</v>
      </c>
      <c r="B1133" s="2" t="e">
        <f>B1125/SUM(TimeEntries250260[Time delta in h])</f>
        <v>#VALUE!</v>
      </c>
      <c r="C1133" t="s">
        <v>6</v>
      </c>
    </row>
    <row r="1134" spans="1:10">
      <c r="A1134" t="s">
        <v>93</v>
      </c>
    </row>
    <row r="1135" spans="1:10">
      <c r="A1135" t="s">
        <v>94</v>
      </c>
    </row>
    <row r="1136" spans="1:10">
      <c r="A1136" t="s">
        <v>129</v>
      </c>
      <c r="B1136" s="1">
        <v>44161.952187499999</v>
      </c>
    </row>
    <row r="1138" spans="1:13">
      <c r="A1138" t="s">
        <v>10</v>
      </c>
      <c r="B1138" t="s">
        <v>7</v>
      </c>
      <c r="C1138" t="s">
        <v>8</v>
      </c>
      <c r="D1138" t="s">
        <v>9</v>
      </c>
      <c r="E1138" t="s">
        <v>134</v>
      </c>
      <c r="F1138" t="s">
        <v>84</v>
      </c>
      <c r="G1138" t="s">
        <v>85</v>
      </c>
      <c r="I1138" t="s">
        <v>70</v>
      </c>
      <c r="J1138" s="15" t="s">
        <v>68</v>
      </c>
      <c r="K1138" s="2" t="s">
        <v>69</v>
      </c>
      <c r="L1138" t="s">
        <v>71</v>
      </c>
      <c r="M1138" t="s">
        <v>72</v>
      </c>
    </row>
    <row r="1139" spans="1:13">
      <c r="A1139" t="s">
        <v>126</v>
      </c>
      <c r="B1139" s="1">
        <v>44161.507719907408</v>
      </c>
      <c r="C1139" s="1">
        <v>44161.952187499999</v>
      </c>
      <c r="D1139" s="2">
        <f>MAX((TimeEntries250260[[#This Row],[End time]]-TimeEntries250260[[#This Row],[Start time]])*24,0)</f>
        <v>10.66722222219687</v>
      </c>
      <c r="F1139" s="54" t="s">
        <v>184</v>
      </c>
      <c r="G1139" s="22" t="s">
        <v>185</v>
      </c>
      <c r="J1139" s="15"/>
      <c r="K1139" s="2"/>
      <c r="L1139" s="2">
        <f>SUM(TimeEntries250260[Time delta in h])</f>
        <v>10.66722222219687</v>
      </c>
      <c r="M1139" s="16">
        <f>Tabelle7367251261[[#This Row],[EBS self time]]/Tabelle7367251261[[#This Row],[Total time]]</f>
        <v>0</v>
      </c>
    </row>
    <row r="1140" spans="1:13">
      <c r="B1140" s="1"/>
      <c r="C1140" s="1"/>
      <c r="D1140" s="2"/>
    </row>
    <row r="1142" spans="1:13">
      <c r="A1142" t="s">
        <v>189</v>
      </c>
      <c r="B1142" t="s">
        <v>327</v>
      </c>
      <c r="C1142" t="s">
        <v>190</v>
      </c>
      <c r="D1142">
        <v>23</v>
      </c>
      <c r="E1142" t="s">
        <v>191</v>
      </c>
      <c r="F1142">
        <v>13</v>
      </c>
    </row>
    <row r="1143" spans="1:13">
      <c r="A1143" s="4" t="s">
        <v>24</v>
      </c>
      <c r="I1143" t="s">
        <v>135</v>
      </c>
      <c r="J1143" t="s">
        <v>136</v>
      </c>
    </row>
    <row r="1144" spans="1:13">
      <c r="A1144" t="s">
        <v>3</v>
      </c>
      <c r="B1144" t="s">
        <v>329</v>
      </c>
    </row>
    <row r="1145" spans="1:13">
      <c r="A1145" t="s">
        <v>77</v>
      </c>
      <c r="B1145" s="2">
        <v>8.3529062271118164</v>
      </c>
      <c r="C1145" t="s">
        <v>4</v>
      </c>
    </row>
    <row r="1146" spans="1:13">
      <c r="A1146" t="s">
        <v>0</v>
      </c>
      <c r="B1146" s="2">
        <f>SUM(TimeEntries252262[Time delta in h])</f>
        <v>20.743333333404735</v>
      </c>
      <c r="C1146" t="s">
        <v>4</v>
      </c>
    </row>
    <row r="1147" spans="1:13">
      <c r="A1147" t="s">
        <v>13</v>
      </c>
      <c r="B1147" s="5" t="s">
        <v>92</v>
      </c>
    </row>
    <row r="1148" spans="1:13">
      <c r="A1148" t="s">
        <v>14</v>
      </c>
      <c r="B1148" s="5" t="s">
        <v>18</v>
      </c>
    </row>
    <row r="1149" spans="1:13">
      <c r="A1149" t="s">
        <v>1</v>
      </c>
      <c r="B1149" t="s">
        <v>91</v>
      </c>
    </row>
    <row r="1150" spans="1:13">
      <c r="A1150" t="s">
        <v>15</v>
      </c>
      <c r="B1150" s="5" t="s">
        <v>92</v>
      </c>
    </row>
    <row r="1151" spans="1:13">
      <c r="A1151" t="s">
        <v>2</v>
      </c>
    </row>
    <row r="1152" spans="1:13">
      <c r="A1152" t="s">
        <v>46</v>
      </c>
      <c r="B1152" t="s">
        <v>327</v>
      </c>
    </row>
    <row r="1153" spans="1:13">
      <c r="A1153" t="s">
        <v>5</v>
      </c>
      <c r="B1153" s="2">
        <f>B1145/SUM(TimeEntries252262[Time delta in h])</f>
        <v>0.40267907249315754</v>
      </c>
      <c r="C1153" t="s">
        <v>6</v>
      </c>
    </row>
    <row r="1154" spans="1:13">
      <c r="A1154" t="s">
        <v>93</v>
      </c>
    </row>
    <row r="1155" spans="1:13">
      <c r="A1155" t="s">
        <v>94</v>
      </c>
    </row>
    <row r="1156" spans="1:13">
      <c r="A1156" t="s">
        <v>129</v>
      </c>
      <c r="B1156" s="1">
        <v>44161.952187499999</v>
      </c>
    </row>
    <row r="1158" spans="1:13">
      <c r="A1158" t="s">
        <v>10</v>
      </c>
      <c r="B1158" t="s">
        <v>7</v>
      </c>
      <c r="C1158" t="s">
        <v>8</v>
      </c>
      <c r="D1158" t="s">
        <v>9</v>
      </c>
      <c r="E1158" t="s">
        <v>134</v>
      </c>
      <c r="F1158" t="s">
        <v>84</v>
      </c>
      <c r="G1158" t="s">
        <v>85</v>
      </c>
      <c r="I1158" t="s">
        <v>70</v>
      </c>
      <c r="J1158" s="15" t="s">
        <v>68</v>
      </c>
      <c r="K1158" s="2" t="s">
        <v>69</v>
      </c>
      <c r="L1158" t="s">
        <v>71</v>
      </c>
      <c r="M1158" t="s">
        <v>72</v>
      </c>
    </row>
    <row r="1159" spans="1:13">
      <c r="A1159" t="s">
        <v>126</v>
      </c>
      <c r="B1159" s="1">
        <v>44161.087893518517</v>
      </c>
      <c r="C1159" s="1">
        <v>44161.952199074076</v>
      </c>
      <c r="D1159" s="2">
        <f>MAX((TimeEntries252262[[#This Row],[End time]]-TimeEntries252262[[#This Row],[Start time]])*24,0)</f>
        <v>20.743333333404735</v>
      </c>
      <c r="F1159" s="54" t="s">
        <v>184</v>
      </c>
      <c r="G1159" s="22" t="s">
        <v>185</v>
      </c>
      <c r="I1159" t="s">
        <v>126</v>
      </c>
      <c r="J1159" s="15">
        <v>0.05</v>
      </c>
      <c r="K1159" s="2">
        <v>4.1764531135559082</v>
      </c>
      <c r="L1159" s="2">
        <f>SUM(TimeEntries252262[Time delta in h])</f>
        <v>20.743333333404735</v>
      </c>
      <c r="M1159" s="16">
        <f>Tabelle7367253263[[#This Row],[EBS self time]]/Tabelle7367253263[[#This Row],[Total time]]</f>
        <v>0.20133953624657877</v>
      </c>
    </row>
    <row r="1160" spans="1:13">
      <c r="B1160" s="1"/>
      <c r="C1160" s="1"/>
      <c r="D1160" s="2"/>
      <c r="I1160" t="s">
        <v>127</v>
      </c>
      <c r="J1160" s="15">
        <v>0.2</v>
      </c>
      <c r="K1160" s="2">
        <v>4.1764531135559082</v>
      </c>
      <c r="L1160" s="2">
        <f>SUM(TimeEntries252262[Time delta in h])</f>
        <v>20.743333333404735</v>
      </c>
      <c r="M1160" s="16">
        <f>Tabelle7367253263[[#This Row],[EBS self time]]/Tabelle7367253263[[#This Row],[Total time]]</f>
        <v>0.20133953624657877</v>
      </c>
    </row>
    <row r="1161" spans="1:13">
      <c r="I1161" t="s">
        <v>169</v>
      </c>
      <c r="J1161" s="15">
        <v>0.35</v>
      </c>
      <c r="K1161" s="2">
        <v>4.1764531135559082</v>
      </c>
      <c r="L1161" s="2">
        <f>SUM(TimeEntries252262[Time delta in h])</f>
        <v>20.743333333404735</v>
      </c>
      <c r="M1161" s="16">
        <f>Tabelle7367253263[[#This Row],[EBS self time]]/Tabelle7367253263[[#This Row],[Total time]]</f>
        <v>0.20133953624657877</v>
      </c>
    </row>
    <row r="1162" spans="1:13">
      <c r="I1162" t="s">
        <v>172</v>
      </c>
      <c r="J1162" s="15">
        <v>0.5</v>
      </c>
      <c r="K1162" s="2">
        <v>4.1764531135559082</v>
      </c>
      <c r="L1162" s="2">
        <f>SUM(TimeEntries252262[Time delta in h])</f>
        <v>20.743333333404735</v>
      </c>
      <c r="M1162" s="16">
        <f>Tabelle7367253263[[#This Row],[EBS self time]]/Tabelle7367253263[[#This Row],[Total time]]</f>
        <v>0.20133953624657877</v>
      </c>
    </row>
    <row r="1163" spans="1:13">
      <c r="I1163" t="s">
        <v>187</v>
      </c>
      <c r="J1163" s="15">
        <v>0.65</v>
      </c>
      <c r="K1163" s="2">
        <v>4.1764531135559082</v>
      </c>
      <c r="L1163" s="2">
        <f>SUM(TimeEntries252262[Time delta in h])</f>
        <v>20.743333333404735</v>
      </c>
      <c r="M1163" s="16">
        <f>Tabelle7367253263[[#This Row],[EBS self time]]/Tabelle7367253263[[#This Row],[Total time]]</f>
        <v>0.20133953624657877</v>
      </c>
    </row>
    <row r="1164" spans="1:13">
      <c r="I1164" t="s">
        <v>192</v>
      </c>
      <c r="J1164" s="15">
        <v>0.8</v>
      </c>
      <c r="K1164" s="2">
        <v>16.187802765720573</v>
      </c>
      <c r="L1164" s="2">
        <f>SUM(TimeEntries252262[Time delta in h])</f>
        <v>20.743333333404735</v>
      </c>
      <c r="M1164" s="16">
        <f>Tabelle7367253263[[#This Row],[EBS self time]]/Tabelle7367253263[[#This Row],[Total time]]</f>
        <v>0.78038579940534403</v>
      </c>
    </row>
    <row r="1165" spans="1:13">
      <c r="I1165" t="s">
        <v>193</v>
      </c>
      <c r="J1165" s="15">
        <v>0.95</v>
      </c>
      <c r="K1165" s="2">
        <v>16.187802765720573</v>
      </c>
      <c r="L1165" s="2">
        <f>SUM(TimeEntries252262[Time delta in h])</f>
        <v>20.743333333404735</v>
      </c>
      <c r="M1165" s="16">
        <f>Tabelle7367253263[[#This Row],[EBS self time]]/Tabelle7367253263[[#This Row],[Total time]]</f>
        <v>0.78038579940534403</v>
      </c>
    </row>
    <row r="1167" spans="1:13">
      <c r="A1167" t="s">
        <v>189</v>
      </c>
      <c r="B1167" t="s">
        <v>330</v>
      </c>
      <c r="C1167" t="s">
        <v>190</v>
      </c>
      <c r="D1167">
        <v>18</v>
      </c>
      <c r="E1167" t="s">
        <v>191</v>
      </c>
      <c r="F1167">
        <v>13</v>
      </c>
    </row>
    <row r="1168" spans="1:13">
      <c r="A1168" s="4" t="s">
        <v>24</v>
      </c>
      <c r="I1168" t="s">
        <v>135</v>
      </c>
      <c r="J1168" t="s">
        <v>136</v>
      </c>
    </row>
    <row r="1169" spans="1:13">
      <c r="A1169" t="s">
        <v>3</v>
      </c>
      <c r="B1169" t="s">
        <v>332</v>
      </c>
    </row>
    <row r="1170" spans="1:13">
      <c r="A1170" t="s">
        <v>77</v>
      </c>
      <c r="B1170" s="2" t="s">
        <v>92</v>
      </c>
      <c r="C1170" t="s">
        <v>4</v>
      </c>
    </row>
    <row r="1171" spans="1:13">
      <c r="A1171" t="s">
        <v>0</v>
      </c>
      <c r="B1171" s="2">
        <f>SUM(TimeEntries254264[Time delta in h])</f>
        <v>29.450000000128057</v>
      </c>
      <c r="C1171" t="s">
        <v>4</v>
      </c>
    </row>
    <row r="1172" spans="1:13">
      <c r="A1172" t="s">
        <v>13</v>
      </c>
      <c r="B1172" s="5" t="s">
        <v>92</v>
      </c>
    </row>
    <row r="1173" spans="1:13">
      <c r="A1173" t="s">
        <v>14</v>
      </c>
      <c r="B1173" s="5" t="s">
        <v>18</v>
      </c>
    </row>
    <row r="1174" spans="1:13">
      <c r="A1174" t="s">
        <v>1</v>
      </c>
      <c r="B1174" t="s">
        <v>91</v>
      </c>
    </row>
    <row r="1175" spans="1:13">
      <c r="A1175" t="s">
        <v>15</v>
      </c>
      <c r="B1175" s="5" t="s">
        <v>92</v>
      </c>
    </row>
    <row r="1176" spans="1:13">
      <c r="A1176" t="s">
        <v>2</v>
      </c>
    </row>
    <row r="1177" spans="1:13">
      <c r="A1177" t="s">
        <v>46</v>
      </c>
      <c r="B1177" t="s">
        <v>330</v>
      </c>
    </row>
    <row r="1178" spans="1:13">
      <c r="A1178" t="s">
        <v>5</v>
      </c>
      <c r="B1178" s="2" t="e">
        <f>B1170/SUM(TimeEntries254264[Time delta in h])</f>
        <v>#VALUE!</v>
      </c>
      <c r="C1178" t="s">
        <v>6</v>
      </c>
    </row>
    <row r="1179" spans="1:13">
      <c r="A1179" t="s">
        <v>93</v>
      </c>
    </row>
    <row r="1180" spans="1:13">
      <c r="A1180" t="s">
        <v>94</v>
      </c>
    </row>
    <row r="1181" spans="1:13">
      <c r="A1181" t="s">
        <v>129</v>
      </c>
      <c r="B1181" s="1">
        <v>44161.952199074076</v>
      </c>
    </row>
    <row r="1183" spans="1:13">
      <c r="A1183" t="s">
        <v>10</v>
      </c>
      <c r="B1183" t="s">
        <v>7</v>
      </c>
      <c r="C1183" t="s">
        <v>8</v>
      </c>
      <c r="D1183" t="s">
        <v>9</v>
      </c>
      <c r="E1183" t="s">
        <v>134</v>
      </c>
      <c r="F1183" t="s">
        <v>84</v>
      </c>
      <c r="G1183" t="s">
        <v>85</v>
      </c>
      <c r="I1183" t="s">
        <v>70</v>
      </c>
      <c r="J1183" s="15" t="s">
        <v>68</v>
      </c>
      <c r="K1183" s="2" t="s">
        <v>69</v>
      </c>
      <c r="L1183" t="s">
        <v>71</v>
      </c>
      <c r="M1183" t="s">
        <v>72</v>
      </c>
    </row>
    <row r="1184" spans="1:13">
      <c r="A1184" t="s">
        <v>126</v>
      </c>
      <c r="B1184" s="1">
        <v>44160.725115740737</v>
      </c>
      <c r="C1184" s="1">
        <v>44161.952199074076</v>
      </c>
      <c r="D1184" s="2">
        <f>MAX((TimeEntries254264[[#This Row],[End time]]-TimeEntries254264[[#This Row],[Start time]])*24,0)</f>
        <v>29.450000000128057</v>
      </c>
      <c r="F1184" s="54" t="s">
        <v>184</v>
      </c>
      <c r="G1184" s="22" t="s">
        <v>185</v>
      </c>
      <c r="J1184" s="15"/>
      <c r="K1184" s="2"/>
      <c r="L1184" s="2">
        <f>SUM(TimeEntries254264[Time delta in h])</f>
        <v>29.450000000128057</v>
      </c>
      <c r="M1184" s="16">
        <f>Tabelle7367255265[[#This Row],[EBS self time]]/Tabelle7367255265[[#This Row],[Total time]]</f>
        <v>0</v>
      </c>
    </row>
    <row r="1185" spans="1:10">
      <c r="B1185" s="1"/>
      <c r="C1185" s="1"/>
      <c r="D1185" s="2"/>
    </row>
    <row r="1187" spans="1:10">
      <c r="A1187" t="s">
        <v>189</v>
      </c>
      <c r="B1187" t="s">
        <v>333</v>
      </c>
      <c r="C1187" t="s">
        <v>190</v>
      </c>
      <c r="D1187">
        <v>18</v>
      </c>
      <c r="E1187" t="s">
        <v>191</v>
      </c>
      <c r="F1187">
        <v>13</v>
      </c>
    </row>
    <row r="1188" spans="1:10">
      <c r="A1188" s="4" t="s">
        <v>24</v>
      </c>
      <c r="I1188" t="s">
        <v>135</v>
      </c>
      <c r="J1188" t="s">
        <v>136</v>
      </c>
    </row>
    <row r="1189" spans="1:10">
      <c r="A1189" t="s">
        <v>3</v>
      </c>
      <c r="B1189" t="s">
        <v>335</v>
      </c>
    </row>
    <row r="1190" spans="1:10">
      <c r="A1190" t="s">
        <v>77</v>
      </c>
      <c r="B1190" s="2" t="s">
        <v>92</v>
      </c>
      <c r="C1190" t="s">
        <v>4</v>
      </c>
    </row>
    <row r="1191" spans="1:10">
      <c r="A1191" t="s">
        <v>0</v>
      </c>
      <c r="B1191" s="2">
        <f>SUM(TimeEntries256266270280[Time delta in h])</f>
        <v>19.48444444447523</v>
      </c>
      <c r="C1191" t="s">
        <v>4</v>
      </c>
    </row>
    <row r="1192" spans="1:10">
      <c r="A1192" t="s">
        <v>13</v>
      </c>
      <c r="B1192" s="5" t="s">
        <v>92</v>
      </c>
    </row>
    <row r="1193" spans="1:10">
      <c r="A1193" t="s">
        <v>14</v>
      </c>
      <c r="B1193" s="5" t="s">
        <v>18</v>
      </c>
    </row>
    <row r="1194" spans="1:10">
      <c r="A1194" t="s">
        <v>1</v>
      </c>
      <c r="B1194" t="s">
        <v>91</v>
      </c>
    </row>
    <row r="1195" spans="1:10">
      <c r="A1195" t="s">
        <v>15</v>
      </c>
      <c r="B1195" s="5" t="s">
        <v>92</v>
      </c>
    </row>
    <row r="1196" spans="1:10">
      <c r="A1196" t="s">
        <v>2</v>
      </c>
    </row>
    <row r="1197" spans="1:10">
      <c r="A1197" t="s">
        <v>46</v>
      </c>
      <c r="B1197" t="s">
        <v>333</v>
      </c>
    </row>
    <row r="1198" spans="1:10">
      <c r="A1198" t="s">
        <v>5</v>
      </c>
      <c r="B1198" s="2" t="e">
        <f>B1190/SUM(TimeEntries256266270280[Time delta in h])</f>
        <v>#VALUE!</v>
      </c>
      <c r="C1198" t="s">
        <v>6</v>
      </c>
    </row>
    <row r="1199" spans="1:10">
      <c r="A1199" t="s">
        <v>93</v>
      </c>
    </row>
    <row r="1200" spans="1:10">
      <c r="A1200" t="s">
        <v>94</v>
      </c>
    </row>
    <row r="1201" spans="1:13">
      <c r="A1201" t="s">
        <v>129</v>
      </c>
      <c r="B1201" s="1">
        <v>44161.952210648145</v>
      </c>
    </row>
    <row r="1203" spans="1:13">
      <c r="A1203" t="s">
        <v>10</v>
      </c>
      <c r="B1203" t="s">
        <v>7</v>
      </c>
      <c r="C1203" t="s">
        <v>8</v>
      </c>
      <c r="D1203" t="s">
        <v>9</v>
      </c>
      <c r="E1203" t="s">
        <v>134</v>
      </c>
      <c r="F1203" t="s">
        <v>84</v>
      </c>
      <c r="G1203" t="s">
        <v>85</v>
      </c>
      <c r="I1203" t="s">
        <v>70</v>
      </c>
      <c r="J1203" s="15" t="s">
        <v>68</v>
      </c>
      <c r="K1203" s="2" t="s">
        <v>69</v>
      </c>
      <c r="L1203" t="s">
        <v>71</v>
      </c>
      <c r="M1203" t="s">
        <v>72</v>
      </c>
    </row>
    <row r="1204" spans="1:13">
      <c r="A1204" t="s">
        <v>126</v>
      </c>
      <c r="B1204" s="1">
        <v>44161.140405092592</v>
      </c>
      <c r="C1204" s="1">
        <v>44161.952256944445</v>
      </c>
      <c r="D1204" s="2">
        <f>MAX((TimeEntries256266270280[[#This Row],[End time]]-TimeEntries256266270280[[#This Row],[Start time]])*24,0)</f>
        <v>19.48444444447523</v>
      </c>
      <c r="F1204" s="54" t="s">
        <v>184</v>
      </c>
      <c r="G1204" s="22" t="s">
        <v>185</v>
      </c>
      <c r="J1204" s="15"/>
      <c r="K1204" s="2"/>
      <c r="L1204" s="2">
        <f>SUM(TimeEntries256266270280[Time delta in h])</f>
        <v>19.48444444447523</v>
      </c>
      <c r="M1204" s="16">
        <f>Tabelle7367257267271281[[#This Row],[EBS self time]]/Tabelle7367257267271281[[#This Row],[Total time]]</f>
        <v>0</v>
      </c>
    </row>
    <row r="1205" spans="1:13">
      <c r="B1205" s="1"/>
      <c r="C1205" s="1"/>
      <c r="D1205" s="2"/>
    </row>
    <row r="1207" spans="1:13">
      <c r="A1207" t="s">
        <v>189</v>
      </c>
      <c r="B1207" t="s">
        <v>336</v>
      </c>
      <c r="C1207" t="s">
        <v>190</v>
      </c>
      <c r="D1207">
        <v>18</v>
      </c>
      <c r="E1207" t="s">
        <v>191</v>
      </c>
      <c r="F1207">
        <v>13</v>
      </c>
    </row>
    <row r="1208" spans="1:13">
      <c r="A1208" s="4" t="s">
        <v>24</v>
      </c>
      <c r="I1208" t="s">
        <v>135</v>
      </c>
      <c r="J1208" t="s">
        <v>136</v>
      </c>
    </row>
    <row r="1209" spans="1:13">
      <c r="A1209" t="s">
        <v>3</v>
      </c>
      <c r="B1209" t="s">
        <v>338</v>
      </c>
    </row>
    <row r="1210" spans="1:13">
      <c r="A1210" t="s">
        <v>77</v>
      </c>
      <c r="B1210" s="2" t="s">
        <v>92</v>
      </c>
      <c r="C1210" t="s">
        <v>4</v>
      </c>
    </row>
    <row r="1211" spans="1:13">
      <c r="A1211" t="s">
        <v>0</v>
      </c>
      <c r="B1211" s="2">
        <f>SUM(TimeEntries272282[Time delta in h])</f>
        <v>0.94999999995343387</v>
      </c>
      <c r="C1211" t="s">
        <v>4</v>
      </c>
    </row>
    <row r="1212" spans="1:13">
      <c r="A1212" t="s">
        <v>13</v>
      </c>
      <c r="B1212" s="5" t="s">
        <v>92</v>
      </c>
    </row>
    <row r="1213" spans="1:13">
      <c r="A1213" t="s">
        <v>14</v>
      </c>
      <c r="B1213" s="5" t="s">
        <v>18</v>
      </c>
    </row>
    <row r="1214" spans="1:13">
      <c r="A1214" t="s">
        <v>1</v>
      </c>
      <c r="B1214" t="s">
        <v>131</v>
      </c>
    </row>
    <row r="1215" spans="1:13">
      <c r="A1215" t="s">
        <v>15</v>
      </c>
      <c r="B1215" s="5">
        <v>44161.952256944445</v>
      </c>
    </row>
    <row r="1216" spans="1:13">
      <c r="A1216" t="s">
        <v>2</v>
      </c>
    </row>
    <row r="1217" spans="1:13">
      <c r="A1217" t="s">
        <v>46</v>
      </c>
      <c r="B1217" t="s">
        <v>336</v>
      </c>
    </row>
    <row r="1218" spans="1:13">
      <c r="A1218" t="s">
        <v>5</v>
      </c>
      <c r="B1218" s="2" t="e">
        <f>B1210/SUM(TimeEntries272282[Time delta in h])</f>
        <v>#VALUE!</v>
      </c>
      <c r="C1218" t="s">
        <v>6</v>
      </c>
    </row>
    <row r="1219" spans="1:13">
      <c r="A1219" t="s">
        <v>93</v>
      </c>
    </row>
    <row r="1220" spans="1:13">
      <c r="A1220" t="s">
        <v>94</v>
      </c>
    </row>
    <row r="1221" spans="1:13">
      <c r="A1221" t="s">
        <v>129</v>
      </c>
      <c r="B1221" s="1">
        <v>44161.952256944445</v>
      </c>
    </row>
    <row r="1223" spans="1:13">
      <c r="A1223" t="s">
        <v>10</v>
      </c>
      <c r="B1223" t="s">
        <v>7</v>
      </c>
      <c r="C1223" t="s">
        <v>8</v>
      </c>
      <c r="D1223" t="s">
        <v>9</v>
      </c>
      <c r="E1223" t="s">
        <v>134</v>
      </c>
      <c r="F1223" t="s">
        <v>84</v>
      </c>
      <c r="G1223" t="s">
        <v>85</v>
      </c>
      <c r="I1223" t="s">
        <v>70</v>
      </c>
      <c r="J1223" s="15" t="s">
        <v>68</v>
      </c>
      <c r="K1223" s="2" t="s">
        <v>69</v>
      </c>
      <c r="L1223" t="s">
        <v>71</v>
      </c>
      <c r="M1223" t="s">
        <v>72</v>
      </c>
    </row>
    <row r="1224" spans="1:13">
      <c r="A1224" t="s">
        <v>126</v>
      </c>
      <c r="B1224" s="1">
        <v>44161.912673611114</v>
      </c>
      <c r="C1224" s="1">
        <v>44161.952256944445</v>
      </c>
      <c r="D1224" s="2">
        <f>MAX((TimeEntries272282[[#This Row],[End time]]-TimeEntries272282[[#This Row],[Start time]])*24,0)</f>
        <v>0.94999999995343387</v>
      </c>
      <c r="F1224" s="54" t="s">
        <v>184</v>
      </c>
      <c r="G1224" s="22" t="s">
        <v>185</v>
      </c>
      <c r="J1224" s="15"/>
      <c r="K1224" s="2"/>
      <c r="L1224" s="2">
        <f>SUM(TimeEntries272282[Time delta in h])</f>
        <v>0.94999999995343387</v>
      </c>
      <c r="M1224" s="16">
        <f>Tabelle7367273283[[#This Row],[EBS self time]]/Tabelle7367273283[[#This Row],[Total time]]</f>
        <v>0</v>
      </c>
    </row>
    <row r="1225" spans="1:13">
      <c r="B1225" s="1"/>
      <c r="C1225" s="1"/>
      <c r="D1225" s="2"/>
    </row>
    <row r="1227" spans="1:13">
      <c r="A1227" t="s">
        <v>189</v>
      </c>
      <c r="B1227" t="s">
        <v>339</v>
      </c>
      <c r="C1227" t="s">
        <v>190</v>
      </c>
      <c r="D1227">
        <v>23</v>
      </c>
      <c r="E1227" t="s">
        <v>191</v>
      </c>
      <c r="F1227">
        <v>13</v>
      </c>
    </row>
    <row r="1228" spans="1:13">
      <c r="A1228" s="4" t="s">
        <v>24</v>
      </c>
      <c r="I1228" t="s">
        <v>135</v>
      </c>
      <c r="J1228" t="s">
        <v>136</v>
      </c>
    </row>
    <row r="1229" spans="1:13">
      <c r="A1229" t="s">
        <v>3</v>
      </c>
      <c r="B1229" t="s">
        <v>341</v>
      </c>
    </row>
    <row r="1230" spans="1:13">
      <c r="A1230" t="s">
        <v>77</v>
      </c>
      <c r="B1230" s="2">
        <v>8.1735782623291016</v>
      </c>
      <c r="C1230" t="s">
        <v>4</v>
      </c>
    </row>
    <row r="1231" spans="1:13">
      <c r="A1231" t="s">
        <v>0</v>
      </c>
      <c r="B1231" s="2">
        <f>SUM(TimeEntries274284[Time delta in h])</f>
        <v>4.9619444445124827</v>
      </c>
      <c r="C1231" t="s">
        <v>4</v>
      </c>
    </row>
    <row r="1232" spans="1:13">
      <c r="A1232" t="s">
        <v>13</v>
      </c>
      <c r="B1232" s="5" t="s">
        <v>92</v>
      </c>
    </row>
    <row r="1233" spans="1:13">
      <c r="A1233" t="s">
        <v>14</v>
      </c>
      <c r="B1233" s="5" t="s">
        <v>18</v>
      </c>
    </row>
    <row r="1234" spans="1:13">
      <c r="A1234" t="s">
        <v>1</v>
      </c>
      <c r="B1234" t="s">
        <v>91</v>
      </c>
    </row>
    <row r="1235" spans="1:13">
      <c r="A1235" t="s">
        <v>15</v>
      </c>
      <c r="B1235" s="5" t="s">
        <v>92</v>
      </c>
    </row>
    <row r="1236" spans="1:13">
      <c r="A1236" t="s">
        <v>2</v>
      </c>
    </row>
    <row r="1237" spans="1:13">
      <c r="A1237" t="s">
        <v>46</v>
      </c>
      <c r="B1237" t="s">
        <v>339</v>
      </c>
    </row>
    <row r="1238" spans="1:13">
      <c r="A1238" t="s">
        <v>5</v>
      </c>
      <c r="B1238" s="2">
        <f>B1230/SUM(TimeEntries274284[Time delta in h])</f>
        <v>1.6472530786531541</v>
      </c>
      <c r="C1238" t="s">
        <v>6</v>
      </c>
    </row>
    <row r="1239" spans="1:13">
      <c r="A1239" t="s">
        <v>93</v>
      </c>
    </row>
    <row r="1240" spans="1:13">
      <c r="A1240" t="s">
        <v>94</v>
      </c>
    </row>
    <row r="1241" spans="1:13">
      <c r="A1241" t="s">
        <v>129</v>
      </c>
      <c r="B1241" s="1">
        <v>44161.952268518522</v>
      </c>
    </row>
    <row r="1243" spans="1:13">
      <c r="A1243" t="s">
        <v>10</v>
      </c>
      <c r="B1243" t="s">
        <v>7</v>
      </c>
      <c r="C1243" t="s">
        <v>8</v>
      </c>
      <c r="D1243" t="s">
        <v>9</v>
      </c>
      <c r="E1243" t="s">
        <v>134</v>
      </c>
      <c r="F1243" t="s">
        <v>84</v>
      </c>
      <c r="G1243" t="s">
        <v>85</v>
      </c>
      <c r="I1243" t="s">
        <v>70</v>
      </c>
      <c r="J1243" s="15" t="s">
        <v>68</v>
      </c>
      <c r="K1243" s="2" t="s">
        <v>69</v>
      </c>
      <c r="L1243" t="s">
        <v>71</v>
      </c>
      <c r="M1243" t="s">
        <v>72</v>
      </c>
    </row>
    <row r="1244" spans="1:13">
      <c r="A1244" t="s">
        <v>126</v>
      </c>
      <c r="B1244" s="1">
        <v>44161.745520833334</v>
      </c>
      <c r="C1244" s="1">
        <v>44161.952268518522</v>
      </c>
      <c r="D1244" s="2">
        <f>MAX((TimeEntries274284[[#This Row],[End time]]-TimeEntries274284[[#This Row],[Start time]])*24,0)</f>
        <v>4.9619444445124827</v>
      </c>
      <c r="F1244" s="54" t="s">
        <v>184</v>
      </c>
      <c r="G1244" s="22" t="s">
        <v>185</v>
      </c>
      <c r="I1244" t="s">
        <v>126</v>
      </c>
      <c r="J1244" s="15">
        <v>0.05</v>
      </c>
      <c r="K1244" s="2">
        <v>4.0867891311645508</v>
      </c>
      <c r="L1244" s="2">
        <f>SUM(TimeEntries274284[Time delta in h])</f>
        <v>4.9619444445124827</v>
      </c>
      <c r="M1244" s="16">
        <f>Tabelle7367275285[[#This Row],[EBS self time]]/Tabelle7367275285[[#This Row],[Total time]]</f>
        <v>0.82362653932657703</v>
      </c>
    </row>
    <row r="1245" spans="1:13">
      <c r="B1245" s="1"/>
      <c r="C1245" s="1"/>
      <c r="D1245" s="2"/>
      <c r="I1245" t="s">
        <v>127</v>
      </c>
      <c r="J1245" s="15">
        <v>0.2</v>
      </c>
      <c r="K1245" s="2">
        <v>4.0867891311645508</v>
      </c>
      <c r="L1245" s="2">
        <f>SUM(TimeEntries274284[Time delta in h])</f>
        <v>4.9619444445124827</v>
      </c>
      <c r="M1245" s="16">
        <f>Tabelle7367275285[[#This Row],[EBS self time]]/Tabelle7367275285[[#This Row],[Total time]]</f>
        <v>0.82362653932657703</v>
      </c>
    </row>
    <row r="1246" spans="1:13">
      <c r="I1246" t="s">
        <v>169</v>
      </c>
      <c r="J1246" s="15">
        <v>0.35</v>
      </c>
      <c r="K1246" s="2">
        <v>4.0867891311645508</v>
      </c>
      <c r="L1246" s="2">
        <f>SUM(TimeEntries274284[Time delta in h])</f>
        <v>4.9619444445124827</v>
      </c>
      <c r="M1246" s="16">
        <f>Tabelle7367275285[[#This Row],[EBS self time]]/Tabelle7367275285[[#This Row],[Total time]]</f>
        <v>0.82362653932657703</v>
      </c>
    </row>
    <row r="1247" spans="1:13">
      <c r="I1247" t="s">
        <v>172</v>
      </c>
      <c r="J1247" s="15">
        <v>0.5</v>
      </c>
      <c r="K1247" s="2">
        <v>4.0867891311645508</v>
      </c>
      <c r="L1247" s="2">
        <f>SUM(TimeEntries274284[Time delta in h])</f>
        <v>4.9619444445124827</v>
      </c>
      <c r="M1247" s="16">
        <f>Tabelle7367275285[[#This Row],[EBS self time]]/Tabelle7367275285[[#This Row],[Total time]]</f>
        <v>0.82362653932657703</v>
      </c>
    </row>
    <row r="1248" spans="1:13">
      <c r="I1248" t="s">
        <v>187</v>
      </c>
      <c r="J1248" s="15">
        <v>0.65</v>
      </c>
      <c r="K1248" s="2">
        <v>15.840267950250196</v>
      </c>
      <c r="L1248" s="2">
        <f>SUM(TimeEntries274284[Time delta in h])</f>
        <v>4.9619444445124827</v>
      </c>
      <c r="M1248" s="16">
        <f>Tabelle7367275285[[#This Row],[EBS self time]]/Tabelle7367275285[[#This Row],[Total time]]</f>
        <v>3.1923509276223916</v>
      </c>
    </row>
    <row r="1249" spans="1:13">
      <c r="I1249" t="s">
        <v>192</v>
      </c>
      <c r="J1249" s="15">
        <v>0.8</v>
      </c>
      <c r="K1249" s="2">
        <v>15.840267950250196</v>
      </c>
      <c r="L1249" s="2">
        <f>SUM(TimeEntries274284[Time delta in h])</f>
        <v>4.9619444445124827</v>
      </c>
      <c r="M1249" s="16">
        <f>Tabelle7367275285[[#This Row],[EBS self time]]/Tabelle7367275285[[#This Row],[Total time]]</f>
        <v>3.1923509276223916</v>
      </c>
    </row>
    <row r="1250" spans="1:13">
      <c r="I1250" t="s">
        <v>193</v>
      </c>
      <c r="J1250" s="15">
        <v>0.95</v>
      </c>
      <c r="K1250" s="2">
        <v>15.840267950250196</v>
      </c>
      <c r="L1250" s="2">
        <f>SUM(TimeEntries274284[Time delta in h])</f>
        <v>4.9619444445124827</v>
      </c>
      <c r="M1250" s="16">
        <f>Tabelle7367275285[[#This Row],[EBS self time]]/Tabelle7367275285[[#This Row],[Total time]]</f>
        <v>3.1923509276223916</v>
      </c>
    </row>
    <row r="1252" spans="1:13">
      <c r="A1252" t="s">
        <v>189</v>
      </c>
      <c r="B1252" t="s">
        <v>342</v>
      </c>
      <c r="C1252" t="s">
        <v>190</v>
      </c>
      <c r="D1252">
        <v>23</v>
      </c>
      <c r="E1252" t="s">
        <v>191</v>
      </c>
      <c r="F1252">
        <v>13</v>
      </c>
    </row>
    <row r="1253" spans="1:13">
      <c r="A1253" s="4" t="s">
        <v>24</v>
      </c>
      <c r="I1253" t="s">
        <v>135</v>
      </c>
      <c r="J1253" t="s">
        <v>136</v>
      </c>
    </row>
    <row r="1254" spans="1:13">
      <c r="A1254" t="s">
        <v>3</v>
      </c>
      <c r="B1254" t="s">
        <v>344</v>
      </c>
    </row>
    <row r="1255" spans="1:13">
      <c r="A1255" t="s">
        <v>77</v>
      </c>
      <c r="B1255" s="2">
        <v>12.784632682800293</v>
      </c>
      <c r="C1255" t="s">
        <v>4</v>
      </c>
    </row>
    <row r="1256" spans="1:13">
      <c r="A1256" t="s">
        <v>0</v>
      </c>
      <c r="B1256" s="2">
        <f>SUM(TimeEntries276286[Time delta in h])</f>
        <v>15.391111111210193</v>
      </c>
      <c r="C1256" t="s">
        <v>4</v>
      </c>
    </row>
    <row r="1257" spans="1:13">
      <c r="A1257" t="s">
        <v>13</v>
      </c>
      <c r="B1257" s="5" t="s">
        <v>92</v>
      </c>
    </row>
    <row r="1258" spans="1:13">
      <c r="A1258" t="s">
        <v>14</v>
      </c>
      <c r="B1258" s="5" t="s">
        <v>18</v>
      </c>
    </row>
    <row r="1259" spans="1:13">
      <c r="A1259" t="s">
        <v>1</v>
      </c>
      <c r="B1259" t="s">
        <v>91</v>
      </c>
    </row>
    <row r="1260" spans="1:13">
      <c r="A1260" t="s">
        <v>15</v>
      </c>
      <c r="B1260" s="5" t="s">
        <v>92</v>
      </c>
    </row>
    <row r="1261" spans="1:13">
      <c r="A1261" t="s">
        <v>2</v>
      </c>
    </row>
    <row r="1262" spans="1:13">
      <c r="A1262" t="s">
        <v>46</v>
      </c>
      <c r="B1262" t="s">
        <v>342</v>
      </c>
    </row>
    <row r="1263" spans="1:13">
      <c r="A1263" t="s">
        <v>5</v>
      </c>
      <c r="B1263" s="2">
        <f>B1255/SUM(TimeEntries276286[Time delta in h])</f>
        <v>0.8306504053166468</v>
      </c>
      <c r="C1263" t="s">
        <v>6</v>
      </c>
    </row>
    <row r="1264" spans="1:13">
      <c r="A1264" t="s">
        <v>93</v>
      </c>
    </row>
    <row r="1265" spans="1:13">
      <c r="A1265" t="s">
        <v>94</v>
      </c>
    </row>
    <row r="1266" spans="1:13">
      <c r="A1266" t="s">
        <v>129</v>
      </c>
      <c r="B1266" s="1">
        <v>44161.952268518522</v>
      </c>
    </row>
    <row r="1268" spans="1:13">
      <c r="A1268" t="s">
        <v>10</v>
      </c>
      <c r="B1268" t="s">
        <v>7</v>
      </c>
      <c r="C1268" t="s">
        <v>8</v>
      </c>
      <c r="D1268" t="s">
        <v>9</v>
      </c>
      <c r="E1268" t="s">
        <v>134</v>
      </c>
      <c r="F1268" t="s">
        <v>84</v>
      </c>
      <c r="G1268" t="s">
        <v>85</v>
      </c>
      <c r="I1268" t="s">
        <v>70</v>
      </c>
      <c r="J1268" s="15" t="s">
        <v>68</v>
      </c>
      <c r="K1268" s="2" t="s">
        <v>69</v>
      </c>
      <c r="L1268" t="s">
        <v>71</v>
      </c>
      <c r="M1268" t="s">
        <v>72</v>
      </c>
    </row>
    <row r="1269" spans="1:13">
      <c r="A1269" t="s">
        <v>126</v>
      </c>
      <c r="B1269" s="1">
        <v>44161.310972222222</v>
      </c>
      <c r="C1269" s="1">
        <v>44161.952268518522</v>
      </c>
      <c r="D1269" s="2">
        <f>MAX((TimeEntries276286[[#This Row],[End time]]-TimeEntries276286[[#This Row],[Start time]])*24,0)</f>
        <v>15.391111111210193</v>
      </c>
      <c r="F1269" s="54" t="s">
        <v>184</v>
      </c>
      <c r="G1269" s="22" t="s">
        <v>185</v>
      </c>
      <c r="I1269" t="s">
        <v>126</v>
      </c>
      <c r="J1269" s="15">
        <v>0.05</v>
      </c>
      <c r="K1269" s="2">
        <v>6.3923163414001465</v>
      </c>
      <c r="L1269" s="2">
        <f>SUM(TimeEntries276286[Time delta in h])</f>
        <v>15.391111111210193</v>
      </c>
      <c r="M1269" s="16">
        <f>Tabelle7367277287[[#This Row],[EBS self time]]/Tabelle7367277287[[#This Row],[Total time]]</f>
        <v>0.4153252026583234</v>
      </c>
    </row>
    <row r="1270" spans="1:13">
      <c r="B1270" s="1"/>
      <c r="C1270" s="1"/>
      <c r="D1270" s="2"/>
      <c r="I1270" t="s">
        <v>127</v>
      </c>
      <c r="J1270" s="15">
        <v>0.2</v>
      </c>
      <c r="K1270" s="2">
        <v>6.3923163414001465</v>
      </c>
      <c r="L1270" s="2">
        <f>SUM(TimeEntries276286[Time delta in h])</f>
        <v>15.391111111210193</v>
      </c>
      <c r="M1270" s="16">
        <f>Tabelle7367277287[[#This Row],[EBS self time]]/Tabelle7367277287[[#This Row],[Total time]]</f>
        <v>0.4153252026583234</v>
      </c>
    </row>
    <row r="1271" spans="1:13">
      <c r="I1271" t="s">
        <v>169</v>
      </c>
      <c r="J1271" s="15">
        <v>0.35</v>
      </c>
      <c r="K1271" s="2">
        <v>6.3923163414001465</v>
      </c>
      <c r="L1271" s="2">
        <f>SUM(TimeEntries276286[Time delta in h])</f>
        <v>15.391111111210193</v>
      </c>
      <c r="M1271" s="16">
        <f>Tabelle7367277287[[#This Row],[EBS self time]]/Tabelle7367277287[[#This Row],[Total time]]</f>
        <v>0.4153252026583234</v>
      </c>
    </row>
    <row r="1272" spans="1:13">
      <c r="I1272" t="s">
        <v>172</v>
      </c>
      <c r="J1272" s="15">
        <v>0.5</v>
      </c>
      <c r="K1272" s="2">
        <v>6.3923163414001465</v>
      </c>
      <c r="L1272" s="2">
        <f>SUM(TimeEntries276286[Time delta in h])</f>
        <v>15.391111111210193</v>
      </c>
      <c r="M1272" s="16">
        <f>Tabelle7367277287[[#This Row],[EBS self time]]/Tabelle7367277287[[#This Row],[Total time]]</f>
        <v>0.4153252026583234</v>
      </c>
    </row>
    <row r="1273" spans="1:13">
      <c r="I1273" t="s">
        <v>187</v>
      </c>
      <c r="J1273" s="15">
        <v>0.65</v>
      </c>
      <c r="K1273" s="2">
        <v>6.3923163414001465</v>
      </c>
      <c r="L1273" s="2">
        <f>SUM(TimeEntries276286[Time delta in h])</f>
        <v>15.391111111210193</v>
      </c>
      <c r="M1273" s="16">
        <f>Tabelle7367277287[[#This Row],[EBS self time]]/Tabelle7367277287[[#This Row],[Total time]]</f>
        <v>0.4153252026583234</v>
      </c>
    </row>
    <row r="1274" spans="1:13">
      <c r="I1274" t="s">
        <v>192</v>
      </c>
      <c r="J1274" s="15">
        <v>0.8</v>
      </c>
      <c r="K1274" s="2">
        <v>24.776419927907543</v>
      </c>
      <c r="L1274" s="2">
        <f>SUM(TimeEntries276286[Time delta in h])</f>
        <v>15.391111111210193</v>
      </c>
      <c r="M1274" s="16">
        <f>Tabelle7367277287[[#This Row],[EBS self time]]/Tabelle7367277287[[#This Row],[Total time]]</f>
        <v>1.6097876072028037</v>
      </c>
    </row>
    <row r="1275" spans="1:13">
      <c r="I1275" t="s">
        <v>193</v>
      </c>
      <c r="J1275" s="15">
        <v>0.95</v>
      </c>
      <c r="K1275" s="2">
        <v>24.776419927907543</v>
      </c>
      <c r="L1275" s="2">
        <f>SUM(TimeEntries276286[Time delta in h])</f>
        <v>15.391111111210193</v>
      </c>
      <c r="M1275" s="16">
        <f>Tabelle7367277287[[#This Row],[EBS self time]]/Tabelle7367277287[[#This Row],[Total time]]</f>
        <v>1.6097876072028037</v>
      </c>
    </row>
    <row r="1277" spans="1:13">
      <c r="A1277" t="s">
        <v>189</v>
      </c>
      <c r="B1277" t="s">
        <v>345</v>
      </c>
      <c r="C1277" t="s">
        <v>190</v>
      </c>
      <c r="D1277">
        <v>23</v>
      </c>
      <c r="E1277" t="s">
        <v>191</v>
      </c>
      <c r="F1277">
        <v>13</v>
      </c>
    </row>
    <row r="1278" spans="1:13">
      <c r="A1278" s="4" t="s">
        <v>24</v>
      </c>
      <c r="I1278" t="s">
        <v>135</v>
      </c>
      <c r="J1278" t="s">
        <v>136</v>
      </c>
    </row>
    <row r="1279" spans="1:13">
      <c r="A1279" t="s">
        <v>3</v>
      </c>
      <c r="B1279" t="s">
        <v>347</v>
      </c>
    </row>
    <row r="1280" spans="1:13">
      <c r="A1280" t="s">
        <v>77</v>
      </c>
      <c r="B1280" s="2">
        <v>3.6238861083984375</v>
      </c>
      <c r="C1280" t="s">
        <v>4</v>
      </c>
    </row>
    <row r="1281" spans="1:13">
      <c r="A1281" t="s">
        <v>0</v>
      </c>
      <c r="B1281" s="2">
        <f>SUM(TimeEntries278288292302[Time delta in h])</f>
        <v>17.928055555501487</v>
      </c>
      <c r="C1281" t="s">
        <v>4</v>
      </c>
    </row>
    <row r="1282" spans="1:13">
      <c r="A1282" t="s">
        <v>13</v>
      </c>
      <c r="B1282" s="5" t="s">
        <v>92</v>
      </c>
    </row>
    <row r="1283" spans="1:13">
      <c r="A1283" t="s">
        <v>14</v>
      </c>
      <c r="B1283" s="5" t="s">
        <v>18</v>
      </c>
    </row>
    <row r="1284" spans="1:13">
      <c r="A1284" t="s">
        <v>1</v>
      </c>
      <c r="B1284" t="s">
        <v>91</v>
      </c>
    </row>
    <row r="1285" spans="1:13">
      <c r="A1285" t="s">
        <v>15</v>
      </c>
      <c r="B1285" s="5" t="s">
        <v>92</v>
      </c>
    </row>
    <row r="1286" spans="1:13">
      <c r="A1286" t="s">
        <v>2</v>
      </c>
    </row>
    <row r="1287" spans="1:13">
      <c r="A1287" t="s">
        <v>46</v>
      </c>
      <c r="B1287" t="s">
        <v>345</v>
      </c>
    </row>
    <row r="1288" spans="1:13">
      <c r="A1288" t="s">
        <v>5</v>
      </c>
      <c r="B1288" s="2">
        <f>B1280/SUM(TimeEntries278288292302[Time delta in h])</f>
        <v>0.20213492183687454</v>
      </c>
      <c r="C1288" t="s">
        <v>6</v>
      </c>
    </row>
    <row r="1289" spans="1:13">
      <c r="A1289" t="s">
        <v>93</v>
      </c>
    </row>
    <row r="1290" spans="1:13">
      <c r="A1290" t="s">
        <v>94</v>
      </c>
    </row>
    <row r="1291" spans="1:13">
      <c r="A1291" t="s">
        <v>129</v>
      </c>
      <c r="B1291" s="1">
        <v>44161.952280092592</v>
      </c>
    </row>
    <row r="1293" spans="1:13">
      <c r="A1293" t="s">
        <v>10</v>
      </c>
      <c r="B1293" t="s">
        <v>7</v>
      </c>
      <c r="C1293" t="s">
        <v>8</v>
      </c>
      <c r="D1293" t="s">
        <v>9</v>
      </c>
      <c r="E1293" t="s">
        <v>134</v>
      </c>
      <c r="F1293" t="s">
        <v>84</v>
      </c>
      <c r="G1293" t="s">
        <v>85</v>
      </c>
      <c r="I1293" t="s">
        <v>70</v>
      </c>
      <c r="J1293" s="15" t="s">
        <v>68</v>
      </c>
      <c r="K1293" s="2" t="s">
        <v>69</v>
      </c>
      <c r="L1293" t="s">
        <v>71</v>
      </c>
      <c r="M1293" t="s">
        <v>72</v>
      </c>
    </row>
    <row r="1294" spans="1:13">
      <c r="A1294" t="s">
        <v>126</v>
      </c>
      <c r="B1294" s="1">
        <v>44161.205300925925</v>
      </c>
      <c r="C1294" s="1">
        <v>44161.952303240738</v>
      </c>
      <c r="D1294" s="2">
        <f>MAX((TimeEntries278288292302[[#This Row],[End time]]-TimeEntries278288292302[[#This Row],[Start time]])*24,0)</f>
        <v>17.928055555501487</v>
      </c>
      <c r="F1294" s="54" t="s">
        <v>184</v>
      </c>
      <c r="G1294" s="22" t="s">
        <v>185</v>
      </c>
      <c r="I1294" t="s">
        <v>126</v>
      </c>
      <c r="J1294" s="15">
        <v>0.05</v>
      </c>
      <c r="K1294" s="2">
        <v>1.8119430541992188</v>
      </c>
      <c r="L1294" s="2">
        <f>SUM(TimeEntries278288292302[Time delta in h])</f>
        <v>17.928055555501487</v>
      </c>
      <c r="M1294" s="16">
        <f>Tabelle7367279289293303[[#This Row],[EBS self time]]/Tabelle7367279289293303[[#This Row],[Total time]]</f>
        <v>0.10106746091843727</v>
      </c>
    </row>
    <row r="1295" spans="1:13">
      <c r="B1295" s="1"/>
      <c r="C1295" s="1"/>
      <c r="D1295" s="2"/>
      <c r="I1295" t="s">
        <v>127</v>
      </c>
      <c r="J1295" s="15">
        <v>0.2</v>
      </c>
      <c r="K1295" s="2">
        <v>1.8119430541992188</v>
      </c>
      <c r="L1295" s="2">
        <f>SUM(TimeEntries278288292302[Time delta in h])</f>
        <v>17.928055555501487</v>
      </c>
      <c r="M1295" s="16">
        <f>Tabelle7367279289293303[[#This Row],[EBS self time]]/Tabelle7367279289293303[[#This Row],[Total time]]</f>
        <v>0.10106746091843727</v>
      </c>
    </row>
    <row r="1296" spans="1:13">
      <c r="I1296" t="s">
        <v>169</v>
      </c>
      <c r="J1296" s="15">
        <v>0.35</v>
      </c>
      <c r="K1296" s="2">
        <v>1.8119430541992188</v>
      </c>
      <c r="L1296" s="2">
        <f>SUM(TimeEntries278288292302[Time delta in h])</f>
        <v>17.928055555501487</v>
      </c>
      <c r="M1296" s="16">
        <f>Tabelle7367279289293303[[#This Row],[EBS self time]]/Tabelle7367279289293303[[#This Row],[Total time]]</f>
        <v>0.10106746091843727</v>
      </c>
    </row>
    <row r="1297" spans="1:13">
      <c r="I1297" t="s">
        <v>172</v>
      </c>
      <c r="J1297" s="15">
        <v>0.5</v>
      </c>
      <c r="K1297" s="2">
        <v>1.8119430541992188</v>
      </c>
      <c r="L1297" s="2">
        <f>SUM(TimeEntries278288292302[Time delta in h])</f>
        <v>17.928055555501487</v>
      </c>
      <c r="M1297" s="16">
        <f>Tabelle7367279289293303[[#This Row],[EBS self time]]/Tabelle7367279289293303[[#This Row],[Total time]]</f>
        <v>0.10106746091843727</v>
      </c>
    </row>
    <row r="1298" spans="1:13">
      <c r="I1298" t="s">
        <v>187</v>
      </c>
      <c r="J1298" s="15">
        <v>0.65</v>
      </c>
      <c r="K1298" s="2">
        <v>4.0266571710276065</v>
      </c>
      <c r="L1298" s="2">
        <f>SUM(TimeEntries278288292302[Time delta in h])</f>
        <v>17.928055555501487</v>
      </c>
      <c r="M1298" s="16">
        <f>Tabelle7367279289293303[[#This Row],[EBS self time]]/Tabelle7367279289293303[[#This Row],[Total time]]</f>
        <v>0.22460088650227145</v>
      </c>
    </row>
    <row r="1299" spans="1:13">
      <c r="I1299" t="s">
        <v>192</v>
      </c>
      <c r="J1299" s="15">
        <v>0.8</v>
      </c>
      <c r="K1299" s="2">
        <v>7.0230350937954213</v>
      </c>
      <c r="L1299" s="2">
        <f>SUM(TimeEntries278288292302[Time delta in h])</f>
        <v>17.928055555501487</v>
      </c>
      <c r="M1299" s="16">
        <f>Tabelle7367279289293303[[#This Row],[EBS self time]]/Tabelle7367279289293303[[#This Row],[Total time]]</f>
        <v>0.3917343446451057</v>
      </c>
    </row>
    <row r="1300" spans="1:13">
      <c r="I1300" t="s">
        <v>193</v>
      </c>
      <c r="J1300" s="15">
        <v>0.95</v>
      </c>
      <c r="K1300" s="2">
        <v>7.0230350937954213</v>
      </c>
      <c r="L1300" s="2">
        <f>SUM(TimeEntries278288292302[Time delta in h])</f>
        <v>17.928055555501487</v>
      </c>
      <c r="M1300" s="16">
        <f>Tabelle7367279289293303[[#This Row],[EBS self time]]/Tabelle7367279289293303[[#This Row],[Total time]]</f>
        <v>0.3917343446451057</v>
      </c>
    </row>
    <row r="1302" spans="1:13">
      <c r="A1302" t="s">
        <v>189</v>
      </c>
      <c r="B1302" t="s">
        <v>348</v>
      </c>
      <c r="C1302" t="s">
        <v>190</v>
      </c>
      <c r="D1302">
        <v>18</v>
      </c>
      <c r="E1302" t="s">
        <v>191</v>
      </c>
      <c r="F1302">
        <v>13</v>
      </c>
    </row>
    <row r="1303" spans="1:13">
      <c r="A1303" s="4" t="s">
        <v>24</v>
      </c>
      <c r="I1303" t="s">
        <v>135</v>
      </c>
      <c r="J1303" t="s">
        <v>136</v>
      </c>
    </row>
    <row r="1304" spans="1:13">
      <c r="A1304" t="s">
        <v>3</v>
      </c>
      <c r="B1304" t="s">
        <v>350</v>
      </c>
    </row>
    <row r="1305" spans="1:13">
      <c r="A1305" t="s">
        <v>77</v>
      </c>
      <c r="B1305" s="2" t="s">
        <v>92</v>
      </c>
      <c r="C1305" t="s">
        <v>4</v>
      </c>
    </row>
    <row r="1306" spans="1:13">
      <c r="A1306" t="s">
        <v>0</v>
      </c>
      <c r="B1306" s="2">
        <f>SUM(TimeEntries294304[Time delta in h])</f>
        <v>1.8361111111007631</v>
      </c>
      <c r="C1306" t="s">
        <v>4</v>
      </c>
    </row>
    <row r="1307" spans="1:13">
      <c r="A1307" t="s">
        <v>13</v>
      </c>
      <c r="B1307" s="5" t="s">
        <v>92</v>
      </c>
    </row>
    <row r="1308" spans="1:13">
      <c r="A1308" t="s">
        <v>14</v>
      </c>
      <c r="B1308" s="5" t="s">
        <v>18</v>
      </c>
    </row>
    <row r="1309" spans="1:13">
      <c r="A1309" t="s">
        <v>1</v>
      </c>
      <c r="B1309" t="s">
        <v>91</v>
      </c>
    </row>
    <row r="1310" spans="1:13">
      <c r="A1310" t="s">
        <v>15</v>
      </c>
      <c r="B1310" s="5" t="s">
        <v>92</v>
      </c>
    </row>
    <row r="1311" spans="1:13">
      <c r="A1311" t="s">
        <v>2</v>
      </c>
    </row>
    <row r="1312" spans="1:13">
      <c r="A1312" t="s">
        <v>46</v>
      </c>
      <c r="B1312" t="s">
        <v>348</v>
      </c>
    </row>
    <row r="1313" spans="1:13">
      <c r="A1313" t="s">
        <v>5</v>
      </c>
      <c r="B1313" s="2" t="e">
        <f>B1305/SUM(TimeEntries294304[Time delta in h])</f>
        <v>#VALUE!</v>
      </c>
      <c r="C1313" t="s">
        <v>6</v>
      </c>
    </row>
    <row r="1314" spans="1:13">
      <c r="A1314" t="s">
        <v>93</v>
      </c>
    </row>
    <row r="1315" spans="1:13">
      <c r="A1315" t="s">
        <v>94</v>
      </c>
    </row>
    <row r="1316" spans="1:13">
      <c r="A1316" t="s">
        <v>129</v>
      </c>
      <c r="B1316" s="1">
        <v>44161.952314814815</v>
      </c>
    </row>
    <row r="1318" spans="1:13">
      <c r="A1318" t="s">
        <v>10</v>
      </c>
      <c r="B1318" t="s">
        <v>7</v>
      </c>
      <c r="C1318" t="s">
        <v>8</v>
      </c>
      <c r="D1318" t="s">
        <v>9</v>
      </c>
      <c r="E1318" t="s">
        <v>134</v>
      </c>
      <c r="F1318" t="s">
        <v>84</v>
      </c>
      <c r="G1318" t="s">
        <v>85</v>
      </c>
      <c r="I1318" t="s">
        <v>70</v>
      </c>
      <c r="J1318" s="15" t="s">
        <v>68</v>
      </c>
      <c r="K1318" s="2" t="s">
        <v>69</v>
      </c>
      <c r="L1318" t="s">
        <v>71</v>
      </c>
      <c r="M1318" t="s">
        <v>72</v>
      </c>
    </row>
    <row r="1319" spans="1:13">
      <c r="A1319" t="s">
        <v>126</v>
      </c>
      <c r="B1319" s="1">
        <v>44161.875810185185</v>
      </c>
      <c r="C1319" s="1">
        <v>44161.952314814815</v>
      </c>
      <c r="D1319" s="2">
        <f>MAX((TimeEntries294304[[#This Row],[End time]]-TimeEntries294304[[#This Row],[Start time]])*24,0)</f>
        <v>1.8361111111007631</v>
      </c>
      <c r="F1319" s="54" t="s">
        <v>184</v>
      </c>
      <c r="G1319" s="22" t="s">
        <v>185</v>
      </c>
      <c r="J1319" s="15"/>
      <c r="K1319" s="2"/>
      <c r="L1319" s="2">
        <f>SUM(TimeEntries294304[Time delta in h])</f>
        <v>1.8361111111007631</v>
      </c>
      <c r="M1319" s="16">
        <f>Tabelle7367295305[[#This Row],[EBS self time]]/Tabelle7367295305[[#This Row],[Total time]]</f>
        <v>0</v>
      </c>
    </row>
    <row r="1320" spans="1:13">
      <c r="B1320" s="1"/>
      <c r="C1320" s="1"/>
      <c r="D1320" s="2"/>
    </row>
    <row r="1322" spans="1:13">
      <c r="A1322" t="s">
        <v>189</v>
      </c>
      <c r="B1322" t="s">
        <v>351</v>
      </c>
      <c r="C1322" t="s">
        <v>190</v>
      </c>
      <c r="D1322">
        <v>23</v>
      </c>
      <c r="E1322" t="s">
        <v>191</v>
      </c>
      <c r="F1322">
        <v>13</v>
      </c>
    </row>
    <row r="1323" spans="1:13">
      <c r="A1323" s="4" t="s">
        <v>24</v>
      </c>
      <c r="I1323" t="s">
        <v>135</v>
      </c>
      <c r="J1323" t="s">
        <v>136</v>
      </c>
    </row>
    <row r="1324" spans="1:13">
      <c r="A1324" t="s">
        <v>3</v>
      </c>
      <c r="B1324" t="s">
        <v>353</v>
      </c>
    </row>
    <row r="1325" spans="1:13">
      <c r="A1325" t="s">
        <v>77</v>
      </c>
      <c r="B1325" s="2">
        <v>8.2729158401489258</v>
      </c>
      <c r="C1325" t="s">
        <v>4</v>
      </c>
    </row>
    <row r="1326" spans="1:13">
      <c r="A1326" t="s">
        <v>0</v>
      </c>
      <c r="B1326" s="2">
        <f>SUM(TimeEntries296306[Time delta in h])</f>
        <v>17.7777777776937</v>
      </c>
      <c r="C1326" t="s">
        <v>4</v>
      </c>
    </row>
    <row r="1327" spans="1:13">
      <c r="A1327" t="s">
        <v>13</v>
      </c>
      <c r="B1327" s="5" t="s">
        <v>92</v>
      </c>
    </row>
    <row r="1328" spans="1:13">
      <c r="A1328" t="s">
        <v>14</v>
      </c>
      <c r="B1328" s="5" t="s">
        <v>18</v>
      </c>
    </row>
    <row r="1329" spans="1:13">
      <c r="A1329" t="s">
        <v>1</v>
      </c>
      <c r="B1329" t="s">
        <v>131</v>
      </c>
    </row>
    <row r="1330" spans="1:13">
      <c r="A1330" t="s">
        <v>15</v>
      </c>
      <c r="B1330" s="5">
        <v>44161.952314814815</v>
      </c>
    </row>
    <row r="1331" spans="1:13">
      <c r="A1331" t="s">
        <v>2</v>
      </c>
    </row>
    <row r="1332" spans="1:13">
      <c r="A1332" t="s">
        <v>46</v>
      </c>
      <c r="B1332" t="s">
        <v>351</v>
      </c>
    </row>
    <row r="1333" spans="1:13">
      <c r="A1333" t="s">
        <v>5</v>
      </c>
      <c r="B1333" s="2">
        <f>B1325/SUM(TimeEntries296306[Time delta in h])</f>
        <v>0.46535151601057789</v>
      </c>
      <c r="C1333" t="s">
        <v>6</v>
      </c>
    </row>
    <row r="1334" spans="1:13">
      <c r="A1334" t="s">
        <v>93</v>
      </c>
    </row>
    <row r="1335" spans="1:13">
      <c r="A1335" t="s">
        <v>94</v>
      </c>
    </row>
    <row r="1336" spans="1:13">
      <c r="A1336" t="s">
        <v>129</v>
      </c>
      <c r="B1336" s="1">
        <v>44161.952314814815</v>
      </c>
    </row>
    <row r="1338" spans="1:13">
      <c r="A1338" t="s">
        <v>10</v>
      </c>
      <c r="B1338" t="s">
        <v>7</v>
      </c>
      <c r="C1338" t="s">
        <v>8</v>
      </c>
      <c r="D1338" t="s">
        <v>9</v>
      </c>
      <c r="E1338" t="s">
        <v>134</v>
      </c>
      <c r="F1338" t="s">
        <v>84</v>
      </c>
      <c r="G1338" t="s">
        <v>85</v>
      </c>
      <c r="I1338" t="s">
        <v>70</v>
      </c>
      <c r="J1338" s="15" t="s">
        <v>68</v>
      </c>
      <c r="K1338" s="2" t="s">
        <v>69</v>
      </c>
      <c r="L1338" t="s">
        <v>71</v>
      </c>
      <c r="M1338" t="s">
        <v>72</v>
      </c>
    </row>
    <row r="1339" spans="1:13">
      <c r="A1339" t="s">
        <v>126</v>
      </c>
      <c r="B1339" s="1">
        <v>44161.211574074077</v>
      </c>
      <c r="C1339" s="1">
        <v>44161.952314814815</v>
      </c>
      <c r="D1339" s="2">
        <f>MAX((TimeEntries296306[[#This Row],[End time]]-TimeEntries296306[[#This Row],[Start time]])*24,0)</f>
        <v>17.7777777776937</v>
      </c>
      <c r="F1339" s="54" t="s">
        <v>184</v>
      </c>
      <c r="G1339" s="22" t="s">
        <v>185</v>
      </c>
      <c r="I1339" t="s">
        <v>126</v>
      </c>
      <c r="J1339" s="15">
        <v>0.05</v>
      </c>
      <c r="K1339" s="2">
        <v>4.1364579200744629</v>
      </c>
      <c r="L1339" s="2">
        <f>SUM(TimeEntries296306[Time delta in h])</f>
        <v>17.7777777776937</v>
      </c>
      <c r="M1339" s="16">
        <f>Tabelle7367297307[[#This Row],[EBS self time]]/Tabelle7367297307[[#This Row],[Total time]]</f>
        <v>0.23267575800528895</v>
      </c>
    </row>
    <row r="1340" spans="1:13">
      <c r="B1340" s="1"/>
      <c r="C1340" s="1"/>
      <c r="D1340" s="2"/>
      <c r="I1340" t="s">
        <v>127</v>
      </c>
      <c r="J1340" s="15">
        <v>0.2</v>
      </c>
      <c r="K1340" s="2">
        <v>4.1364579200744629</v>
      </c>
      <c r="L1340" s="2">
        <f>SUM(TimeEntries296306[Time delta in h])</f>
        <v>17.7777777776937</v>
      </c>
      <c r="M1340" s="16">
        <f>Tabelle7367297307[[#This Row],[EBS self time]]/Tabelle7367297307[[#This Row],[Total time]]</f>
        <v>0.23267575800528895</v>
      </c>
    </row>
    <row r="1341" spans="1:13">
      <c r="I1341" t="s">
        <v>169</v>
      </c>
      <c r="J1341" s="15">
        <v>0.35</v>
      </c>
      <c r="K1341" s="2">
        <v>4.1364579200744629</v>
      </c>
      <c r="L1341" s="2">
        <f>SUM(TimeEntries296306[Time delta in h])</f>
        <v>17.7777777776937</v>
      </c>
      <c r="M1341" s="16">
        <f>Tabelle7367297307[[#This Row],[EBS self time]]/Tabelle7367297307[[#This Row],[Total time]]</f>
        <v>0.23267575800528895</v>
      </c>
    </row>
    <row r="1342" spans="1:13">
      <c r="I1342" t="s">
        <v>172</v>
      </c>
      <c r="J1342" s="15">
        <v>0.5</v>
      </c>
      <c r="K1342" s="2">
        <v>4.1364579200744629</v>
      </c>
      <c r="L1342" s="2">
        <f>SUM(TimeEntries296306[Time delta in h])</f>
        <v>17.7777777776937</v>
      </c>
      <c r="M1342" s="16">
        <f>Tabelle7367297307[[#This Row],[EBS self time]]/Tabelle7367297307[[#This Row],[Total time]]</f>
        <v>0.23267575800528895</v>
      </c>
    </row>
    <row r="1343" spans="1:13">
      <c r="I1343" t="s">
        <v>187</v>
      </c>
      <c r="J1343" s="15">
        <v>0.65</v>
      </c>
      <c r="K1343" s="2">
        <v>9.19239592432052</v>
      </c>
      <c r="L1343" s="2">
        <f>SUM(TimeEntries296306[Time delta in h])</f>
        <v>17.7777777776937</v>
      </c>
      <c r="M1343" s="16">
        <f>Tabelle7367297307[[#This Row],[EBS self time]]/Tabelle7367297307[[#This Row],[Total time]]</f>
        <v>0.51707227074547468</v>
      </c>
    </row>
    <row r="1344" spans="1:13">
      <c r="I1344" t="s">
        <v>192</v>
      </c>
      <c r="J1344" s="15">
        <v>0.8</v>
      </c>
      <c r="K1344" s="2">
        <v>16.03278263594753</v>
      </c>
      <c r="L1344" s="2">
        <f>SUM(TimeEntries296306[Time delta in h])</f>
        <v>17.7777777776937</v>
      </c>
      <c r="M1344" s="16">
        <f>Tabelle7367297307[[#This Row],[EBS self time]]/Tabelle7367297307[[#This Row],[Total time]]</f>
        <v>0.90184402327631374</v>
      </c>
    </row>
    <row r="1345" spans="1:13">
      <c r="I1345" t="s">
        <v>193</v>
      </c>
      <c r="J1345" s="15">
        <v>0.95</v>
      </c>
      <c r="K1345" s="2">
        <v>16.03278263594753</v>
      </c>
      <c r="L1345" s="2">
        <f>SUM(TimeEntries296306[Time delta in h])</f>
        <v>17.7777777776937</v>
      </c>
      <c r="M1345" s="16">
        <f>Tabelle7367297307[[#This Row],[EBS self time]]/Tabelle7367297307[[#This Row],[Total time]]</f>
        <v>0.90184402327631374</v>
      </c>
    </row>
    <row r="1347" spans="1:13">
      <c r="A1347" t="s">
        <v>189</v>
      </c>
      <c r="B1347" t="s">
        <v>354</v>
      </c>
      <c r="C1347" t="s">
        <v>190</v>
      </c>
      <c r="D1347">
        <v>23</v>
      </c>
      <c r="E1347" t="s">
        <v>191</v>
      </c>
      <c r="F1347">
        <v>13</v>
      </c>
    </row>
    <row r="1348" spans="1:13">
      <c r="A1348" s="4" t="s">
        <v>24</v>
      </c>
      <c r="I1348" t="s">
        <v>135</v>
      </c>
      <c r="J1348" t="s">
        <v>136</v>
      </c>
    </row>
    <row r="1349" spans="1:13">
      <c r="A1349" t="s">
        <v>3</v>
      </c>
      <c r="B1349" t="s">
        <v>356</v>
      </c>
    </row>
    <row r="1350" spans="1:13">
      <c r="A1350" t="s">
        <v>77</v>
      </c>
      <c r="B1350" s="2">
        <v>9.1357059478759766</v>
      </c>
      <c r="C1350" t="s">
        <v>4</v>
      </c>
    </row>
    <row r="1351" spans="1:13">
      <c r="A1351" t="s">
        <v>0</v>
      </c>
      <c r="B1351" s="2">
        <f>SUM(TimeEntries298308[Time delta in h])</f>
        <v>4.6266666667652316</v>
      </c>
      <c r="C1351" t="s">
        <v>4</v>
      </c>
    </row>
    <row r="1352" spans="1:13">
      <c r="A1352" t="s">
        <v>13</v>
      </c>
      <c r="B1352" s="5" t="s">
        <v>92</v>
      </c>
    </row>
    <row r="1353" spans="1:13">
      <c r="A1353" t="s">
        <v>14</v>
      </c>
      <c r="B1353" s="5" t="s">
        <v>18</v>
      </c>
    </row>
    <row r="1354" spans="1:13">
      <c r="A1354" t="s">
        <v>1</v>
      </c>
      <c r="B1354" t="s">
        <v>91</v>
      </c>
    </row>
    <row r="1355" spans="1:13">
      <c r="A1355" t="s">
        <v>15</v>
      </c>
      <c r="B1355" s="5" t="s">
        <v>92</v>
      </c>
    </row>
    <row r="1356" spans="1:13">
      <c r="A1356" t="s">
        <v>2</v>
      </c>
    </row>
    <row r="1357" spans="1:13">
      <c r="A1357" t="s">
        <v>46</v>
      </c>
      <c r="B1357" t="s">
        <v>354</v>
      </c>
    </row>
    <row r="1358" spans="1:13">
      <c r="A1358" t="s">
        <v>5</v>
      </c>
      <c r="B1358" s="2">
        <f>B1350/SUM(TimeEntries298308[Time delta in h])</f>
        <v>1.9745762134757967</v>
      </c>
      <c r="C1358" t="s">
        <v>6</v>
      </c>
    </row>
    <row r="1359" spans="1:13">
      <c r="A1359" t="s">
        <v>93</v>
      </c>
    </row>
    <row r="1360" spans="1:13">
      <c r="A1360" t="s">
        <v>94</v>
      </c>
    </row>
    <row r="1361" spans="1:13">
      <c r="A1361" t="s">
        <v>129</v>
      </c>
      <c r="B1361" s="1">
        <v>44161.952326388891</v>
      </c>
    </row>
    <row r="1363" spans="1:13">
      <c r="A1363" t="s">
        <v>10</v>
      </c>
      <c r="B1363" t="s">
        <v>7</v>
      </c>
      <c r="C1363" t="s">
        <v>8</v>
      </c>
      <c r="D1363" t="s">
        <v>9</v>
      </c>
      <c r="E1363" t="s">
        <v>134</v>
      </c>
      <c r="F1363" t="s">
        <v>84</v>
      </c>
      <c r="G1363" t="s">
        <v>85</v>
      </c>
      <c r="I1363" t="s">
        <v>70</v>
      </c>
      <c r="J1363" s="15" t="s">
        <v>68</v>
      </c>
      <c r="K1363" s="2" t="s">
        <v>69</v>
      </c>
      <c r="L1363" t="s">
        <v>71</v>
      </c>
      <c r="M1363" t="s">
        <v>72</v>
      </c>
    </row>
    <row r="1364" spans="1:13">
      <c r="A1364" t="s">
        <v>126</v>
      </c>
      <c r="B1364" s="1">
        <v>44161.759548611109</v>
      </c>
      <c r="C1364" s="1">
        <v>44161.952326388891</v>
      </c>
      <c r="D1364" s="2">
        <f>MAX((TimeEntries298308[[#This Row],[End time]]-TimeEntries298308[[#This Row],[Start time]])*24,0)</f>
        <v>4.6266666667652316</v>
      </c>
      <c r="F1364" s="54" t="s">
        <v>184</v>
      </c>
      <c r="G1364" s="22" t="s">
        <v>185</v>
      </c>
      <c r="I1364" t="s">
        <v>126</v>
      </c>
      <c r="J1364" s="15">
        <v>0.05</v>
      </c>
      <c r="K1364" s="2">
        <v>4.5678529739379883</v>
      </c>
      <c r="L1364" s="2">
        <f>SUM(TimeEntries298308[Time delta in h])</f>
        <v>4.6266666667652316</v>
      </c>
      <c r="M1364" s="16">
        <f>Tabelle7367299309[[#This Row],[EBS self time]]/Tabelle7367299309[[#This Row],[Total time]]</f>
        <v>0.98728810673789835</v>
      </c>
    </row>
    <row r="1365" spans="1:13">
      <c r="B1365" s="1"/>
      <c r="C1365" s="1"/>
      <c r="D1365" s="2"/>
      <c r="I1365" t="s">
        <v>127</v>
      </c>
      <c r="J1365" s="15">
        <v>0.2</v>
      </c>
      <c r="K1365" s="2">
        <v>4.5678529739379883</v>
      </c>
      <c r="L1365" s="2">
        <f>SUM(TimeEntries298308[Time delta in h])</f>
        <v>4.6266666667652316</v>
      </c>
      <c r="M1365" s="16">
        <f>Tabelle7367299309[[#This Row],[EBS self time]]/Tabelle7367299309[[#This Row],[Total time]]</f>
        <v>0.98728810673789835</v>
      </c>
    </row>
    <row r="1366" spans="1:13">
      <c r="I1366" t="s">
        <v>169</v>
      </c>
      <c r="J1366" s="15">
        <v>0.35</v>
      </c>
      <c r="K1366" s="2">
        <v>4.5678529739379883</v>
      </c>
      <c r="L1366" s="2">
        <f>SUM(TimeEntries298308[Time delta in h])</f>
        <v>4.6266666667652316</v>
      </c>
      <c r="M1366" s="16">
        <f>Tabelle7367299309[[#This Row],[EBS self time]]/Tabelle7367299309[[#This Row],[Total time]]</f>
        <v>0.98728810673789835</v>
      </c>
    </row>
    <row r="1367" spans="1:13">
      <c r="I1367" t="s">
        <v>172</v>
      </c>
      <c r="J1367" s="15">
        <v>0.5</v>
      </c>
      <c r="K1367" s="2">
        <v>4.5678529739379883</v>
      </c>
      <c r="L1367" s="2">
        <f>SUM(TimeEntries298308[Time delta in h])</f>
        <v>4.6266666667652316</v>
      </c>
      <c r="M1367" s="16">
        <f>Tabelle7367299309[[#This Row],[EBS self time]]/Tabelle7367299309[[#This Row],[Total time]]</f>
        <v>0.98728810673789835</v>
      </c>
    </row>
    <row r="1368" spans="1:13">
      <c r="I1368" t="s">
        <v>187</v>
      </c>
      <c r="J1368" s="15">
        <v>0.65</v>
      </c>
      <c r="K1368" s="2">
        <v>4.5678529739379883</v>
      </c>
      <c r="L1368" s="2">
        <f>SUM(TimeEntries298308[Time delta in h])</f>
        <v>4.6266666667652316</v>
      </c>
      <c r="M1368" s="16">
        <f>Tabelle7367299309[[#This Row],[EBS self time]]/Tabelle7367299309[[#This Row],[Total time]]</f>
        <v>0.98728810673789835</v>
      </c>
    </row>
    <row r="1369" spans="1:13">
      <c r="I1369" t="s">
        <v>192</v>
      </c>
      <c r="J1369" s="15">
        <v>0.8</v>
      </c>
      <c r="K1369" s="2">
        <v>17.704856488131735</v>
      </c>
      <c r="L1369" s="2">
        <f>SUM(TimeEntries298308[Time delta in h])</f>
        <v>4.6266666667652316</v>
      </c>
      <c r="M1369" s="16">
        <f>Tabelle7367299309[[#This Row],[EBS self time]]/Tabelle7367299309[[#This Row],[Total time]]</f>
        <v>3.8266980881313883</v>
      </c>
    </row>
    <row r="1370" spans="1:13">
      <c r="I1370" t="s">
        <v>193</v>
      </c>
      <c r="J1370" s="15">
        <v>0.95</v>
      </c>
      <c r="K1370" s="2">
        <v>17.704856488131735</v>
      </c>
      <c r="L1370" s="2">
        <f>SUM(TimeEntries298308[Time delta in h])</f>
        <v>4.6266666667652316</v>
      </c>
      <c r="M1370" s="16">
        <f>Tabelle7367299309[[#This Row],[EBS self time]]/Tabelle7367299309[[#This Row],[Total time]]</f>
        <v>3.8266980881313883</v>
      </c>
    </row>
    <row r="1372" spans="1:13">
      <c r="A1372" t="s">
        <v>189</v>
      </c>
      <c r="B1372" t="s">
        <v>357</v>
      </c>
      <c r="C1372" t="s">
        <v>190</v>
      </c>
      <c r="D1372">
        <v>18</v>
      </c>
      <c r="E1372" t="s">
        <v>191</v>
      </c>
      <c r="F1372">
        <v>13</v>
      </c>
    </row>
    <row r="1373" spans="1:13">
      <c r="A1373" s="4" t="s">
        <v>24</v>
      </c>
      <c r="I1373" t="s">
        <v>135</v>
      </c>
      <c r="J1373" t="s">
        <v>136</v>
      </c>
    </row>
    <row r="1374" spans="1:13">
      <c r="A1374" t="s">
        <v>3</v>
      </c>
      <c r="B1374" t="s">
        <v>359</v>
      </c>
    </row>
    <row r="1375" spans="1:13">
      <c r="A1375" t="s">
        <v>77</v>
      </c>
      <c r="B1375" s="2" t="s">
        <v>92</v>
      </c>
      <c r="C1375" t="s">
        <v>4</v>
      </c>
    </row>
    <row r="1376" spans="1:13">
      <c r="A1376" t="s">
        <v>0</v>
      </c>
      <c r="B1376" s="2">
        <f>SUM(TimeEntries300310314324[Time delta in h])</f>
        <v>14.597777777700685</v>
      </c>
      <c r="C1376" t="s">
        <v>4</v>
      </c>
    </row>
    <row r="1377" spans="1:13">
      <c r="A1377" t="s">
        <v>13</v>
      </c>
      <c r="B1377" s="5" t="s">
        <v>92</v>
      </c>
    </row>
    <row r="1378" spans="1:13">
      <c r="A1378" t="s">
        <v>14</v>
      </c>
      <c r="B1378" s="5" t="s">
        <v>18</v>
      </c>
    </row>
    <row r="1379" spans="1:13">
      <c r="A1379" t="s">
        <v>1</v>
      </c>
      <c r="B1379" t="s">
        <v>91</v>
      </c>
    </row>
    <row r="1380" spans="1:13">
      <c r="A1380" t="s">
        <v>15</v>
      </c>
      <c r="B1380" s="5" t="s">
        <v>92</v>
      </c>
    </row>
    <row r="1381" spans="1:13">
      <c r="A1381" t="s">
        <v>2</v>
      </c>
    </row>
    <row r="1382" spans="1:13">
      <c r="A1382" t="s">
        <v>46</v>
      </c>
      <c r="B1382" t="s">
        <v>357</v>
      </c>
    </row>
    <row r="1383" spans="1:13">
      <c r="A1383" t="s">
        <v>5</v>
      </c>
      <c r="B1383" s="2" t="e">
        <f>B1375/SUM(TimeEntries300310314324[Time delta in h])</f>
        <v>#VALUE!</v>
      </c>
      <c r="C1383" t="s">
        <v>6</v>
      </c>
    </row>
    <row r="1384" spans="1:13">
      <c r="A1384" t="s">
        <v>93</v>
      </c>
    </row>
    <row r="1385" spans="1:13">
      <c r="A1385" t="s">
        <v>94</v>
      </c>
    </row>
    <row r="1386" spans="1:13">
      <c r="A1386" t="s">
        <v>129</v>
      </c>
      <c r="B1386" s="1">
        <v>44161.952326388891</v>
      </c>
    </row>
    <row r="1388" spans="1:13">
      <c r="A1388" t="s">
        <v>10</v>
      </c>
      <c r="B1388" t="s">
        <v>7</v>
      </c>
      <c r="C1388" t="s">
        <v>8</v>
      </c>
      <c r="D1388" t="s">
        <v>9</v>
      </c>
      <c r="E1388" t="s">
        <v>134</v>
      </c>
      <c r="F1388" t="s">
        <v>84</v>
      </c>
      <c r="G1388" t="s">
        <v>85</v>
      </c>
      <c r="I1388" t="s">
        <v>70</v>
      </c>
      <c r="J1388" s="15" t="s">
        <v>68</v>
      </c>
      <c r="K1388" s="2" t="s">
        <v>69</v>
      </c>
      <c r="L1388" t="s">
        <v>71</v>
      </c>
      <c r="M1388" t="s">
        <v>72</v>
      </c>
    </row>
    <row r="1389" spans="1:13">
      <c r="A1389" t="s">
        <v>126</v>
      </c>
      <c r="B1389" s="1">
        <v>44161.344131944446</v>
      </c>
      <c r="C1389" s="1">
        <v>44161.952372685184</v>
      </c>
      <c r="D1389" s="2">
        <f>MAX((TimeEntries300310314324[[#This Row],[End time]]-TimeEntries300310314324[[#This Row],[Start time]])*24,0)</f>
        <v>14.597777777700685</v>
      </c>
      <c r="F1389" s="54" t="s">
        <v>184</v>
      </c>
      <c r="G1389" s="22" t="s">
        <v>185</v>
      </c>
      <c r="J1389" s="15"/>
      <c r="K1389" s="2"/>
      <c r="L1389" s="2">
        <f>SUM(TimeEntries300310314324[Time delta in h])</f>
        <v>14.597777777700685</v>
      </c>
      <c r="M1389" s="16">
        <f>Tabelle7367301311315325[[#This Row],[EBS self time]]/Tabelle7367301311315325[[#This Row],[Total time]]</f>
        <v>0</v>
      </c>
    </row>
    <row r="1390" spans="1:13">
      <c r="B1390" s="1"/>
      <c r="C1390" s="1"/>
      <c r="D1390" s="2"/>
    </row>
    <row r="1392" spans="1:13">
      <c r="A1392" t="s">
        <v>189</v>
      </c>
      <c r="B1392" t="s">
        <v>360</v>
      </c>
      <c r="C1392" t="s">
        <v>190</v>
      </c>
      <c r="D1392">
        <v>18</v>
      </c>
      <c r="E1392" t="s">
        <v>191</v>
      </c>
      <c r="F1392">
        <v>13</v>
      </c>
    </row>
    <row r="1393" spans="1:13">
      <c r="A1393" s="4" t="s">
        <v>24</v>
      </c>
      <c r="I1393" t="s">
        <v>135</v>
      </c>
      <c r="J1393" t="s">
        <v>136</v>
      </c>
    </row>
    <row r="1394" spans="1:13">
      <c r="A1394" t="s">
        <v>3</v>
      </c>
      <c r="B1394" t="s">
        <v>362</v>
      </c>
    </row>
    <row r="1395" spans="1:13">
      <c r="A1395" t="s">
        <v>77</v>
      </c>
      <c r="B1395" s="2" t="s">
        <v>92</v>
      </c>
      <c r="C1395" t="s">
        <v>4</v>
      </c>
    </row>
    <row r="1396" spans="1:13">
      <c r="A1396" t="s">
        <v>0</v>
      </c>
      <c r="B1396" s="2">
        <f>SUM(TimeEntries316326[Time delta in h])</f>
        <v>31.265833333425689</v>
      </c>
      <c r="C1396" t="s">
        <v>4</v>
      </c>
    </row>
    <row r="1397" spans="1:13">
      <c r="A1397" t="s">
        <v>13</v>
      </c>
      <c r="B1397" s="5" t="s">
        <v>92</v>
      </c>
    </row>
    <row r="1398" spans="1:13">
      <c r="A1398" t="s">
        <v>14</v>
      </c>
      <c r="B1398" s="5" t="s">
        <v>18</v>
      </c>
    </row>
    <row r="1399" spans="1:13">
      <c r="A1399" t="s">
        <v>1</v>
      </c>
      <c r="B1399" t="s">
        <v>91</v>
      </c>
    </row>
    <row r="1400" spans="1:13">
      <c r="A1400" t="s">
        <v>15</v>
      </c>
      <c r="B1400" s="5" t="s">
        <v>92</v>
      </c>
    </row>
    <row r="1401" spans="1:13">
      <c r="A1401" t="s">
        <v>2</v>
      </c>
    </row>
    <row r="1402" spans="1:13">
      <c r="A1402" t="s">
        <v>46</v>
      </c>
      <c r="B1402" t="s">
        <v>360</v>
      </c>
    </row>
    <row r="1403" spans="1:13">
      <c r="A1403" t="s">
        <v>5</v>
      </c>
      <c r="B1403" s="2" t="e">
        <f>B1395/SUM(TimeEntries316326[Time delta in h])</f>
        <v>#VALUE!</v>
      </c>
      <c r="C1403" t="s">
        <v>6</v>
      </c>
    </row>
    <row r="1404" spans="1:13">
      <c r="A1404" t="s">
        <v>93</v>
      </c>
    </row>
    <row r="1405" spans="1:13">
      <c r="A1405" t="s">
        <v>94</v>
      </c>
    </row>
    <row r="1406" spans="1:13">
      <c r="A1406" t="s">
        <v>129</v>
      </c>
      <c r="B1406" s="1">
        <v>44161.952372685184</v>
      </c>
    </row>
    <row r="1408" spans="1:13">
      <c r="A1408" t="s">
        <v>10</v>
      </c>
      <c r="B1408" t="s">
        <v>7</v>
      </c>
      <c r="C1408" t="s">
        <v>8</v>
      </c>
      <c r="D1408" t="s">
        <v>9</v>
      </c>
      <c r="E1408" t="s">
        <v>134</v>
      </c>
      <c r="F1408" t="s">
        <v>84</v>
      </c>
      <c r="G1408" t="s">
        <v>85</v>
      </c>
      <c r="I1408" t="s">
        <v>70</v>
      </c>
      <c r="J1408" s="15" t="s">
        <v>68</v>
      </c>
      <c r="K1408" s="2" t="s">
        <v>69</v>
      </c>
      <c r="L1408" t="s">
        <v>71</v>
      </c>
      <c r="M1408" t="s">
        <v>72</v>
      </c>
    </row>
    <row r="1409" spans="1:13">
      <c r="A1409" t="s">
        <v>126</v>
      </c>
      <c r="B1409" s="1">
        <v>44160.649641203701</v>
      </c>
      <c r="C1409" s="1">
        <v>44161.952384259261</v>
      </c>
      <c r="D1409" s="2">
        <f>MAX((TimeEntries316326[[#This Row],[End time]]-TimeEntries316326[[#This Row],[Start time]])*24,0)</f>
        <v>31.265833333425689</v>
      </c>
      <c r="F1409" s="54" t="s">
        <v>184</v>
      </c>
      <c r="G1409" s="22" t="s">
        <v>185</v>
      </c>
      <c r="J1409" s="15"/>
      <c r="K1409" s="2"/>
      <c r="L1409" s="2">
        <f>SUM(TimeEntries316326[Time delta in h])</f>
        <v>31.265833333425689</v>
      </c>
      <c r="M1409" s="16">
        <f>Tabelle7367317327[[#This Row],[EBS self time]]/Tabelle7367317327[[#This Row],[Total time]]</f>
        <v>0</v>
      </c>
    </row>
    <row r="1410" spans="1:13">
      <c r="B1410" s="1"/>
      <c r="C1410" s="1"/>
      <c r="D1410" s="2"/>
    </row>
    <row r="1412" spans="1:13">
      <c r="A1412" t="s">
        <v>189</v>
      </c>
      <c r="B1412" t="s">
        <v>363</v>
      </c>
      <c r="C1412" t="s">
        <v>190</v>
      </c>
      <c r="D1412">
        <v>23</v>
      </c>
      <c r="E1412" t="s">
        <v>191</v>
      </c>
      <c r="F1412">
        <v>13</v>
      </c>
    </row>
    <row r="1413" spans="1:13">
      <c r="A1413" s="4" t="s">
        <v>24</v>
      </c>
      <c r="I1413" t="s">
        <v>135</v>
      </c>
      <c r="J1413" t="s">
        <v>136</v>
      </c>
    </row>
    <row r="1414" spans="1:13">
      <c r="A1414" t="s">
        <v>3</v>
      </c>
      <c r="B1414" t="s">
        <v>365</v>
      </c>
    </row>
    <row r="1415" spans="1:13">
      <c r="A1415" t="s">
        <v>77</v>
      </c>
      <c r="B1415" s="2">
        <v>7.3171110153198242</v>
      </c>
      <c r="C1415" t="s">
        <v>4</v>
      </c>
    </row>
    <row r="1416" spans="1:13">
      <c r="A1416" t="s">
        <v>0</v>
      </c>
      <c r="B1416" s="2">
        <f>SUM(TimeEntries318328[Time delta in h])</f>
        <v>23.961944444454275</v>
      </c>
      <c r="C1416" t="s">
        <v>4</v>
      </c>
    </row>
    <row r="1417" spans="1:13">
      <c r="A1417" t="s">
        <v>13</v>
      </c>
      <c r="B1417" s="5" t="s">
        <v>92</v>
      </c>
    </row>
    <row r="1418" spans="1:13">
      <c r="A1418" t="s">
        <v>14</v>
      </c>
      <c r="B1418" s="5" t="s">
        <v>18</v>
      </c>
    </row>
    <row r="1419" spans="1:13">
      <c r="A1419" t="s">
        <v>1</v>
      </c>
      <c r="B1419" t="s">
        <v>91</v>
      </c>
    </row>
    <row r="1420" spans="1:13">
      <c r="A1420" t="s">
        <v>15</v>
      </c>
      <c r="B1420" s="5" t="s">
        <v>92</v>
      </c>
    </row>
    <row r="1421" spans="1:13">
      <c r="A1421" t="s">
        <v>2</v>
      </c>
    </row>
    <row r="1422" spans="1:13">
      <c r="A1422" t="s">
        <v>46</v>
      </c>
      <c r="B1422" t="s">
        <v>363</v>
      </c>
    </row>
    <row r="1423" spans="1:13">
      <c r="A1423" t="s">
        <v>5</v>
      </c>
      <c r="B1423" s="2">
        <f>B1415/SUM(TimeEntries318328[Time delta in h])</f>
        <v>0.30536382522217592</v>
      </c>
      <c r="C1423" t="s">
        <v>6</v>
      </c>
    </row>
    <row r="1424" spans="1:13">
      <c r="A1424" t="s">
        <v>93</v>
      </c>
    </row>
    <row r="1425" spans="1:13">
      <c r="A1425" t="s">
        <v>94</v>
      </c>
    </row>
    <row r="1426" spans="1:13">
      <c r="A1426" t="s">
        <v>129</v>
      </c>
      <c r="B1426" s="1">
        <v>44161.952384259261</v>
      </c>
    </row>
    <row r="1428" spans="1:13">
      <c r="A1428" t="s">
        <v>10</v>
      </c>
      <c r="B1428" t="s">
        <v>7</v>
      </c>
      <c r="C1428" t="s">
        <v>8</v>
      </c>
      <c r="D1428" t="s">
        <v>9</v>
      </c>
      <c r="E1428" t="s">
        <v>134</v>
      </c>
      <c r="F1428" t="s">
        <v>84</v>
      </c>
      <c r="G1428" t="s">
        <v>85</v>
      </c>
      <c r="I1428" t="s">
        <v>70</v>
      </c>
      <c r="J1428" s="15" t="s">
        <v>68</v>
      </c>
      <c r="K1428" s="2" t="s">
        <v>69</v>
      </c>
      <c r="L1428" t="s">
        <v>71</v>
      </c>
      <c r="M1428" t="s">
        <v>72</v>
      </c>
    </row>
    <row r="1429" spans="1:13">
      <c r="A1429" t="s">
        <v>126</v>
      </c>
      <c r="B1429" s="1">
        <v>44160.953969907408</v>
      </c>
      <c r="C1429" s="1">
        <v>44161.952384259261</v>
      </c>
      <c r="D1429" s="2">
        <f>MAX((TimeEntries318328[[#This Row],[End time]]-TimeEntries318328[[#This Row],[Start time]])*24,0)</f>
        <v>23.961944444454275</v>
      </c>
      <c r="F1429" s="54" t="s">
        <v>184</v>
      </c>
      <c r="G1429" s="22" t="s">
        <v>185</v>
      </c>
      <c r="I1429" t="s">
        <v>126</v>
      </c>
      <c r="J1429" s="15">
        <v>0.05</v>
      </c>
      <c r="K1429" s="2">
        <v>3.6585555076599121</v>
      </c>
      <c r="L1429" s="2">
        <f>SUM(TimeEntries318328[Time delta in h])</f>
        <v>23.961944444454275</v>
      </c>
      <c r="M1429" s="16">
        <f>Tabelle7367319329[[#This Row],[EBS self time]]/Tabelle7367319329[[#This Row],[Total time]]</f>
        <v>0.15268191261108796</v>
      </c>
    </row>
    <row r="1430" spans="1:13">
      <c r="B1430" s="1"/>
      <c r="C1430" s="1"/>
      <c r="D1430" s="2"/>
      <c r="I1430" t="s">
        <v>127</v>
      </c>
      <c r="J1430" s="15">
        <v>0.2</v>
      </c>
      <c r="K1430" s="2">
        <v>3.6585555076599121</v>
      </c>
      <c r="L1430" s="2">
        <f>SUM(TimeEntries318328[Time delta in h])</f>
        <v>23.961944444454275</v>
      </c>
      <c r="M1430" s="16">
        <f>Tabelle7367319329[[#This Row],[EBS self time]]/Tabelle7367319329[[#This Row],[Total time]]</f>
        <v>0.15268191261108796</v>
      </c>
    </row>
    <row r="1431" spans="1:13">
      <c r="I1431" t="s">
        <v>169</v>
      </c>
      <c r="J1431" s="15">
        <v>0.35</v>
      </c>
      <c r="K1431" s="2">
        <v>3.6585555076599121</v>
      </c>
      <c r="L1431" s="2">
        <f>SUM(TimeEntries318328[Time delta in h])</f>
        <v>23.961944444454275</v>
      </c>
      <c r="M1431" s="16">
        <f>Tabelle7367319329[[#This Row],[EBS self time]]/Tabelle7367319329[[#This Row],[Total time]]</f>
        <v>0.15268191261108796</v>
      </c>
    </row>
    <row r="1432" spans="1:13">
      <c r="I1432" t="s">
        <v>172</v>
      </c>
      <c r="J1432" s="15">
        <v>0.5</v>
      </c>
      <c r="K1432" s="2">
        <v>3.6585555076599121</v>
      </c>
      <c r="L1432" s="2">
        <f>SUM(TimeEntries318328[Time delta in h])</f>
        <v>23.961944444454275</v>
      </c>
      <c r="M1432" s="16">
        <f>Tabelle7367319329[[#This Row],[EBS self time]]/Tabelle7367319329[[#This Row],[Total time]]</f>
        <v>0.15268191261108796</v>
      </c>
    </row>
    <row r="1433" spans="1:13">
      <c r="I1433" t="s">
        <v>187</v>
      </c>
      <c r="J1433" s="15">
        <v>0.65</v>
      </c>
      <c r="K1433" s="2">
        <v>8.1303596911504314</v>
      </c>
      <c r="L1433" s="2">
        <f>SUM(TimeEntries318328[Time delta in h])</f>
        <v>23.961944444454275</v>
      </c>
      <c r="M1433" s="16">
        <f>Tabelle7367319329[[#This Row],[EBS self time]]/Tabelle7367319329[[#This Row],[Total time]]</f>
        <v>0.33930300230840044</v>
      </c>
    </row>
    <row r="1434" spans="1:13">
      <c r="I1434" t="s">
        <v>192</v>
      </c>
      <c r="J1434" s="15">
        <v>0.8</v>
      </c>
      <c r="K1434" s="2">
        <v>14.180447704108186</v>
      </c>
      <c r="L1434" s="2">
        <f>SUM(TimeEntries318328[Time delta in h])</f>
        <v>23.961944444454275</v>
      </c>
      <c r="M1434" s="16">
        <f>Tabelle7367319329[[#This Row],[EBS self time]]/Tabelle7367319329[[#This Row],[Total time]]</f>
        <v>0.59179035895770526</v>
      </c>
    </row>
    <row r="1435" spans="1:13">
      <c r="I1435" t="s">
        <v>193</v>
      </c>
      <c r="J1435" s="15">
        <v>0.95</v>
      </c>
      <c r="K1435" s="2">
        <v>14.180447704108186</v>
      </c>
      <c r="L1435" s="2">
        <f>SUM(TimeEntries318328[Time delta in h])</f>
        <v>23.961944444454275</v>
      </c>
      <c r="M1435" s="16">
        <f>Tabelle7367319329[[#This Row],[EBS self time]]/Tabelle7367319329[[#This Row],[Total time]]</f>
        <v>0.59179035895770526</v>
      </c>
    </row>
    <row r="1437" spans="1:13">
      <c r="A1437" t="s">
        <v>189</v>
      </c>
      <c r="B1437" t="s">
        <v>366</v>
      </c>
      <c r="C1437" t="s">
        <v>190</v>
      </c>
      <c r="D1437">
        <v>23</v>
      </c>
      <c r="E1437" t="s">
        <v>191</v>
      </c>
      <c r="F1437">
        <v>13</v>
      </c>
    </row>
    <row r="1438" spans="1:13">
      <c r="A1438" s="4" t="s">
        <v>24</v>
      </c>
      <c r="I1438" t="s">
        <v>135</v>
      </c>
      <c r="J1438" t="s">
        <v>136</v>
      </c>
    </row>
    <row r="1439" spans="1:13">
      <c r="A1439" t="s">
        <v>3</v>
      </c>
      <c r="B1439" t="s">
        <v>368</v>
      </c>
    </row>
    <row r="1440" spans="1:13">
      <c r="A1440" t="s">
        <v>77</v>
      </c>
      <c r="B1440" s="2">
        <v>0.35842132568359375</v>
      </c>
      <c r="C1440" t="s">
        <v>4</v>
      </c>
    </row>
    <row r="1441" spans="1:13">
      <c r="A1441" t="s">
        <v>0</v>
      </c>
      <c r="B1441" s="2">
        <f>SUM(TimeEntries320330[Time delta in h])</f>
        <v>12.098888888780493</v>
      </c>
      <c r="C1441" t="s">
        <v>4</v>
      </c>
    </row>
    <row r="1442" spans="1:13">
      <c r="A1442" t="s">
        <v>13</v>
      </c>
      <c r="B1442" s="5" t="s">
        <v>92</v>
      </c>
    </row>
    <row r="1443" spans="1:13">
      <c r="A1443" t="s">
        <v>14</v>
      </c>
      <c r="B1443" s="5" t="s">
        <v>18</v>
      </c>
    </row>
    <row r="1444" spans="1:13">
      <c r="A1444" t="s">
        <v>1</v>
      </c>
      <c r="B1444" t="s">
        <v>91</v>
      </c>
    </row>
    <row r="1445" spans="1:13">
      <c r="A1445" t="s">
        <v>15</v>
      </c>
      <c r="B1445" s="5" t="s">
        <v>92</v>
      </c>
    </row>
    <row r="1446" spans="1:13">
      <c r="A1446" t="s">
        <v>2</v>
      </c>
    </row>
    <row r="1447" spans="1:13">
      <c r="A1447" t="s">
        <v>46</v>
      </c>
      <c r="B1447" t="s">
        <v>366</v>
      </c>
    </row>
    <row r="1448" spans="1:13">
      <c r="A1448" t="s">
        <v>5</v>
      </c>
      <c r="B1448" s="2">
        <f>B1440/SUM(TimeEntries320330[Time delta in h])</f>
        <v>2.9624317487200333E-2</v>
      </c>
      <c r="C1448" t="s">
        <v>6</v>
      </c>
    </row>
    <row r="1449" spans="1:13">
      <c r="A1449" t="s">
        <v>93</v>
      </c>
    </row>
    <row r="1450" spans="1:13">
      <c r="A1450" t="s">
        <v>94</v>
      </c>
    </row>
    <row r="1451" spans="1:13">
      <c r="A1451" t="s">
        <v>129</v>
      </c>
      <c r="B1451" s="1">
        <v>44161.95239583333</v>
      </c>
    </row>
    <row r="1453" spans="1:13">
      <c r="A1453" t="s">
        <v>10</v>
      </c>
      <c r="B1453" t="s">
        <v>7</v>
      </c>
      <c r="C1453" t="s">
        <v>8</v>
      </c>
      <c r="D1453" t="s">
        <v>9</v>
      </c>
      <c r="E1453" t="s">
        <v>134</v>
      </c>
      <c r="F1453" t="s">
        <v>84</v>
      </c>
      <c r="G1453" t="s">
        <v>85</v>
      </c>
      <c r="I1453" t="s">
        <v>70</v>
      </c>
      <c r="J1453" s="15" t="s">
        <v>68</v>
      </c>
      <c r="K1453" s="2" t="s">
        <v>69</v>
      </c>
      <c r="L1453" t="s">
        <v>71</v>
      </c>
      <c r="M1453" t="s">
        <v>72</v>
      </c>
    </row>
    <row r="1454" spans="1:13">
      <c r="A1454" t="s">
        <v>126</v>
      </c>
      <c r="B1454" s="1">
        <v>44161.448275462964</v>
      </c>
      <c r="C1454" s="1">
        <v>44161.95239583333</v>
      </c>
      <c r="D1454" s="2">
        <f>MAX((TimeEntries320330[[#This Row],[End time]]-TimeEntries320330[[#This Row],[Start time]])*24,0)</f>
        <v>12.098888888780493</v>
      </c>
      <c r="F1454" s="54" t="s">
        <v>184</v>
      </c>
      <c r="G1454" s="22" t="s">
        <v>185</v>
      </c>
      <c r="I1454" t="s">
        <v>126</v>
      </c>
      <c r="J1454" s="15">
        <v>0.05</v>
      </c>
      <c r="K1454" s="2">
        <v>0.17921066284179688</v>
      </c>
      <c r="L1454" s="2">
        <f>SUM(TimeEntries320330[Time delta in h])</f>
        <v>12.098888888780493</v>
      </c>
      <c r="M1454" s="16">
        <f>Tabelle7367321331[[#This Row],[EBS self time]]/Tabelle7367321331[[#This Row],[Total time]]</f>
        <v>1.4812158743600166E-2</v>
      </c>
    </row>
    <row r="1455" spans="1:13">
      <c r="B1455" s="1"/>
      <c r="C1455" s="1"/>
      <c r="D1455" s="2"/>
      <c r="I1455" t="s">
        <v>127</v>
      </c>
      <c r="J1455" s="15">
        <v>0.2</v>
      </c>
      <c r="K1455" s="2">
        <v>0.17921066284179688</v>
      </c>
      <c r="L1455" s="2">
        <f>SUM(TimeEntries320330[Time delta in h])</f>
        <v>12.098888888780493</v>
      </c>
      <c r="M1455" s="16">
        <f>Tabelle7367321331[[#This Row],[EBS self time]]/Tabelle7367321331[[#This Row],[Total time]]</f>
        <v>1.4812158743600166E-2</v>
      </c>
    </row>
    <row r="1456" spans="1:13">
      <c r="I1456" t="s">
        <v>169</v>
      </c>
      <c r="J1456" s="15">
        <v>0.35</v>
      </c>
      <c r="K1456" s="2">
        <v>0.17921066284179688</v>
      </c>
      <c r="L1456" s="2">
        <f>SUM(TimeEntries320330[Time delta in h])</f>
        <v>12.098888888780493</v>
      </c>
      <c r="M1456" s="16">
        <f>Tabelle7367321331[[#This Row],[EBS self time]]/Tabelle7367321331[[#This Row],[Total time]]</f>
        <v>1.4812158743600166E-2</v>
      </c>
    </row>
    <row r="1457" spans="1:13">
      <c r="I1457" t="s">
        <v>172</v>
      </c>
      <c r="J1457" s="15">
        <v>0.5</v>
      </c>
      <c r="K1457" s="2">
        <v>0.17921066284179688</v>
      </c>
      <c r="L1457" s="2">
        <f>SUM(TimeEntries320330[Time delta in h])</f>
        <v>12.098888888780493</v>
      </c>
      <c r="M1457" s="16">
        <f>Tabelle7367321331[[#This Row],[EBS self time]]/Tabelle7367321331[[#This Row],[Total time]]</f>
        <v>1.4812158743600166E-2</v>
      </c>
    </row>
    <row r="1458" spans="1:13">
      <c r="I1458" t="s">
        <v>187</v>
      </c>
      <c r="J1458" s="15">
        <v>0.65</v>
      </c>
      <c r="K1458" s="2">
        <v>0.69461497225502666</v>
      </c>
      <c r="L1458" s="2">
        <f>SUM(TimeEntries320330[Time delta in h])</f>
        <v>12.098888888780493</v>
      </c>
      <c r="M1458" s="16">
        <f>Tabelle7367321331[[#This Row],[EBS self time]]/Tabelle7367321331[[#This Row],[Total time]]</f>
        <v>5.7411467998450254E-2</v>
      </c>
    </row>
    <row r="1459" spans="1:13">
      <c r="I1459" t="s">
        <v>192</v>
      </c>
      <c r="J1459" s="15">
        <v>0.8</v>
      </c>
      <c r="K1459" s="2">
        <v>0.69461497225502666</v>
      </c>
      <c r="L1459" s="2">
        <f>SUM(TimeEntries320330[Time delta in h])</f>
        <v>12.098888888780493</v>
      </c>
      <c r="M1459" s="16">
        <f>Tabelle7367321331[[#This Row],[EBS self time]]/Tabelle7367321331[[#This Row],[Total time]]</f>
        <v>5.7411467998450254E-2</v>
      </c>
    </row>
    <row r="1460" spans="1:13">
      <c r="I1460" t="s">
        <v>193</v>
      </c>
      <c r="J1460" s="15">
        <v>0.95</v>
      </c>
      <c r="K1460" s="2">
        <v>0.69461497225502666</v>
      </c>
      <c r="L1460" s="2">
        <f>SUM(TimeEntries320330[Time delta in h])</f>
        <v>12.098888888780493</v>
      </c>
      <c r="M1460" s="16">
        <f>Tabelle7367321331[[#This Row],[EBS self time]]/Tabelle7367321331[[#This Row],[Total time]]</f>
        <v>5.7411467998450254E-2</v>
      </c>
    </row>
    <row r="1462" spans="1:13">
      <c r="A1462" t="s">
        <v>189</v>
      </c>
      <c r="B1462" t="s">
        <v>369</v>
      </c>
      <c r="C1462" t="s">
        <v>190</v>
      </c>
      <c r="D1462">
        <v>23</v>
      </c>
      <c r="E1462" t="s">
        <v>191</v>
      </c>
      <c r="F1462">
        <v>13</v>
      </c>
    </row>
    <row r="1463" spans="1:13">
      <c r="A1463" s="4" t="s">
        <v>24</v>
      </c>
      <c r="I1463" t="s">
        <v>135</v>
      </c>
      <c r="J1463" t="s">
        <v>136</v>
      </c>
    </row>
    <row r="1464" spans="1:13">
      <c r="A1464" t="s">
        <v>3</v>
      </c>
      <c r="B1464" t="s">
        <v>371</v>
      </c>
    </row>
    <row r="1465" spans="1:13">
      <c r="A1465" t="s">
        <v>77</v>
      </c>
      <c r="B1465" s="2">
        <v>7.3200845718383789</v>
      </c>
      <c r="C1465" t="s">
        <v>4</v>
      </c>
    </row>
    <row r="1466" spans="1:13">
      <c r="A1466" t="s">
        <v>0</v>
      </c>
      <c r="B1466" s="2">
        <f>SUM(TimeEntries322332336346[Time delta in h])</f>
        <v>14.221388888836373</v>
      </c>
      <c r="C1466" t="s">
        <v>4</v>
      </c>
    </row>
    <row r="1467" spans="1:13">
      <c r="A1467" t="s">
        <v>13</v>
      </c>
      <c r="B1467" s="5" t="s">
        <v>92</v>
      </c>
    </row>
    <row r="1468" spans="1:13">
      <c r="A1468" t="s">
        <v>14</v>
      </c>
      <c r="B1468" s="5" t="s">
        <v>18</v>
      </c>
    </row>
    <row r="1469" spans="1:13">
      <c r="A1469" t="s">
        <v>1</v>
      </c>
      <c r="B1469" t="s">
        <v>131</v>
      </c>
    </row>
    <row r="1470" spans="1:13">
      <c r="A1470" t="s">
        <v>15</v>
      </c>
      <c r="B1470" s="5">
        <v>44161.952430555553</v>
      </c>
    </row>
    <row r="1471" spans="1:13">
      <c r="A1471" t="s">
        <v>2</v>
      </c>
    </row>
    <row r="1472" spans="1:13">
      <c r="A1472" t="s">
        <v>46</v>
      </c>
      <c r="B1472" t="s">
        <v>369</v>
      </c>
    </row>
    <row r="1473" spans="1:13">
      <c r="A1473" t="s">
        <v>5</v>
      </c>
      <c r="B1473" s="2">
        <f>B1465/SUM(TimeEntries322332336346[Time delta in h])</f>
        <v>0.51472360604557843</v>
      </c>
      <c r="C1473" t="s">
        <v>6</v>
      </c>
    </row>
    <row r="1474" spans="1:13">
      <c r="A1474" t="s">
        <v>93</v>
      </c>
    </row>
    <row r="1475" spans="1:13">
      <c r="A1475" t="s">
        <v>94</v>
      </c>
    </row>
    <row r="1476" spans="1:13">
      <c r="A1476" t="s">
        <v>129</v>
      </c>
      <c r="B1476" s="1">
        <v>44161.952407407407</v>
      </c>
    </row>
    <row r="1478" spans="1:13">
      <c r="A1478" t="s">
        <v>10</v>
      </c>
      <c r="B1478" t="s">
        <v>7</v>
      </c>
      <c r="C1478" t="s">
        <v>8</v>
      </c>
      <c r="D1478" t="s">
        <v>9</v>
      </c>
      <c r="E1478" t="s">
        <v>134</v>
      </c>
      <c r="F1478" t="s">
        <v>84</v>
      </c>
      <c r="G1478" t="s">
        <v>85</v>
      </c>
      <c r="I1478" t="s">
        <v>70</v>
      </c>
      <c r="J1478" s="15" t="s">
        <v>68</v>
      </c>
      <c r="K1478" s="2" t="s">
        <v>69</v>
      </c>
      <c r="L1478" t="s">
        <v>71</v>
      </c>
      <c r="M1478" t="s">
        <v>72</v>
      </c>
    </row>
    <row r="1479" spans="1:13">
      <c r="A1479" t="s">
        <v>126</v>
      </c>
      <c r="B1479" s="1">
        <v>44161.359872685185</v>
      </c>
      <c r="C1479" s="1">
        <v>44161.952430555553</v>
      </c>
      <c r="D1479" s="2">
        <f>MAX((TimeEntries322332336346[[#This Row],[End time]]-TimeEntries322332336346[[#This Row],[Start time]])*24,0)</f>
        <v>14.221388888836373</v>
      </c>
      <c r="F1479" s="54" t="s">
        <v>184</v>
      </c>
      <c r="G1479" s="22" t="s">
        <v>185</v>
      </c>
      <c r="I1479" t="s">
        <v>126</v>
      </c>
      <c r="J1479" s="15">
        <v>0.05</v>
      </c>
      <c r="K1479" s="2">
        <v>3.6600422859191895</v>
      </c>
      <c r="L1479" s="2">
        <f>SUM(TimeEntries322332336346[Time delta in h])</f>
        <v>14.221388888836373</v>
      </c>
      <c r="M1479" s="16">
        <f>Tabelle7367323333337347[[#This Row],[EBS self time]]/Tabelle7367323333337347[[#This Row],[Total time]]</f>
        <v>0.25736180302278922</v>
      </c>
    </row>
    <row r="1480" spans="1:13">
      <c r="B1480" s="1"/>
      <c r="C1480" s="1"/>
      <c r="D1480" s="2"/>
      <c r="I1480" t="s">
        <v>127</v>
      </c>
      <c r="J1480" s="15">
        <v>0.2</v>
      </c>
      <c r="K1480" s="2">
        <v>3.6600422859191895</v>
      </c>
      <c r="L1480" s="2">
        <f>SUM(TimeEntries322332336346[Time delta in h])</f>
        <v>14.221388888836373</v>
      </c>
      <c r="M1480" s="16">
        <f>Tabelle7367323333337347[[#This Row],[EBS self time]]/Tabelle7367323333337347[[#This Row],[Total time]]</f>
        <v>0.25736180302278922</v>
      </c>
    </row>
    <row r="1481" spans="1:13">
      <c r="I1481" t="s">
        <v>169</v>
      </c>
      <c r="J1481" s="15">
        <v>0.35</v>
      </c>
      <c r="K1481" s="2">
        <v>3.6600422859191895</v>
      </c>
      <c r="L1481" s="2">
        <f>SUM(TimeEntries322332336346[Time delta in h])</f>
        <v>14.221388888836373</v>
      </c>
      <c r="M1481" s="16">
        <f>Tabelle7367323333337347[[#This Row],[EBS self time]]/Tabelle7367323333337347[[#This Row],[Total time]]</f>
        <v>0.25736180302278922</v>
      </c>
    </row>
    <row r="1482" spans="1:13">
      <c r="I1482" t="s">
        <v>172</v>
      </c>
      <c r="J1482" s="15">
        <v>0.5</v>
      </c>
      <c r="K1482" s="2">
        <v>3.6600422859191895</v>
      </c>
      <c r="L1482" s="2">
        <f>SUM(TimeEntries322332336346[Time delta in h])</f>
        <v>14.221388888836373</v>
      </c>
      <c r="M1482" s="16">
        <f>Tabelle7367323333337347[[#This Row],[EBS self time]]/Tabelle7367323333337347[[#This Row],[Total time]]</f>
        <v>0.25736180302278922</v>
      </c>
    </row>
    <row r="1483" spans="1:13">
      <c r="I1483" t="s">
        <v>187</v>
      </c>
      <c r="J1483" s="15">
        <v>0.65</v>
      </c>
      <c r="K1483" s="2">
        <v>3.6600422859191895</v>
      </c>
      <c r="L1483" s="2">
        <f>SUM(TimeEntries322332336346[Time delta in h])</f>
        <v>14.221388888836373</v>
      </c>
      <c r="M1483" s="16">
        <f>Tabelle7367323333337347[[#This Row],[EBS self time]]/Tabelle7367323333337347[[#This Row],[Total time]]</f>
        <v>0.25736180302278922</v>
      </c>
    </row>
    <row r="1484" spans="1:13">
      <c r="I1484" t="s">
        <v>192</v>
      </c>
      <c r="J1484" s="15">
        <v>0.8</v>
      </c>
      <c r="K1484" s="2">
        <v>14.186210410539493</v>
      </c>
      <c r="L1484" s="2">
        <f>SUM(TimeEntries322332336346[Time delta in h])</f>
        <v>14.221388888836373</v>
      </c>
      <c r="M1484" s="16">
        <f>Tabelle7367323333337347[[#This Row],[EBS self time]]/Tabelle7367323333337347[[#This Row],[Total time]]</f>
        <v>0.99752636830538444</v>
      </c>
    </row>
    <row r="1485" spans="1:13">
      <c r="I1485" t="s">
        <v>193</v>
      </c>
      <c r="J1485" s="15">
        <v>0.95</v>
      </c>
      <c r="K1485" s="2">
        <v>14.186210410539493</v>
      </c>
      <c r="L1485" s="2">
        <f>SUM(TimeEntries322332336346[Time delta in h])</f>
        <v>14.221388888836373</v>
      </c>
      <c r="M1485" s="16">
        <f>Tabelle7367323333337347[[#This Row],[EBS self time]]/Tabelle7367323333337347[[#This Row],[Total time]]</f>
        <v>0.99752636830538444</v>
      </c>
    </row>
    <row r="1487" spans="1:13">
      <c r="A1487" t="s">
        <v>189</v>
      </c>
      <c r="B1487" t="s">
        <v>372</v>
      </c>
      <c r="C1487" t="s">
        <v>190</v>
      </c>
      <c r="D1487">
        <v>23</v>
      </c>
      <c r="E1487" t="s">
        <v>191</v>
      </c>
      <c r="F1487">
        <v>13</v>
      </c>
    </row>
    <row r="1488" spans="1:13">
      <c r="A1488" s="4" t="s">
        <v>24</v>
      </c>
      <c r="I1488" t="s">
        <v>135</v>
      </c>
      <c r="J1488" t="s">
        <v>136</v>
      </c>
    </row>
    <row r="1489" spans="1:13">
      <c r="A1489" t="s">
        <v>3</v>
      </c>
      <c r="B1489" t="s">
        <v>374</v>
      </c>
    </row>
    <row r="1490" spans="1:13">
      <c r="A1490" t="s">
        <v>77</v>
      </c>
      <c r="B1490" s="2">
        <v>6.8846721649169922</v>
      </c>
      <c r="C1490" t="s">
        <v>4</v>
      </c>
    </row>
    <row r="1491" spans="1:13">
      <c r="A1491" t="s">
        <v>0</v>
      </c>
      <c r="B1491" s="2">
        <f>SUM(TimeEntries338348[Time delta in h])</f>
        <v>4.6405555555829778</v>
      </c>
      <c r="C1491" t="s">
        <v>4</v>
      </c>
    </row>
    <row r="1492" spans="1:13">
      <c r="A1492" t="s">
        <v>13</v>
      </c>
      <c r="B1492" s="5" t="s">
        <v>92</v>
      </c>
    </row>
    <row r="1493" spans="1:13">
      <c r="A1493" t="s">
        <v>14</v>
      </c>
      <c r="B1493" s="5" t="s">
        <v>18</v>
      </c>
    </row>
    <row r="1494" spans="1:13">
      <c r="A1494" t="s">
        <v>1</v>
      </c>
      <c r="B1494" t="s">
        <v>91</v>
      </c>
    </row>
    <row r="1495" spans="1:13">
      <c r="A1495" t="s">
        <v>15</v>
      </c>
      <c r="B1495" s="5" t="s">
        <v>92</v>
      </c>
    </row>
    <row r="1496" spans="1:13">
      <c r="A1496" t="s">
        <v>2</v>
      </c>
    </row>
    <row r="1497" spans="1:13">
      <c r="A1497" t="s">
        <v>46</v>
      </c>
      <c r="B1497" t="s">
        <v>372</v>
      </c>
    </row>
    <row r="1498" spans="1:13">
      <c r="A1498" t="s">
        <v>5</v>
      </c>
      <c r="B1498" s="2">
        <f>B1490/SUM(TimeEntries338348[Time delta in h])</f>
        <v>1.4835879201217952</v>
      </c>
      <c r="C1498" t="s">
        <v>6</v>
      </c>
    </row>
    <row r="1499" spans="1:13">
      <c r="A1499" t="s">
        <v>93</v>
      </c>
    </row>
    <row r="1500" spans="1:13">
      <c r="A1500" t="s">
        <v>94</v>
      </c>
    </row>
    <row r="1501" spans="1:13">
      <c r="A1501" t="s">
        <v>129</v>
      </c>
      <c r="B1501" s="1">
        <v>44161.95244212963</v>
      </c>
    </row>
    <row r="1503" spans="1:13">
      <c r="A1503" t="s">
        <v>10</v>
      </c>
      <c r="B1503" t="s">
        <v>7</v>
      </c>
      <c r="C1503" t="s">
        <v>8</v>
      </c>
      <c r="D1503" t="s">
        <v>9</v>
      </c>
      <c r="E1503" t="s">
        <v>134</v>
      </c>
      <c r="F1503" t="s">
        <v>84</v>
      </c>
      <c r="G1503" t="s">
        <v>85</v>
      </c>
      <c r="I1503" t="s">
        <v>70</v>
      </c>
      <c r="J1503" s="15" t="s">
        <v>68</v>
      </c>
      <c r="K1503" s="2" t="s">
        <v>69</v>
      </c>
      <c r="L1503" t="s">
        <v>71</v>
      </c>
      <c r="M1503" t="s">
        <v>72</v>
      </c>
    </row>
    <row r="1504" spans="1:13">
      <c r="A1504" t="s">
        <v>126</v>
      </c>
      <c r="B1504" s="1">
        <v>44161.759085648147</v>
      </c>
      <c r="C1504" s="1">
        <v>44161.95244212963</v>
      </c>
      <c r="D1504" s="2">
        <f>MAX((TimeEntries338348[[#This Row],[End time]]-TimeEntries338348[[#This Row],[Start time]])*24,0)</f>
        <v>4.6405555555829778</v>
      </c>
      <c r="F1504" s="54" t="s">
        <v>184</v>
      </c>
      <c r="G1504" s="22" t="s">
        <v>185</v>
      </c>
      <c r="I1504" t="s">
        <v>126</v>
      </c>
      <c r="J1504" s="15">
        <v>0.05</v>
      </c>
      <c r="K1504" s="2">
        <v>3.4423360824584961</v>
      </c>
      <c r="L1504" s="2">
        <f>SUM(TimeEntries338348[Time delta in h])</f>
        <v>4.6405555555829778</v>
      </c>
      <c r="M1504" s="16">
        <f>Tabelle7367339349[[#This Row],[EBS self time]]/Tabelle7367339349[[#This Row],[Total time]]</f>
        <v>0.74179396006089759</v>
      </c>
    </row>
    <row r="1505" spans="1:13">
      <c r="B1505" s="1"/>
      <c r="C1505" s="1"/>
      <c r="D1505" s="2"/>
      <c r="I1505" t="s">
        <v>127</v>
      </c>
      <c r="J1505" s="15">
        <v>0.2</v>
      </c>
      <c r="K1505" s="2">
        <v>3.4423360824584961</v>
      </c>
      <c r="L1505" s="2">
        <f>SUM(TimeEntries338348[Time delta in h])</f>
        <v>4.6405555555829778</v>
      </c>
      <c r="M1505" s="16">
        <f>Tabelle7367339349[[#This Row],[EBS self time]]/Tabelle7367339349[[#This Row],[Total time]]</f>
        <v>0.74179396006089759</v>
      </c>
    </row>
    <row r="1506" spans="1:13">
      <c r="I1506" t="s">
        <v>169</v>
      </c>
      <c r="J1506" s="15">
        <v>0.35</v>
      </c>
      <c r="K1506" s="2">
        <v>3.4423360824584961</v>
      </c>
      <c r="L1506" s="2">
        <f>SUM(TimeEntries338348[Time delta in h])</f>
        <v>4.6405555555829778</v>
      </c>
      <c r="M1506" s="16">
        <f>Tabelle7367339349[[#This Row],[EBS self time]]/Tabelle7367339349[[#This Row],[Total time]]</f>
        <v>0.74179396006089759</v>
      </c>
    </row>
    <row r="1507" spans="1:13">
      <c r="I1507" t="s">
        <v>172</v>
      </c>
      <c r="J1507" s="15">
        <v>0.5</v>
      </c>
      <c r="K1507" s="2">
        <v>3.4423360824584961</v>
      </c>
      <c r="L1507" s="2">
        <f>SUM(TimeEntries338348[Time delta in h])</f>
        <v>4.6405555555829778</v>
      </c>
      <c r="M1507" s="16">
        <f>Tabelle7367339349[[#This Row],[EBS self time]]/Tabelle7367339349[[#This Row],[Total time]]</f>
        <v>0.74179396006089759</v>
      </c>
    </row>
    <row r="1508" spans="1:13">
      <c r="I1508" t="s">
        <v>187</v>
      </c>
      <c r="J1508" s="15">
        <v>0.65</v>
      </c>
      <c r="K1508" s="2">
        <v>3.4423360824584961</v>
      </c>
      <c r="L1508" s="2">
        <f>SUM(TimeEntries338348[Time delta in h])</f>
        <v>4.6405555555829778</v>
      </c>
      <c r="M1508" s="16">
        <f>Tabelle7367339349[[#This Row],[EBS self time]]/Tabelle7367339349[[#This Row],[Total time]]</f>
        <v>0.74179396006089759</v>
      </c>
    </row>
    <row r="1509" spans="1:13">
      <c r="I1509" t="s">
        <v>192</v>
      </c>
      <c r="J1509" s="15">
        <v>0.8</v>
      </c>
      <c r="K1509" s="2">
        <v>13.342387916505798</v>
      </c>
      <c r="L1509" s="2">
        <f>SUM(TimeEntries338348[Time delta in h])</f>
        <v>4.6405555555829778</v>
      </c>
      <c r="M1509" s="16">
        <f>Tabelle7367339349[[#This Row],[EBS self time]]/Tabelle7367339349[[#This Row],[Total time]]</f>
        <v>2.8751703878329362</v>
      </c>
    </row>
    <row r="1510" spans="1:13">
      <c r="I1510" t="s">
        <v>193</v>
      </c>
      <c r="J1510" s="15">
        <v>0.95</v>
      </c>
      <c r="K1510" s="2">
        <v>13.342387916505798</v>
      </c>
      <c r="L1510" s="2">
        <f>SUM(TimeEntries338348[Time delta in h])</f>
        <v>4.6405555555829778</v>
      </c>
      <c r="M1510" s="16">
        <f>Tabelle7367339349[[#This Row],[EBS self time]]/Tabelle7367339349[[#This Row],[Total time]]</f>
        <v>2.8751703878329362</v>
      </c>
    </row>
    <row r="1512" spans="1:13">
      <c r="A1512" t="s">
        <v>189</v>
      </c>
      <c r="B1512" t="s">
        <v>375</v>
      </c>
      <c r="C1512" t="s">
        <v>190</v>
      </c>
      <c r="D1512">
        <v>23</v>
      </c>
      <c r="E1512" t="s">
        <v>191</v>
      </c>
      <c r="F1512">
        <v>13</v>
      </c>
    </row>
    <row r="1513" spans="1:13">
      <c r="A1513" s="4" t="s">
        <v>24</v>
      </c>
      <c r="I1513" t="s">
        <v>135</v>
      </c>
      <c r="J1513" t="s">
        <v>136</v>
      </c>
    </row>
    <row r="1514" spans="1:13">
      <c r="A1514" t="s">
        <v>3</v>
      </c>
      <c r="B1514" t="s">
        <v>377</v>
      </c>
    </row>
    <row r="1515" spans="1:13">
      <c r="A1515" t="s">
        <v>77</v>
      </c>
      <c r="B1515" s="2">
        <v>2.2450704574584961</v>
      </c>
      <c r="C1515" t="s">
        <v>4</v>
      </c>
    </row>
    <row r="1516" spans="1:13">
      <c r="A1516" t="s">
        <v>0</v>
      </c>
      <c r="B1516" s="2">
        <f>SUM(TimeEntries340350[Time delta in h])</f>
        <v>17.730277777940501</v>
      </c>
      <c r="C1516" t="s">
        <v>4</v>
      </c>
    </row>
    <row r="1517" spans="1:13">
      <c r="A1517" t="s">
        <v>13</v>
      </c>
      <c r="B1517" s="5" t="s">
        <v>92</v>
      </c>
    </row>
    <row r="1518" spans="1:13">
      <c r="A1518" t="s">
        <v>14</v>
      </c>
      <c r="B1518" s="5" t="s">
        <v>18</v>
      </c>
    </row>
    <row r="1519" spans="1:13">
      <c r="A1519" t="s">
        <v>1</v>
      </c>
      <c r="B1519" t="s">
        <v>91</v>
      </c>
    </row>
    <row r="1520" spans="1:13">
      <c r="A1520" t="s">
        <v>15</v>
      </c>
      <c r="B1520" s="5" t="s">
        <v>92</v>
      </c>
    </row>
    <row r="1521" spans="1:13">
      <c r="A1521" t="s">
        <v>2</v>
      </c>
    </row>
    <row r="1522" spans="1:13">
      <c r="A1522" t="s">
        <v>46</v>
      </c>
      <c r="B1522" t="s">
        <v>375</v>
      </c>
    </row>
    <row r="1523" spans="1:13">
      <c r="A1523" t="s">
        <v>5</v>
      </c>
      <c r="B1523" s="2">
        <f>B1515/SUM(TimeEntries340350[Time delta in h])</f>
        <v>0.12662353548976812</v>
      </c>
      <c r="C1523" t="s">
        <v>6</v>
      </c>
    </row>
    <row r="1524" spans="1:13">
      <c r="A1524" t="s">
        <v>93</v>
      </c>
    </row>
    <row r="1525" spans="1:13">
      <c r="A1525" t="s">
        <v>94</v>
      </c>
    </row>
    <row r="1526" spans="1:13">
      <c r="A1526" t="s">
        <v>129</v>
      </c>
      <c r="B1526" s="1">
        <v>44161.95244212963</v>
      </c>
    </row>
    <row r="1528" spans="1:13">
      <c r="A1528" t="s">
        <v>10</v>
      </c>
      <c r="B1528" t="s">
        <v>7</v>
      </c>
      <c r="C1528" t="s">
        <v>8</v>
      </c>
      <c r="D1528" t="s">
        <v>9</v>
      </c>
      <c r="E1528" t="s">
        <v>134</v>
      </c>
      <c r="F1528" t="s">
        <v>84</v>
      </c>
      <c r="G1528" t="s">
        <v>85</v>
      </c>
      <c r="I1528" t="s">
        <v>70</v>
      </c>
      <c r="J1528" s="15" t="s">
        <v>68</v>
      </c>
      <c r="K1528" s="2" t="s">
        <v>69</v>
      </c>
      <c r="L1528" t="s">
        <v>71</v>
      </c>
      <c r="M1528" t="s">
        <v>72</v>
      </c>
    </row>
    <row r="1529" spans="1:13">
      <c r="A1529" t="s">
        <v>126</v>
      </c>
      <c r="B1529" s="1">
        <v>44161.213692129626</v>
      </c>
      <c r="C1529" s="1">
        <v>44161.952453703707</v>
      </c>
      <c r="D1529" s="2">
        <f>MAX((TimeEntries340350[[#This Row],[End time]]-TimeEntries340350[[#This Row],[Start time]])*24,0)</f>
        <v>17.730277777940501</v>
      </c>
      <c r="F1529" s="54" t="s">
        <v>184</v>
      </c>
      <c r="G1529" s="22" t="s">
        <v>185</v>
      </c>
      <c r="I1529" t="s">
        <v>126</v>
      </c>
      <c r="J1529" s="15">
        <v>0.05</v>
      </c>
      <c r="K1529" s="2">
        <v>1.122535228729248</v>
      </c>
      <c r="L1529" s="2">
        <f>SUM(TimeEntries340350[Time delta in h])</f>
        <v>17.730277777940501</v>
      </c>
      <c r="M1529" s="16">
        <f>Tabelle7367341351[[#This Row],[EBS self time]]/Tabelle7367341351[[#This Row],[Total time]]</f>
        <v>6.3311767744884062E-2</v>
      </c>
    </row>
    <row r="1530" spans="1:13">
      <c r="B1530" s="1"/>
      <c r="C1530" s="1"/>
      <c r="D1530" s="2"/>
      <c r="I1530" t="s">
        <v>127</v>
      </c>
      <c r="J1530" s="15">
        <v>0.2</v>
      </c>
      <c r="K1530" s="2">
        <v>1.122535228729248</v>
      </c>
      <c r="L1530" s="2">
        <f>SUM(TimeEntries340350[Time delta in h])</f>
        <v>17.730277777940501</v>
      </c>
      <c r="M1530" s="16">
        <f>Tabelle7367341351[[#This Row],[EBS self time]]/Tabelle7367341351[[#This Row],[Total time]]</f>
        <v>6.3311767744884062E-2</v>
      </c>
    </row>
    <row r="1531" spans="1:13">
      <c r="I1531" t="s">
        <v>169</v>
      </c>
      <c r="J1531" s="15">
        <v>0.35</v>
      </c>
      <c r="K1531" s="2">
        <v>1.122535228729248</v>
      </c>
      <c r="L1531" s="2">
        <f>SUM(TimeEntries340350[Time delta in h])</f>
        <v>17.730277777940501</v>
      </c>
      <c r="M1531" s="16">
        <f>Tabelle7367341351[[#This Row],[EBS self time]]/Tabelle7367341351[[#This Row],[Total time]]</f>
        <v>6.3311767744884062E-2</v>
      </c>
    </row>
    <row r="1532" spans="1:13">
      <c r="I1532" t="s">
        <v>172</v>
      </c>
      <c r="J1532" s="15">
        <v>0.5</v>
      </c>
      <c r="K1532" s="2">
        <v>1.122535228729248</v>
      </c>
      <c r="L1532" s="2">
        <f>SUM(TimeEntries340350[Time delta in h])</f>
        <v>17.730277777940501</v>
      </c>
      <c r="M1532" s="16">
        <f>Tabelle7367341351[[#This Row],[EBS self time]]/Tabelle7367341351[[#This Row],[Total time]]</f>
        <v>6.3311767744884062E-2</v>
      </c>
    </row>
    <row r="1533" spans="1:13">
      <c r="I1533" t="s">
        <v>187</v>
      </c>
      <c r="J1533" s="15">
        <v>0.65</v>
      </c>
      <c r="K1533" s="2">
        <v>2.4945952457050953</v>
      </c>
      <c r="L1533" s="2">
        <f>SUM(TimeEntries340350[Time delta in h])</f>
        <v>17.730277777940501</v>
      </c>
      <c r="M1533" s="16">
        <f>Tabelle7367341351[[#This Row],[EBS self time]]/Tabelle7367341351[[#This Row],[Total time]]</f>
        <v>0.14069690711833058</v>
      </c>
    </row>
    <row r="1534" spans="1:13">
      <c r="I1534" t="s">
        <v>192</v>
      </c>
      <c r="J1534" s="15">
        <v>0.8</v>
      </c>
      <c r="K1534" s="2">
        <v>4.3509117392606509</v>
      </c>
      <c r="L1534" s="2">
        <f>SUM(TimeEntries340350[Time delta in h])</f>
        <v>17.730277777940501</v>
      </c>
      <c r="M1534" s="16">
        <f>Tabelle7367341351[[#This Row],[EBS self time]]/Tabelle7367341351[[#This Row],[Total time]]</f>
        <v>0.24539444862358162</v>
      </c>
    </row>
    <row r="1535" spans="1:13">
      <c r="I1535" t="s">
        <v>193</v>
      </c>
      <c r="J1535" s="15">
        <v>0.95</v>
      </c>
      <c r="K1535" s="2">
        <v>4.3509117392606509</v>
      </c>
      <c r="L1535" s="2">
        <f>SUM(TimeEntries340350[Time delta in h])</f>
        <v>17.730277777940501</v>
      </c>
      <c r="M1535" s="16">
        <f>Tabelle7367341351[[#This Row],[EBS self time]]/Tabelle7367341351[[#This Row],[Total time]]</f>
        <v>0.24539444862358162</v>
      </c>
    </row>
    <row r="1537" spans="1:10">
      <c r="A1537" t="s">
        <v>189</v>
      </c>
      <c r="B1537" t="s">
        <v>378</v>
      </c>
      <c r="C1537" t="s">
        <v>190</v>
      </c>
      <c r="D1537">
        <v>23</v>
      </c>
      <c r="E1537" t="s">
        <v>191</v>
      </c>
      <c r="F1537">
        <v>13</v>
      </c>
    </row>
    <row r="1538" spans="1:10">
      <c r="A1538" s="4" t="s">
        <v>24</v>
      </c>
      <c r="I1538" t="s">
        <v>135</v>
      </c>
      <c r="J1538" t="s">
        <v>136</v>
      </c>
    </row>
    <row r="1539" spans="1:10">
      <c r="A1539" t="s">
        <v>3</v>
      </c>
      <c r="B1539" t="s">
        <v>380</v>
      </c>
    </row>
    <row r="1540" spans="1:10">
      <c r="A1540" t="s">
        <v>77</v>
      </c>
      <c r="B1540" s="2">
        <v>1.4755744934082031</v>
      </c>
      <c r="C1540" t="s">
        <v>4</v>
      </c>
    </row>
    <row r="1541" spans="1:10">
      <c r="A1541" t="s">
        <v>0</v>
      </c>
      <c r="B1541" s="2">
        <f>SUM(TimeEntries342352[Time delta in h])</f>
        <v>1.7005555556388572</v>
      </c>
      <c r="C1541" t="s">
        <v>4</v>
      </c>
    </row>
    <row r="1542" spans="1:10">
      <c r="A1542" t="s">
        <v>13</v>
      </c>
      <c r="B1542" s="5" t="s">
        <v>92</v>
      </c>
    </row>
    <row r="1543" spans="1:10">
      <c r="A1543" t="s">
        <v>14</v>
      </c>
      <c r="B1543" s="5" t="s">
        <v>18</v>
      </c>
    </row>
    <row r="1544" spans="1:10">
      <c r="A1544" t="s">
        <v>1</v>
      </c>
      <c r="B1544" t="s">
        <v>91</v>
      </c>
    </row>
    <row r="1545" spans="1:10">
      <c r="A1545" t="s">
        <v>15</v>
      </c>
      <c r="B1545" s="5" t="s">
        <v>92</v>
      </c>
    </row>
    <row r="1546" spans="1:10">
      <c r="A1546" t="s">
        <v>2</v>
      </c>
    </row>
    <row r="1547" spans="1:10">
      <c r="A1547" t="s">
        <v>46</v>
      </c>
      <c r="B1547" t="s">
        <v>378</v>
      </c>
    </row>
    <row r="1548" spans="1:10">
      <c r="A1548" t="s">
        <v>5</v>
      </c>
      <c r="B1548" s="2">
        <f>B1540/SUM(TimeEntries342352[Time delta in h])</f>
        <v>0.86770143351998041</v>
      </c>
      <c r="C1548" t="s">
        <v>6</v>
      </c>
    </row>
    <row r="1549" spans="1:10">
      <c r="A1549" t="s">
        <v>93</v>
      </c>
    </row>
    <row r="1550" spans="1:10">
      <c r="A1550" t="s">
        <v>94</v>
      </c>
    </row>
    <row r="1551" spans="1:10">
      <c r="A1551" t="s">
        <v>129</v>
      </c>
      <c r="B1551" s="1">
        <v>44161.952453703707</v>
      </c>
    </row>
    <row r="1553" spans="1:13">
      <c r="A1553" t="s">
        <v>10</v>
      </c>
      <c r="B1553" t="s">
        <v>7</v>
      </c>
      <c r="C1553" t="s">
        <v>8</v>
      </c>
      <c r="D1553" t="s">
        <v>9</v>
      </c>
      <c r="E1553" t="s">
        <v>134</v>
      </c>
      <c r="F1553" t="s">
        <v>84</v>
      </c>
      <c r="G1553" t="s">
        <v>85</v>
      </c>
      <c r="I1553" t="s">
        <v>70</v>
      </c>
      <c r="J1553" s="15" t="s">
        <v>68</v>
      </c>
      <c r="K1553" s="2" t="s">
        <v>69</v>
      </c>
      <c r="L1553" t="s">
        <v>71</v>
      </c>
      <c r="M1553" t="s">
        <v>72</v>
      </c>
    </row>
    <row r="1554" spans="1:13">
      <c r="A1554" t="s">
        <v>126</v>
      </c>
      <c r="B1554" s="1">
        <v>44161.881597222222</v>
      </c>
      <c r="C1554" s="1">
        <v>44161.952453703707</v>
      </c>
      <c r="D1554" s="2">
        <f>MAX((TimeEntries342352[[#This Row],[End time]]-TimeEntries342352[[#This Row],[Start time]])*24,0)</f>
        <v>1.7005555556388572</v>
      </c>
      <c r="F1554" s="54" t="s">
        <v>184</v>
      </c>
      <c r="G1554" s="22" t="s">
        <v>185</v>
      </c>
      <c r="I1554" t="s">
        <v>126</v>
      </c>
      <c r="J1554" s="15">
        <v>0.05</v>
      </c>
      <c r="K1554" s="2">
        <v>0.73778724670410156</v>
      </c>
      <c r="L1554" s="2">
        <f>SUM(TimeEntries342352[Time delta in h])</f>
        <v>1.7005555556388572</v>
      </c>
      <c r="M1554" s="16">
        <f>Tabelle7367343353[[#This Row],[EBS self time]]/Tabelle7367343353[[#This Row],[Total time]]</f>
        <v>0.43385071675999021</v>
      </c>
    </row>
    <row r="1555" spans="1:13">
      <c r="B1555" s="1"/>
      <c r="C1555" s="1"/>
      <c r="D1555" s="2"/>
      <c r="I1555" t="s">
        <v>127</v>
      </c>
      <c r="J1555" s="15">
        <v>0.2</v>
      </c>
      <c r="K1555" s="2">
        <v>0.73778724670410156</v>
      </c>
      <c r="L1555" s="2">
        <f>SUM(TimeEntries342352[Time delta in h])</f>
        <v>1.7005555556388572</v>
      </c>
      <c r="M1555" s="16">
        <f>Tabelle7367343353[[#This Row],[EBS self time]]/Tabelle7367343353[[#This Row],[Total time]]</f>
        <v>0.43385071675999021</v>
      </c>
    </row>
    <row r="1556" spans="1:13">
      <c r="I1556" t="s">
        <v>169</v>
      </c>
      <c r="J1556" s="15">
        <v>0.35</v>
      </c>
      <c r="K1556" s="2">
        <v>0.73778724670410156</v>
      </c>
      <c r="L1556" s="2">
        <f>SUM(TimeEntries342352[Time delta in h])</f>
        <v>1.7005555556388572</v>
      </c>
      <c r="M1556" s="16">
        <f>Tabelle7367343353[[#This Row],[EBS self time]]/Tabelle7367343353[[#This Row],[Total time]]</f>
        <v>0.43385071675999021</v>
      </c>
    </row>
    <row r="1557" spans="1:13">
      <c r="I1557" t="s">
        <v>172</v>
      </c>
      <c r="J1557" s="15">
        <v>0.5</v>
      </c>
      <c r="K1557" s="2">
        <v>0.73778724670410156</v>
      </c>
      <c r="L1557" s="2">
        <f>SUM(TimeEntries342352[Time delta in h])</f>
        <v>1.7005555556388572</v>
      </c>
      <c r="M1557" s="16">
        <f>Tabelle7367343353[[#This Row],[EBS self time]]/Tabelle7367343353[[#This Row],[Total time]]</f>
        <v>0.43385071675999021</v>
      </c>
    </row>
    <row r="1558" spans="1:13">
      <c r="I1558" t="s">
        <v>187</v>
      </c>
      <c r="J1558" s="15">
        <v>0.65</v>
      </c>
      <c r="K1558" s="2">
        <v>2.8596404911011688</v>
      </c>
      <c r="L1558" s="2">
        <f>SUM(TimeEntries342352[Time delta in h])</f>
        <v>1.7005555556388572</v>
      </c>
      <c r="M1558" s="16">
        <f>Tabelle7367343353[[#This Row],[EBS self time]]/Tabelle7367343353[[#This Row],[Total time]]</f>
        <v>1.6815919254263185</v>
      </c>
    </row>
    <row r="1559" spans="1:13">
      <c r="I1559" t="s">
        <v>192</v>
      </c>
      <c r="J1559" s="15">
        <v>0.8</v>
      </c>
      <c r="K1559" s="2">
        <v>2.8596404911011688</v>
      </c>
      <c r="L1559" s="2">
        <f>SUM(TimeEntries342352[Time delta in h])</f>
        <v>1.7005555556388572</v>
      </c>
      <c r="M1559" s="16">
        <f>Tabelle7367343353[[#This Row],[EBS self time]]/Tabelle7367343353[[#This Row],[Total time]]</f>
        <v>1.6815919254263185</v>
      </c>
    </row>
    <row r="1560" spans="1:13">
      <c r="I1560" t="s">
        <v>193</v>
      </c>
      <c r="J1560" s="15">
        <v>0.95</v>
      </c>
      <c r="K1560" s="2">
        <v>2.8596404911011688</v>
      </c>
      <c r="L1560" s="2">
        <f>SUM(TimeEntries342352[Time delta in h])</f>
        <v>1.7005555556388572</v>
      </c>
      <c r="M1560" s="16">
        <f>Tabelle7367343353[[#This Row],[EBS self time]]/Tabelle7367343353[[#This Row],[Total time]]</f>
        <v>1.6815919254263185</v>
      </c>
    </row>
    <row r="1562" spans="1:13">
      <c r="A1562" t="s">
        <v>189</v>
      </c>
      <c r="B1562" t="s">
        <v>381</v>
      </c>
      <c r="C1562" t="s">
        <v>190</v>
      </c>
      <c r="D1562">
        <v>23</v>
      </c>
      <c r="E1562" t="s">
        <v>191</v>
      </c>
      <c r="F1562">
        <v>13</v>
      </c>
    </row>
    <row r="1563" spans="1:13">
      <c r="A1563" s="4" t="s">
        <v>24</v>
      </c>
      <c r="I1563" t="s">
        <v>135</v>
      </c>
      <c r="J1563" t="s">
        <v>136</v>
      </c>
    </row>
    <row r="1564" spans="1:13">
      <c r="A1564" t="s">
        <v>3</v>
      </c>
      <c r="B1564" t="s">
        <v>383</v>
      </c>
    </row>
    <row r="1565" spans="1:13">
      <c r="A1565" t="s">
        <v>77</v>
      </c>
      <c r="B1565" s="2">
        <v>7.3404817581176758</v>
      </c>
      <c r="C1565" t="s">
        <v>4</v>
      </c>
    </row>
    <row r="1566" spans="1:13">
      <c r="A1566" t="s">
        <v>0</v>
      </c>
      <c r="B1566" s="2">
        <f>SUM(TimeEntries344354358368[Time delta in h])</f>
        <v>31.747500000055879</v>
      </c>
      <c r="C1566" t="s">
        <v>4</v>
      </c>
    </row>
    <row r="1567" spans="1:13">
      <c r="A1567" t="s">
        <v>13</v>
      </c>
      <c r="B1567" s="5" t="s">
        <v>92</v>
      </c>
    </row>
    <row r="1568" spans="1:13">
      <c r="A1568" t="s">
        <v>14</v>
      </c>
      <c r="B1568" s="5" t="s">
        <v>18</v>
      </c>
    </row>
    <row r="1569" spans="1:13">
      <c r="A1569" t="s">
        <v>1</v>
      </c>
      <c r="B1569" t="s">
        <v>91</v>
      </c>
    </row>
    <row r="1570" spans="1:13">
      <c r="A1570" t="s">
        <v>15</v>
      </c>
      <c r="B1570" s="5" t="s">
        <v>92</v>
      </c>
    </row>
    <row r="1571" spans="1:13">
      <c r="A1571" t="s">
        <v>2</v>
      </c>
    </row>
    <row r="1572" spans="1:13">
      <c r="A1572" t="s">
        <v>46</v>
      </c>
      <c r="B1572" t="s">
        <v>381</v>
      </c>
    </row>
    <row r="1573" spans="1:13">
      <c r="A1573" t="s">
        <v>5</v>
      </c>
      <c r="B1573" s="2">
        <f>B1565/SUM(TimeEntries344354358368[Time delta in h])</f>
        <v>0.2312144817105207</v>
      </c>
      <c r="C1573" t="s">
        <v>6</v>
      </c>
    </row>
    <row r="1574" spans="1:13">
      <c r="A1574" t="s">
        <v>93</v>
      </c>
    </row>
    <row r="1575" spans="1:13">
      <c r="A1575" t="s">
        <v>94</v>
      </c>
    </row>
    <row r="1576" spans="1:13">
      <c r="A1576" t="s">
        <v>129</v>
      </c>
      <c r="B1576" s="1">
        <v>44161.952465277776</v>
      </c>
    </row>
    <row r="1578" spans="1:13">
      <c r="A1578" t="s">
        <v>10</v>
      </c>
      <c r="B1578" t="s">
        <v>7</v>
      </c>
      <c r="C1578" t="s">
        <v>8</v>
      </c>
      <c r="D1578" t="s">
        <v>9</v>
      </c>
      <c r="E1578" t="s">
        <v>134</v>
      </c>
      <c r="F1578" t="s">
        <v>84</v>
      </c>
      <c r="G1578" t="s">
        <v>85</v>
      </c>
      <c r="I1578" t="s">
        <v>70</v>
      </c>
      <c r="J1578" s="15" t="s">
        <v>68</v>
      </c>
      <c r="K1578" s="2" t="s">
        <v>69</v>
      </c>
      <c r="L1578" t="s">
        <v>71</v>
      </c>
      <c r="M1578" t="s">
        <v>72</v>
      </c>
    </row>
    <row r="1579" spans="1:13">
      <c r="A1579" t="s">
        <v>126</v>
      </c>
      <c r="B1579" s="1">
        <v>44160.629687499997</v>
      </c>
      <c r="C1579" s="1">
        <v>44161.952499999999</v>
      </c>
      <c r="D1579" s="2">
        <f>MAX((TimeEntries344354358368[[#This Row],[End time]]-TimeEntries344354358368[[#This Row],[Start time]])*24,0)</f>
        <v>31.747500000055879</v>
      </c>
      <c r="F1579" s="54" t="s">
        <v>184</v>
      </c>
      <c r="G1579" s="22" t="s">
        <v>185</v>
      </c>
      <c r="I1579" t="s">
        <v>126</v>
      </c>
      <c r="J1579" s="15">
        <v>0.05</v>
      </c>
      <c r="K1579" s="2">
        <v>3.6702408790588379</v>
      </c>
      <c r="L1579" s="2">
        <f>SUM(TimeEntries344354358368[Time delta in h])</f>
        <v>31.747500000055879</v>
      </c>
      <c r="M1579" s="16">
        <f>Tabelle7367345355359369[[#This Row],[EBS self time]]/Tabelle7367345355359369[[#This Row],[Total time]]</f>
        <v>0.11560724085526035</v>
      </c>
    </row>
    <row r="1580" spans="1:13">
      <c r="B1580" s="1"/>
      <c r="C1580" s="1"/>
      <c r="D1580" s="2"/>
      <c r="I1580" t="s">
        <v>127</v>
      </c>
      <c r="J1580" s="15">
        <v>0.2</v>
      </c>
      <c r="K1580" s="2">
        <v>3.6702408790588379</v>
      </c>
      <c r="L1580" s="2">
        <f>SUM(TimeEntries344354358368[Time delta in h])</f>
        <v>31.747500000055879</v>
      </c>
      <c r="M1580" s="16">
        <f>Tabelle7367345355359369[[#This Row],[EBS self time]]/Tabelle7367345355359369[[#This Row],[Total time]]</f>
        <v>0.11560724085526035</v>
      </c>
    </row>
    <row r="1581" spans="1:13">
      <c r="I1581" t="s">
        <v>169</v>
      </c>
      <c r="J1581" s="15">
        <v>0.35</v>
      </c>
      <c r="K1581" s="2">
        <v>3.6702408790588379</v>
      </c>
      <c r="L1581" s="2">
        <f>SUM(TimeEntries344354358368[Time delta in h])</f>
        <v>31.747500000055879</v>
      </c>
      <c r="M1581" s="16">
        <f>Tabelle7367345355359369[[#This Row],[EBS self time]]/Tabelle7367345355359369[[#This Row],[Total time]]</f>
        <v>0.11560724085526035</v>
      </c>
    </row>
    <row r="1582" spans="1:13">
      <c r="I1582" t="s">
        <v>172</v>
      </c>
      <c r="J1582" s="15">
        <v>0.5</v>
      </c>
      <c r="K1582" s="2">
        <v>3.6702408790588379</v>
      </c>
      <c r="L1582" s="2">
        <f>SUM(TimeEntries344354358368[Time delta in h])</f>
        <v>31.747500000055879</v>
      </c>
      <c r="M1582" s="16">
        <f>Tabelle7367345355359369[[#This Row],[EBS self time]]/Tabelle7367345355359369[[#This Row],[Total time]]</f>
        <v>0.11560724085526035</v>
      </c>
    </row>
    <row r="1583" spans="1:13">
      <c r="I1583" t="s">
        <v>187</v>
      </c>
      <c r="J1583" s="15">
        <v>0.65</v>
      </c>
      <c r="K1583" s="2">
        <v>3.6702408790588379</v>
      </c>
      <c r="L1583" s="2">
        <f>SUM(TimeEntries344354358368[Time delta in h])</f>
        <v>31.747500000055879</v>
      </c>
      <c r="M1583" s="16">
        <f>Tabelle7367345355359369[[#This Row],[EBS self time]]/Tabelle7367345355359369[[#This Row],[Total time]]</f>
        <v>0.11560724085526035</v>
      </c>
    </row>
    <row r="1584" spans="1:13">
      <c r="I1584" t="s">
        <v>192</v>
      </c>
      <c r="J1584" s="15">
        <v>0.8</v>
      </c>
      <c r="K1584" s="2">
        <v>14.225739841313326</v>
      </c>
      <c r="L1584" s="2">
        <f>SUM(TimeEntries344354358368[Time delta in h])</f>
        <v>31.747500000055879</v>
      </c>
      <c r="M1584" s="16">
        <f>Tabelle7367345355359369[[#This Row],[EBS self time]]/Tabelle7367345355359369[[#This Row],[Total time]]</f>
        <v>0.44809008083434243</v>
      </c>
    </row>
    <row r="1585" spans="1:13">
      <c r="I1585" t="s">
        <v>193</v>
      </c>
      <c r="J1585" s="15">
        <v>0.95</v>
      </c>
      <c r="K1585" s="2">
        <v>14.225739841313326</v>
      </c>
      <c r="L1585" s="2">
        <f>SUM(TimeEntries344354358368[Time delta in h])</f>
        <v>31.747500000055879</v>
      </c>
      <c r="M1585" s="16">
        <f>Tabelle7367345355359369[[#This Row],[EBS self time]]/Tabelle7367345355359369[[#This Row],[Total time]]</f>
        <v>0.44809008083434243</v>
      </c>
    </row>
    <row r="1587" spans="1:13">
      <c r="A1587" t="s">
        <v>189</v>
      </c>
      <c r="B1587" t="s">
        <v>384</v>
      </c>
      <c r="C1587" t="s">
        <v>190</v>
      </c>
      <c r="D1587">
        <v>23</v>
      </c>
      <c r="E1587" t="s">
        <v>191</v>
      </c>
      <c r="F1587">
        <v>13</v>
      </c>
    </row>
    <row r="1588" spans="1:13">
      <c r="A1588" s="4" t="s">
        <v>24</v>
      </c>
      <c r="I1588" t="s">
        <v>135</v>
      </c>
      <c r="J1588" t="s">
        <v>136</v>
      </c>
    </row>
    <row r="1589" spans="1:13">
      <c r="A1589" t="s">
        <v>3</v>
      </c>
      <c r="B1589" t="s">
        <v>386</v>
      </c>
    </row>
    <row r="1590" spans="1:13">
      <c r="A1590" t="s">
        <v>77</v>
      </c>
      <c r="B1590" s="2">
        <v>1.2252445220947266</v>
      </c>
      <c r="C1590" t="s">
        <v>4</v>
      </c>
    </row>
    <row r="1591" spans="1:13">
      <c r="A1591" t="s">
        <v>0</v>
      </c>
      <c r="B1591" s="2">
        <f>SUM(TimeEntries360370[Time delta in h])</f>
        <v>25.464444444514811</v>
      </c>
      <c r="C1591" t="s">
        <v>4</v>
      </c>
    </row>
    <row r="1592" spans="1:13">
      <c r="A1592" t="s">
        <v>13</v>
      </c>
      <c r="B1592" s="5" t="s">
        <v>92</v>
      </c>
    </row>
    <row r="1593" spans="1:13">
      <c r="A1593" t="s">
        <v>14</v>
      </c>
      <c r="B1593" s="5" t="s">
        <v>18</v>
      </c>
    </row>
    <row r="1594" spans="1:13">
      <c r="A1594" t="s">
        <v>1</v>
      </c>
      <c r="B1594" t="s">
        <v>131</v>
      </c>
    </row>
    <row r="1595" spans="1:13">
      <c r="A1595" t="s">
        <v>15</v>
      </c>
      <c r="B1595" s="5">
        <v>44161.952511574076</v>
      </c>
    </row>
    <row r="1596" spans="1:13">
      <c r="A1596" t="s">
        <v>2</v>
      </c>
    </row>
    <row r="1597" spans="1:13">
      <c r="A1597" t="s">
        <v>46</v>
      </c>
      <c r="B1597" t="s">
        <v>384</v>
      </c>
    </row>
    <row r="1598" spans="1:13">
      <c r="A1598" t="s">
        <v>5</v>
      </c>
      <c r="B1598" s="2">
        <f>B1590/SUM(TimeEntries360370[Time delta in h])</f>
        <v>4.811589448827152E-2</v>
      </c>
      <c r="C1598" t="s">
        <v>6</v>
      </c>
    </row>
    <row r="1599" spans="1:13">
      <c r="A1599" t="s">
        <v>93</v>
      </c>
    </row>
    <row r="1600" spans="1:13">
      <c r="A1600" t="s">
        <v>94</v>
      </c>
    </row>
    <row r="1601" spans="1:13">
      <c r="A1601" t="s">
        <v>129</v>
      </c>
      <c r="B1601" s="1">
        <v>44161.952511574076</v>
      </c>
    </row>
    <row r="1603" spans="1:13">
      <c r="A1603" t="s">
        <v>10</v>
      </c>
      <c r="B1603" t="s">
        <v>7</v>
      </c>
      <c r="C1603" t="s">
        <v>8</v>
      </c>
      <c r="D1603" t="s">
        <v>9</v>
      </c>
      <c r="E1603" t="s">
        <v>134</v>
      </c>
      <c r="F1603" t="s">
        <v>84</v>
      </c>
      <c r="G1603" t="s">
        <v>85</v>
      </c>
      <c r="I1603" t="s">
        <v>70</v>
      </c>
      <c r="J1603" s="15" t="s">
        <v>68</v>
      </c>
      <c r="K1603" s="2" t="s">
        <v>69</v>
      </c>
      <c r="L1603" t="s">
        <v>71</v>
      </c>
      <c r="M1603" t="s">
        <v>72</v>
      </c>
    </row>
    <row r="1604" spans="1:13">
      <c r="A1604" t="s">
        <v>126</v>
      </c>
      <c r="B1604" s="1">
        <v>44160.891493055555</v>
      </c>
      <c r="C1604" s="1">
        <v>44161.952511574076</v>
      </c>
      <c r="D1604" s="2">
        <f>MAX((TimeEntries360370[[#This Row],[End time]]-TimeEntries360370[[#This Row],[Start time]])*24,0)</f>
        <v>25.464444444514811</v>
      </c>
      <c r="F1604" s="54" t="s">
        <v>184</v>
      </c>
      <c r="G1604" s="22" t="s">
        <v>185</v>
      </c>
      <c r="I1604" t="s">
        <v>126</v>
      </c>
      <c r="J1604" s="15">
        <v>0.05</v>
      </c>
      <c r="K1604" s="2">
        <v>0.61262226104736328</v>
      </c>
      <c r="L1604" s="2">
        <f>SUM(TimeEntries360370[Time delta in h])</f>
        <v>25.464444444514811</v>
      </c>
      <c r="M1604" s="16">
        <f>Tabelle7367361371[[#This Row],[EBS self time]]/Tabelle7367361371[[#This Row],[Total time]]</f>
        <v>2.405794724413576E-2</v>
      </c>
    </row>
    <row r="1605" spans="1:13">
      <c r="B1605" s="1"/>
      <c r="C1605" s="1"/>
      <c r="D1605" s="2"/>
      <c r="I1605" t="s">
        <v>127</v>
      </c>
      <c r="J1605" s="15">
        <v>0.2</v>
      </c>
      <c r="K1605" s="2">
        <v>0.61262226104736328</v>
      </c>
      <c r="L1605" s="2">
        <f>SUM(TimeEntries360370[Time delta in h])</f>
        <v>25.464444444514811</v>
      </c>
      <c r="M1605" s="16">
        <f>Tabelle7367361371[[#This Row],[EBS self time]]/Tabelle7367361371[[#This Row],[Total time]]</f>
        <v>2.405794724413576E-2</v>
      </c>
    </row>
    <row r="1606" spans="1:13">
      <c r="I1606" t="s">
        <v>169</v>
      </c>
      <c r="J1606" s="15">
        <v>0.35</v>
      </c>
      <c r="K1606" s="2">
        <v>0.61262226104736328</v>
      </c>
      <c r="L1606" s="2">
        <f>SUM(TimeEntries360370[Time delta in h])</f>
        <v>25.464444444514811</v>
      </c>
      <c r="M1606" s="16">
        <f>Tabelle7367361371[[#This Row],[EBS self time]]/Tabelle7367361371[[#This Row],[Total time]]</f>
        <v>2.405794724413576E-2</v>
      </c>
    </row>
    <row r="1607" spans="1:13">
      <c r="I1607" t="s">
        <v>172</v>
      </c>
      <c r="J1607" s="15">
        <v>0.5</v>
      </c>
      <c r="K1607" s="2">
        <v>0.61262226104736328</v>
      </c>
      <c r="L1607" s="2">
        <f>SUM(TimeEntries360370[Time delta in h])</f>
        <v>25.464444444514811</v>
      </c>
      <c r="M1607" s="16">
        <f>Tabelle7367361371[[#This Row],[EBS self time]]/Tabelle7367361371[[#This Row],[Total time]]</f>
        <v>2.405794724413576E-2</v>
      </c>
    </row>
    <row r="1608" spans="1:13">
      <c r="I1608" t="s">
        <v>187</v>
      </c>
      <c r="J1608" s="15">
        <v>0.65</v>
      </c>
      <c r="K1608" s="2">
        <v>2.374504887780478</v>
      </c>
      <c r="L1608" s="2">
        <f>SUM(TimeEntries360370[Time delta in h])</f>
        <v>25.464444444514811</v>
      </c>
      <c r="M1608" s="16">
        <f>Tabelle7367361371[[#This Row],[EBS self time]]/Tabelle7367361371[[#This Row],[Total time]]</f>
        <v>9.3247857535409928E-2</v>
      </c>
    </row>
    <row r="1609" spans="1:13">
      <c r="I1609" t="s">
        <v>192</v>
      </c>
      <c r="J1609" s="15">
        <v>0.8</v>
      </c>
      <c r="K1609" s="2">
        <v>2.374504887780478</v>
      </c>
      <c r="L1609" s="2">
        <f>SUM(TimeEntries360370[Time delta in h])</f>
        <v>25.464444444514811</v>
      </c>
      <c r="M1609" s="16">
        <f>Tabelle7367361371[[#This Row],[EBS self time]]/Tabelle7367361371[[#This Row],[Total time]]</f>
        <v>9.3247857535409928E-2</v>
      </c>
    </row>
    <row r="1610" spans="1:13">
      <c r="I1610" t="s">
        <v>193</v>
      </c>
      <c r="J1610" s="15">
        <v>0.95</v>
      </c>
      <c r="K1610" s="2">
        <v>2.374504887780478</v>
      </c>
      <c r="L1610" s="2">
        <f>SUM(TimeEntries360370[Time delta in h])</f>
        <v>25.464444444514811</v>
      </c>
      <c r="M1610" s="16">
        <f>Tabelle7367361371[[#This Row],[EBS self time]]/Tabelle7367361371[[#This Row],[Total time]]</f>
        <v>9.3247857535409928E-2</v>
      </c>
    </row>
    <row r="1612" spans="1:13">
      <c r="A1612" t="s">
        <v>189</v>
      </c>
      <c r="B1612" t="s">
        <v>387</v>
      </c>
      <c r="C1612" t="s">
        <v>190</v>
      </c>
      <c r="D1612">
        <v>23</v>
      </c>
      <c r="E1612" t="s">
        <v>191</v>
      </c>
      <c r="F1612">
        <v>13</v>
      </c>
    </row>
    <row r="1613" spans="1:13">
      <c r="A1613" s="4" t="s">
        <v>24</v>
      </c>
      <c r="I1613" t="s">
        <v>135</v>
      </c>
      <c r="J1613" t="s">
        <v>136</v>
      </c>
    </row>
    <row r="1614" spans="1:13">
      <c r="A1614" t="s">
        <v>3</v>
      </c>
      <c r="B1614" t="s">
        <v>389</v>
      </c>
    </row>
    <row r="1615" spans="1:13">
      <c r="A1615" t="s">
        <v>77</v>
      </c>
      <c r="B1615" s="2">
        <v>13.216303825378418</v>
      </c>
      <c r="C1615" t="s">
        <v>4</v>
      </c>
    </row>
    <row r="1616" spans="1:13">
      <c r="A1616" t="s">
        <v>0</v>
      </c>
      <c r="B1616" s="2">
        <f>SUM(TimeEntries362372[Time delta in h])</f>
        <v>21.863611111126374</v>
      </c>
      <c r="C1616" t="s">
        <v>4</v>
      </c>
    </row>
    <row r="1617" spans="1:13">
      <c r="A1617" t="s">
        <v>13</v>
      </c>
      <c r="B1617" s="5" t="s">
        <v>92</v>
      </c>
    </row>
    <row r="1618" spans="1:13">
      <c r="A1618" t="s">
        <v>14</v>
      </c>
      <c r="B1618" s="5" t="s">
        <v>18</v>
      </c>
    </row>
    <row r="1619" spans="1:13">
      <c r="A1619" t="s">
        <v>1</v>
      </c>
      <c r="B1619" t="s">
        <v>91</v>
      </c>
    </row>
    <row r="1620" spans="1:13">
      <c r="A1620" t="s">
        <v>15</v>
      </c>
      <c r="B1620" s="5" t="s">
        <v>92</v>
      </c>
    </row>
    <row r="1621" spans="1:13">
      <c r="A1621" t="s">
        <v>2</v>
      </c>
    </row>
    <row r="1622" spans="1:13">
      <c r="A1622" t="s">
        <v>46</v>
      </c>
      <c r="B1622" t="s">
        <v>387</v>
      </c>
    </row>
    <row r="1623" spans="1:13">
      <c r="A1623" t="s">
        <v>5</v>
      </c>
      <c r="B1623" s="2">
        <f>B1615/SUM(TimeEntries362372[Time delta in h])</f>
        <v>0.60448860703768426</v>
      </c>
      <c r="C1623" t="s">
        <v>6</v>
      </c>
    </row>
    <row r="1624" spans="1:13">
      <c r="A1624" t="s">
        <v>93</v>
      </c>
    </row>
    <row r="1625" spans="1:13">
      <c r="A1625" t="s">
        <v>94</v>
      </c>
    </row>
    <row r="1626" spans="1:13">
      <c r="A1626" t="s">
        <v>129</v>
      </c>
      <c r="B1626" s="1">
        <v>44161.952511574076</v>
      </c>
    </row>
    <row r="1628" spans="1:13">
      <c r="A1628" t="s">
        <v>10</v>
      </c>
      <c r="B1628" t="s">
        <v>7</v>
      </c>
      <c r="C1628" t="s">
        <v>8</v>
      </c>
      <c r="D1628" t="s">
        <v>9</v>
      </c>
      <c r="E1628" t="s">
        <v>134</v>
      </c>
      <c r="F1628" t="s">
        <v>84</v>
      </c>
      <c r="G1628" t="s">
        <v>85</v>
      </c>
      <c r="I1628" t="s">
        <v>70</v>
      </c>
      <c r="J1628" s="15" t="s">
        <v>68</v>
      </c>
      <c r="K1628" s="2" t="s">
        <v>69</v>
      </c>
      <c r="L1628" t="s">
        <v>71</v>
      </c>
      <c r="M1628" t="s">
        <v>72</v>
      </c>
    </row>
    <row r="1629" spans="1:13">
      <c r="A1629" t="s">
        <v>126</v>
      </c>
      <c r="B1629" s="1">
        <v>44161.041527777779</v>
      </c>
      <c r="C1629" s="1">
        <v>44161.952511574076</v>
      </c>
      <c r="D1629" s="2">
        <f>MAX((TimeEntries362372[[#This Row],[End time]]-TimeEntries362372[[#This Row],[Start time]])*24,0)</f>
        <v>21.863611111126374</v>
      </c>
      <c r="F1629" s="54" t="s">
        <v>184</v>
      </c>
      <c r="G1629" s="22" t="s">
        <v>185</v>
      </c>
      <c r="I1629" t="s">
        <v>126</v>
      </c>
      <c r="J1629" s="15">
        <v>0.05</v>
      </c>
      <c r="K1629" s="2">
        <v>6.608151912689209</v>
      </c>
      <c r="L1629" s="2">
        <f>SUM(TimeEntries362372[Time delta in h])</f>
        <v>21.863611111126374</v>
      </c>
      <c r="M1629" s="16">
        <f>Tabelle7367363373[[#This Row],[EBS self time]]/Tabelle7367363373[[#This Row],[Total time]]</f>
        <v>0.30224430351884213</v>
      </c>
    </row>
    <row r="1630" spans="1:13">
      <c r="B1630" s="1"/>
      <c r="C1630" s="1"/>
      <c r="D1630" s="2"/>
      <c r="I1630" t="s">
        <v>127</v>
      </c>
      <c r="J1630" s="15">
        <v>0.2</v>
      </c>
      <c r="K1630" s="2">
        <v>6.608151912689209</v>
      </c>
      <c r="L1630" s="2">
        <f>SUM(TimeEntries362372[Time delta in h])</f>
        <v>21.863611111126374</v>
      </c>
      <c r="M1630" s="16">
        <f>Tabelle7367363373[[#This Row],[EBS self time]]/Tabelle7367363373[[#This Row],[Total time]]</f>
        <v>0.30224430351884213</v>
      </c>
    </row>
    <row r="1631" spans="1:13">
      <c r="I1631" t="s">
        <v>169</v>
      </c>
      <c r="J1631" s="15">
        <v>0.35</v>
      </c>
      <c r="K1631" s="2">
        <v>6.608151912689209</v>
      </c>
      <c r="L1631" s="2">
        <f>SUM(TimeEntries362372[Time delta in h])</f>
        <v>21.863611111126374</v>
      </c>
      <c r="M1631" s="16">
        <f>Tabelle7367363373[[#This Row],[EBS self time]]/Tabelle7367363373[[#This Row],[Total time]]</f>
        <v>0.30224430351884213</v>
      </c>
    </row>
    <row r="1632" spans="1:13">
      <c r="I1632" t="s">
        <v>172</v>
      </c>
      <c r="J1632" s="15">
        <v>0.5</v>
      </c>
      <c r="K1632" s="2">
        <v>6.608151912689209</v>
      </c>
      <c r="L1632" s="2">
        <f>SUM(TimeEntries362372[Time delta in h])</f>
        <v>21.863611111126374</v>
      </c>
      <c r="M1632" s="16">
        <f>Tabelle7367363373[[#This Row],[EBS self time]]/Tabelle7367363373[[#This Row],[Total time]]</f>
        <v>0.30224430351884213</v>
      </c>
    </row>
    <row r="1633" spans="1:13">
      <c r="I1633" t="s">
        <v>187</v>
      </c>
      <c r="J1633" s="15">
        <v>0.65</v>
      </c>
      <c r="K1633" s="2">
        <v>6.608151912689209</v>
      </c>
      <c r="L1633" s="2">
        <f>SUM(TimeEntries362372[Time delta in h])</f>
        <v>21.863611111126374</v>
      </c>
      <c r="M1633" s="16">
        <f>Tabelle7367363373[[#This Row],[EBS self time]]/Tabelle7367363373[[#This Row],[Total time]]</f>
        <v>0.30224430351884213</v>
      </c>
    </row>
    <row r="1634" spans="1:13">
      <c r="I1634" t="s">
        <v>192</v>
      </c>
      <c r="J1634" s="15">
        <v>0.8</v>
      </c>
      <c r="K1634" s="2">
        <v>25.612991909648095</v>
      </c>
      <c r="L1634" s="2">
        <f>SUM(TimeEntries362372[Time delta in h])</f>
        <v>21.863611111126374</v>
      </c>
      <c r="M1634" s="16">
        <f>Tabelle7367363373[[#This Row],[EBS self time]]/Tabelle7367363373[[#This Row],[Total time]]</f>
        <v>1.1714895485226438</v>
      </c>
    </row>
    <row r="1635" spans="1:13">
      <c r="I1635" t="s">
        <v>193</v>
      </c>
      <c r="J1635" s="15">
        <v>0.95</v>
      </c>
      <c r="K1635" s="2">
        <v>25.612991909648095</v>
      </c>
      <c r="L1635" s="2">
        <f>SUM(TimeEntries362372[Time delta in h])</f>
        <v>21.863611111126374</v>
      </c>
      <c r="M1635" s="16">
        <f>Tabelle7367363373[[#This Row],[EBS self time]]/Tabelle7367363373[[#This Row],[Total time]]</f>
        <v>1.1714895485226438</v>
      </c>
    </row>
    <row r="1637" spans="1:13">
      <c r="A1637" t="s">
        <v>189</v>
      </c>
      <c r="B1637" t="s">
        <v>390</v>
      </c>
      <c r="C1637" t="s">
        <v>190</v>
      </c>
      <c r="D1637">
        <v>23</v>
      </c>
      <c r="E1637" t="s">
        <v>191</v>
      </c>
      <c r="F1637">
        <v>13</v>
      </c>
    </row>
    <row r="1638" spans="1:13">
      <c r="A1638" s="4" t="s">
        <v>24</v>
      </c>
      <c r="I1638" t="s">
        <v>135</v>
      </c>
      <c r="J1638" t="s">
        <v>136</v>
      </c>
    </row>
    <row r="1639" spans="1:13">
      <c r="A1639" t="s">
        <v>3</v>
      </c>
      <c r="B1639" t="s">
        <v>392</v>
      </c>
    </row>
    <row r="1640" spans="1:13">
      <c r="A1640" t="s">
        <v>77</v>
      </c>
      <c r="B1640" s="2">
        <v>12.684097290039063</v>
      </c>
      <c r="C1640" t="s">
        <v>4</v>
      </c>
    </row>
    <row r="1641" spans="1:13">
      <c r="A1641" t="s">
        <v>0</v>
      </c>
      <c r="B1641" s="2">
        <f>SUM(TimeEntries364374[Time delta in h])</f>
        <v>15.879166666651145</v>
      </c>
      <c r="C1641" t="s">
        <v>4</v>
      </c>
    </row>
    <row r="1642" spans="1:13">
      <c r="A1642" t="s">
        <v>13</v>
      </c>
      <c r="B1642" s="5" t="s">
        <v>92</v>
      </c>
    </row>
    <row r="1643" spans="1:13">
      <c r="A1643" t="s">
        <v>14</v>
      </c>
      <c r="B1643" s="5" t="s">
        <v>18</v>
      </c>
    </row>
    <row r="1644" spans="1:13">
      <c r="A1644" t="s">
        <v>1</v>
      </c>
      <c r="B1644" t="s">
        <v>91</v>
      </c>
    </row>
    <row r="1645" spans="1:13">
      <c r="A1645" t="s">
        <v>15</v>
      </c>
      <c r="B1645" s="5" t="s">
        <v>92</v>
      </c>
    </row>
    <row r="1646" spans="1:13">
      <c r="A1646" t="s">
        <v>2</v>
      </c>
    </row>
    <row r="1647" spans="1:13">
      <c r="A1647" t="s">
        <v>46</v>
      </c>
      <c r="B1647" t="s">
        <v>390</v>
      </c>
    </row>
    <row r="1648" spans="1:13">
      <c r="A1648" t="s">
        <v>5</v>
      </c>
      <c r="B1648" s="2">
        <f>B1640/SUM(TimeEntries364374[Time delta in h])</f>
        <v>0.79878859869124919</v>
      </c>
      <c r="C1648" t="s">
        <v>6</v>
      </c>
    </row>
    <row r="1649" spans="1:13">
      <c r="A1649" t="s">
        <v>93</v>
      </c>
    </row>
    <row r="1650" spans="1:13">
      <c r="A1650" t="s">
        <v>94</v>
      </c>
    </row>
    <row r="1651" spans="1:13">
      <c r="A1651" t="s">
        <v>129</v>
      </c>
      <c r="B1651" s="1">
        <v>44161.952523148146</v>
      </c>
    </row>
    <row r="1653" spans="1:13">
      <c r="A1653" t="s">
        <v>10</v>
      </c>
      <c r="B1653" t="s">
        <v>7</v>
      </c>
      <c r="C1653" t="s">
        <v>8</v>
      </c>
      <c r="D1653" t="s">
        <v>9</v>
      </c>
      <c r="E1653" t="s">
        <v>134</v>
      </c>
      <c r="F1653" t="s">
        <v>84</v>
      </c>
      <c r="G1653" t="s">
        <v>85</v>
      </c>
      <c r="I1653" t="s">
        <v>70</v>
      </c>
      <c r="J1653" s="15" t="s">
        <v>68</v>
      </c>
      <c r="K1653" s="2" t="s">
        <v>69</v>
      </c>
      <c r="L1653" t="s">
        <v>71</v>
      </c>
      <c r="M1653" t="s">
        <v>72</v>
      </c>
    </row>
    <row r="1654" spans="1:13">
      <c r="A1654" t="s">
        <v>126</v>
      </c>
      <c r="B1654" s="1">
        <v>44161.290891203702</v>
      </c>
      <c r="C1654" s="1">
        <v>44161.952523148146</v>
      </c>
      <c r="D1654" s="2">
        <f>MAX((TimeEntries364374[[#This Row],[End time]]-TimeEntries364374[[#This Row],[Start time]])*24,0)</f>
        <v>15.879166666651145</v>
      </c>
      <c r="F1654" s="54" t="s">
        <v>184</v>
      </c>
      <c r="G1654" s="22" t="s">
        <v>185</v>
      </c>
      <c r="I1654" t="s">
        <v>126</v>
      </c>
      <c r="J1654" s="15">
        <v>0.05</v>
      </c>
      <c r="K1654" s="2">
        <v>6.3420486450195313</v>
      </c>
      <c r="L1654" s="2">
        <f>SUM(TimeEntries364374[Time delta in h])</f>
        <v>15.879166666651145</v>
      </c>
      <c r="M1654" s="16">
        <f>Tabelle7367365375[[#This Row],[EBS self time]]/Tabelle7367365375[[#This Row],[Total time]]</f>
        <v>0.39939429934562459</v>
      </c>
    </row>
    <row r="1655" spans="1:13">
      <c r="B1655" s="1"/>
      <c r="C1655" s="1"/>
      <c r="D1655" s="2"/>
      <c r="I1655" t="s">
        <v>127</v>
      </c>
      <c r="J1655" s="15">
        <v>0.2</v>
      </c>
      <c r="K1655" s="2">
        <v>6.3420486450195313</v>
      </c>
      <c r="L1655" s="2">
        <f>SUM(TimeEntries364374[Time delta in h])</f>
        <v>15.879166666651145</v>
      </c>
      <c r="M1655" s="16">
        <f>Tabelle7367365375[[#This Row],[EBS self time]]/Tabelle7367365375[[#This Row],[Total time]]</f>
        <v>0.39939429934562459</v>
      </c>
    </row>
    <row r="1656" spans="1:13">
      <c r="I1656" t="s">
        <v>169</v>
      </c>
      <c r="J1656" s="15">
        <v>0.35</v>
      </c>
      <c r="K1656" s="2">
        <v>6.3420486450195313</v>
      </c>
      <c r="L1656" s="2">
        <f>SUM(TimeEntries364374[Time delta in h])</f>
        <v>15.879166666651145</v>
      </c>
      <c r="M1656" s="16">
        <f>Tabelle7367365375[[#This Row],[EBS self time]]/Tabelle7367365375[[#This Row],[Total time]]</f>
        <v>0.39939429934562459</v>
      </c>
    </row>
    <row r="1657" spans="1:13">
      <c r="I1657" t="s">
        <v>172</v>
      </c>
      <c r="J1657" s="15">
        <v>0.5</v>
      </c>
      <c r="K1657" s="2">
        <v>6.3420486450195313</v>
      </c>
      <c r="L1657" s="2">
        <f>SUM(TimeEntries364374[Time delta in h])</f>
        <v>15.879166666651145</v>
      </c>
      <c r="M1657" s="16">
        <f>Tabelle7367365375[[#This Row],[EBS self time]]/Tabelle7367365375[[#This Row],[Total time]]</f>
        <v>0.39939429934562459</v>
      </c>
    </row>
    <row r="1658" spans="1:13">
      <c r="I1658" t="s">
        <v>187</v>
      </c>
      <c r="J1658" s="15">
        <v>0.65</v>
      </c>
      <c r="K1658" s="2">
        <v>24.58158389542454</v>
      </c>
      <c r="L1658" s="2">
        <f>SUM(TimeEntries364374[Time delta in h])</f>
        <v>15.879166666651145</v>
      </c>
      <c r="M1658" s="16">
        <f>Tabelle7367365375[[#This Row],[EBS self time]]/Tabelle7367365375[[#This Row],[Total time]]</f>
        <v>1.5480399199442814</v>
      </c>
    </row>
    <row r="1659" spans="1:13">
      <c r="I1659" t="s">
        <v>192</v>
      </c>
      <c r="J1659" s="15">
        <v>0.8</v>
      </c>
      <c r="K1659" s="2">
        <v>24.58158389542454</v>
      </c>
      <c r="L1659" s="2">
        <f>SUM(TimeEntries364374[Time delta in h])</f>
        <v>15.879166666651145</v>
      </c>
      <c r="M1659" s="16">
        <f>Tabelle7367365375[[#This Row],[EBS self time]]/Tabelle7367365375[[#This Row],[Total time]]</f>
        <v>1.5480399199442814</v>
      </c>
    </row>
    <row r="1660" spans="1:13">
      <c r="I1660" t="s">
        <v>193</v>
      </c>
      <c r="J1660" s="15">
        <v>0.95</v>
      </c>
      <c r="K1660" s="2">
        <v>24.58158389542454</v>
      </c>
      <c r="L1660" s="2">
        <f>SUM(TimeEntries364374[Time delta in h])</f>
        <v>15.879166666651145</v>
      </c>
      <c r="M1660" s="16">
        <f>Tabelle7367365375[[#This Row],[EBS self time]]/Tabelle7367365375[[#This Row],[Total time]]</f>
        <v>1.5480399199442814</v>
      </c>
    </row>
    <row r="1662" spans="1:13">
      <c r="A1662" t="s">
        <v>189</v>
      </c>
      <c r="B1662" t="s">
        <v>393</v>
      </c>
      <c r="C1662" t="s">
        <v>190</v>
      </c>
      <c r="D1662">
        <v>23</v>
      </c>
      <c r="E1662" t="s">
        <v>191</v>
      </c>
      <c r="F1662">
        <v>13</v>
      </c>
    </row>
    <row r="1663" spans="1:13">
      <c r="A1663" s="4" t="s">
        <v>24</v>
      </c>
      <c r="I1663" t="s">
        <v>135</v>
      </c>
      <c r="J1663" t="s">
        <v>136</v>
      </c>
    </row>
    <row r="1664" spans="1:13">
      <c r="A1664" t="s">
        <v>3</v>
      </c>
      <c r="B1664" t="s">
        <v>395</v>
      </c>
    </row>
    <row r="1665" spans="1:13">
      <c r="A1665" t="s">
        <v>77</v>
      </c>
      <c r="B1665" s="2">
        <v>1.4009790420532227</v>
      </c>
      <c r="C1665" t="s">
        <v>4</v>
      </c>
    </row>
    <row r="1666" spans="1:13">
      <c r="A1666" t="s">
        <v>0</v>
      </c>
      <c r="B1666" s="2">
        <f>SUM(TimeEntries366376380390[Time delta in h])</f>
        <v>17.158055555541068</v>
      </c>
      <c r="C1666" t="s">
        <v>4</v>
      </c>
    </row>
    <row r="1667" spans="1:13">
      <c r="A1667" t="s">
        <v>13</v>
      </c>
      <c r="B1667" s="5" t="s">
        <v>92</v>
      </c>
    </row>
    <row r="1668" spans="1:13">
      <c r="A1668" t="s">
        <v>14</v>
      </c>
      <c r="B1668" s="5" t="s">
        <v>18</v>
      </c>
    </row>
    <row r="1669" spans="1:13">
      <c r="A1669" t="s">
        <v>1</v>
      </c>
      <c r="B1669" t="s">
        <v>131</v>
      </c>
    </row>
    <row r="1670" spans="1:13">
      <c r="A1670" t="s">
        <v>15</v>
      </c>
      <c r="B1670" s="5">
        <v>44161.952569444446</v>
      </c>
    </row>
    <row r="1671" spans="1:13">
      <c r="A1671" t="s">
        <v>2</v>
      </c>
    </row>
    <row r="1672" spans="1:13">
      <c r="A1672" t="s">
        <v>46</v>
      </c>
      <c r="B1672" t="s">
        <v>393</v>
      </c>
    </row>
    <row r="1673" spans="1:13">
      <c r="A1673" t="s">
        <v>5</v>
      </c>
      <c r="B1673" s="2">
        <f>B1665/SUM(TimeEntries366376380390[Time delta in h])</f>
        <v>8.1651387449948362E-2</v>
      </c>
      <c r="C1673" t="s">
        <v>6</v>
      </c>
    </row>
    <row r="1674" spans="1:13">
      <c r="A1674" t="s">
        <v>93</v>
      </c>
    </row>
    <row r="1675" spans="1:13">
      <c r="A1675" t="s">
        <v>94</v>
      </c>
    </row>
    <row r="1676" spans="1:13">
      <c r="A1676" t="s">
        <v>129</v>
      </c>
      <c r="B1676" s="1">
        <v>44161.952534722222</v>
      </c>
    </row>
    <row r="1678" spans="1:13">
      <c r="A1678" t="s">
        <v>10</v>
      </c>
      <c r="B1678" t="s">
        <v>7</v>
      </c>
      <c r="C1678" t="s">
        <v>8</v>
      </c>
      <c r="D1678" t="s">
        <v>9</v>
      </c>
      <c r="E1678" t="s">
        <v>134</v>
      </c>
      <c r="F1678" t="s">
        <v>84</v>
      </c>
      <c r="G1678" t="s">
        <v>85</v>
      </c>
      <c r="I1678" t="s">
        <v>70</v>
      </c>
      <c r="J1678" s="15" t="s">
        <v>68</v>
      </c>
      <c r="K1678" s="2" t="s">
        <v>69</v>
      </c>
      <c r="L1678" t="s">
        <v>71</v>
      </c>
      <c r="M1678" t="s">
        <v>72</v>
      </c>
    </row>
    <row r="1679" spans="1:13">
      <c r="A1679" t="s">
        <v>126</v>
      </c>
      <c r="B1679" s="1">
        <v>44161.237650462965</v>
      </c>
      <c r="C1679" s="1">
        <v>44161.952569444446</v>
      </c>
      <c r="D1679" s="2">
        <f>MAX((TimeEntries366376380390[[#This Row],[End time]]-TimeEntries366376380390[[#This Row],[Start time]])*24,0)</f>
        <v>17.158055555541068</v>
      </c>
      <c r="F1679" s="54" t="s">
        <v>184</v>
      </c>
      <c r="G1679" s="22" t="s">
        <v>185</v>
      </c>
      <c r="I1679" t="s">
        <v>126</v>
      </c>
      <c r="J1679" s="15">
        <v>0.05</v>
      </c>
      <c r="K1679" s="2">
        <v>0.70048952102661133</v>
      </c>
      <c r="L1679" s="2">
        <f>SUM(TimeEntries366376380390[Time delta in h])</f>
        <v>17.158055555541068</v>
      </c>
      <c r="M1679" s="16">
        <f>Tabelle7367367377381391[[#This Row],[EBS self time]]/Tabelle7367367377381391[[#This Row],[Total time]]</f>
        <v>4.0825693724974181E-2</v>
      </c>
    </row>
    <row r="1680" spans="1:13">
      <c r="B1680" s="1"/>
      <c r="C1680" s="1"/>
      <c r="D1680" s="2"/>
      <c r="I1680" t="s">
        <v>127</v>
      </c>
      <c r="J1680" s="15">
        <v>0.2</v>
      </c>
      <c r="K1680" s="2">
        <v>0.70048952102661133</v>
      </c>
      <c r="L1680" s="2">
        <f>SUM(TimeEntries366376380390[Time delta in h])</f>
        <v>17.158055555541068</v>
      </c>
      <c r="M1680" s="16">
        <f>Tabelle7367367377381391[[#This Row],[EBS self time]]/Tabelle7367367377381391[[#This Row],[Total time]]</f>
        <v>4.0825693724974181E-2</v>
      </c>
    </row>
    <row r="1681" spans="1:13">
      <c r="I1681" t="s">
        <v>169</v>
      </c>
      <c r="J1681" s="15">
        <v>0.35</v>
      </c>
      <c r="K1681" s="2">
        <v>0.70048952102661133</v>
      </c>
      <c r="L1681" s="2">
        <f>SUM(TimeEntries366376380390[Time delta in h])</f>
        <v>17.158055555541068</v>
      </c>
      <c r="M1681" s="16">
        <f>Tabelle7367367377381391[[#This Row],[EBS self time]]/Tabelle7367367377381391[[#This Row],[Total time]]</f>
        <v>4.0825693724974181E-2</v>
      </c>
    </row>
    <row r="1682" spans="1:13">
      <c r="I1682" t="s">
        <v>172</v>
      </c>
      <c r="J1682" s="15">
        <v>0.5</v>
      </c>
      <c r="K1682" s="2">
        <v>0.70048952102661133</v>
      </c>
      <c r="L1682" s="2">
        <f>SUM(TimeEntries366376380390[Time delta in h])</f>
        <v>17.158055555541068</v>
      </c>
      <c r="M1682" s="16">
        <f>Tabelle7367367377381391[[#This Row],[EBS self time]]/Tabelle7367367377381391[[#This Row],[Total time]]</f>
        <v>4.0825693724974181E-2</v>
      </c>
    </row>
    <row r="1683" spans="1:13">
      <c r="I1683" t="s">
        <v>187</v>
      </c>
      <c r="J1683" s="15">
        <v>0.65</v>
      </c>
      <c r="K1683" s="2">
        <v>0.70048952102661133</v>
      </c>
      <c r="L1683" s="2">
        <f>SUM(TimeEntries366376380390[Time delta in h])</f>
        <v>17.158055555541068</v>
      </c>
      <c r="M1683" s="16">
        <f>Tabelle7367367377381391[[#This Row],[EBS self time]]/Tabelle7367367377381391[[#This Row],[Total time]]</f>
        <v>4.0825693724974181E-2</v>
      </c>
    </row>
    <row r="1684" spans="1:13">
      <c r="I1684" t="s">
        <v>192</v>
      </c>
      <c r="J1684" s="15">
        <v>0.8</v>
      </c>
      <c r="K1684" s="2">
        <v>2.7150756628938422</v>
      </c>
      <c r="L1684" s="2">
        <f>SUM(TimeEntries366376380390[Time delta in h])</f>
        <v>17.158055555541068</v>
      </c>
      <c r="M1684" s="16">
        <f>Tabelle7367367377381391[[#This Row],[EBS self time]]/Tabelle7367367377381391[[#This Row],[Total time]]</f>
        <v>0.15823912296501619</v>
      </c>
    </row>
    <row r="1685" spans="1:13">
      <c r="I1685" t="s">
        <v>193</v>
      </c>
      <c r="J1685" s="15">
        <v>0.95</v>
      </c>
      <c r="K1685" s="2">
        <v>2.7150756628938422</v>
      </c>
      <c r="L1685" s="2">
        <f>SUM(TimeEntries366376380390[Time delta in h])</f>
        <v>17.158055555541068</v>
      </c>
      <c r="M1685" s="16">
        <f>Tabelle7367367377381391[[#This Row],[EBS self time]]/Tabelle7367367377381391[[#This Row],[Total time]]</f>
        <v>0.15823912296501619</v>
      </c>
    </row>
    <row r="1687" spans="1:13">
      <c r="A1687" t="s">
        <v>189</v>
      </c>
      <c r="B1687" t="s">
        <v>396</v>
      </c>
      <c r="C1687" t="s">
        <v>190</v>
      </c>
      <c r="D1687">
        <v>23</v>
      </c>
      <c r="E1687" t="s">
        <v>191</v>
      </c>
      <c r="F1687">
        <v>13</v>
      </c>
    </row>
    <row r="1688" spans="1:13">
      <c r="A1688" s="4" t="s">
        <v>24</v>
      </c>
      <c r="I1688" t="s">
        <v>135</v>
      </c>
      <c r="J1688" t="s">
        <v>136</v>
      </c>
    </row>
    <row r="1689" spans="1:13">
      <c r="A1689" t="s">
        <v>3</v>
      </c>
      <c r="B1689" t="s">
        <v>398</v>
      </c>
    </row>
    <row r="1690" spans="1:13">
      <c r="A1690" t="s">
        <v>77</v>
      </c>
      <c r="B1690" s="2">
        <v>5.0751552581787109</v>
      </c>
      <c r="C1690" t="s">
        <v>4</v>
      </c>
    </row>
    <row r="1691" spans="1:13">
      <c r="A1691" t="s">
        <v>0</v>
      </c>
      <c r="B1691" s="2">
        <f>SUM(TimeEntries382392[Time delta in h])</f>
        <v>2.3569444442982785</v>
      </c>
      <c r="C1691" t="s">
        <v>4</v>
      </c>
    </row>
    <row r="1692" spans="1:13">
      <c r="A1692" t="s">
        <v>13</v>
      </c>
      <c r="B1692" s="5" t="s">
        <v>92</v>
      </c>
    </row>
    <row r="1693" spans="1:13">
      <c r="A1693" t="s">
        <v>14</v>
      </c>
      <c r="B1693" s="5" t="s">
        <v>18</v>
      </c>
    </row>
    <row r="1694" spans="1:13">
      <c r="A1694" t="s">
        <v>1</v>
      </c>
      <c r="B1694" t="s">
        <v>131</v>
      </c>
    </row>
    <row r="1695" spans="1:13">
      <c r="A1695" t="s">
        <v>15</v>
      </c>
      <c r="B1695" s="5">
        <v>44161.952581018515</v>
      </c>
    </row>
    <row r="1696" spans="1:13">
      <c r="A1696" t="s">
        <v>2</v>
      </c>
    </row>
    <row r="1697" spans="1:13">
      <c r="A1697" t="s">
        <v>46</v>
      </c>
      <c r="B1697" t="s">
        <v>396</v>
      </c>
    </row>
    <row r="1698" spans="1:13">
      <c r="A1698" t="s">
        <v>5</v>
      </c>
      <c r="B1698" s="2">
        <f>B1690/SUM(TimeEntries382392[Time delta in h])</f>
        <v>2.1532774225782449</v>
      </c>
      <c r="C1698" t="s">
        <v>6</v>
      </c>
    </row>
    <row r="1699" spans="1:13">
      <c r="A1699" t="s">
        <v>93</v>
      </c>
    </row>
    <row r="1700" spans="1:13">
      <c r="A1700" t="s">
        <v>94</v>
      </c>
    </row>
    <row r="1701" spans="1:13">
      <c r="A1701" t="s">
        <v>129</v>
      </c>
      <c r="B1701" s="1">
        <v>44161.952581018515</v>
      </c>
    </row>
    <row r="1703" spans="1:13">
      <c r="A1703" t="s">
        <v>10</v>
      </c>
      <c r="B1703" t="s">
        <v>7</v>
      </c>
      <c r="C1703" t="s">
        <v>8</v>
      </c>
      <c r="D1703" t="s">
        <v>9</v>
      </c>
      <c r="E1703" t="s">
        <v>134</v>
      </c>
      <c r="F1703" t="s">
        <v>84</v>
      </c>
      <c r="G1703" t="s">
        <v>85</v>
      </c>
      <c r="I1703" t="s">
        <v>70</v>
      </c>
      <c r="J1703" s="15" t="s">
        <v>68</v>
      </c>
      <c r="K1703" s="2" t="s">
        <v>69</v>
      </c>
      <c r="L1703" t="s">
        <v>71</v>
      </c>
      <c r="M1703" t="s">
        <v>72</v>
      </c>
    </row>
    <row r="1704" spans="1:13">
      <c r="A1704" t="s">
        <v>126</v>
      </c>
      <c r="B1704" s="1">
        <v>44161.854375000003</v>
      </c>
      <c r="C1704" s="1">
        <v>44161.952581018515</v>
      </c>
      <c r="D1704" s="2">
        <f>MAX((TimeEntries382392[[#This Row],[End time]]-TimeEntries382392[[#This Row],[Start time]])*24,0)</f>
        <v>2.3569444442982785</v>
      </c>
      <c r="F1704" s="54" t="s">
        <v>184</v>
      </c>
      <c r="G1704" s="22" t="s">
        <v>185</v>
      </c>
      <c r="I1704" t="s">
        <v>126</v>
      </c>
      <c r="J1704" s="15">
        <v>0.05</v>
      </c>
      <c r="K1704" s="2">
        <v>2.5375776290893555</v>
      </c>
      <c r="L1704" s="2">
        <f>SUM(TimeEntries382392[Time delta in h])</f>
        <v>2.3569444442982785</v>
      </c>
      <c r="M1704" s="16">
        <f>Tabelle7367383393[[#This Row],[EBS self time]]/Tabelle7367383393[[#This Row],[Total time]]</f>
        <v>1.0766387112891225</v>
      </c>
    </row>
    <row r="1705" spans="1:13">
      <c r="B1705" s="1"/>
      <c r="C1705" s="1"/>
      <c r="D1705" s="2"/>
      <c r="I1705" t="s">
        <v>127</v>
      </c>
      <c r="J1705" s="15">
        <v>0.2</v>
      </c>
      <c r="K1705" s="2">
        <v>2.5375776290893555</v>
      </c>
      <c r="L1705" s="2">
        <f>SUM(TimeEntries382392[Time delta in h])</f>
        <v>2.3569444442982785</v>
      </c>
      <c r="M1705" s="16">
        <f>Tabelle7367383393[[#This Row],[EBS self time]]/Tabelle7367383393[[#This Row],[Total time]]</f>
        <v>1.0766387112891225</v>
      </c>
    </row>
    <row r="1706" spans="1:13">
      <c r="I1706" t="s">
        <v>169</v>
      </c>
      <c r="J1706" s="15">
        <v>0.35</v>
      </c>
      <c r="K1706" s="2">
        <v>2.5375776290893555</v>
      </c>
      <c r="L1706" s="2">
        <f>SUM(TimeEntries382392[Time delta in h])</f>
        <v>2.3569444442982785</v>
      </c>
      <c r="M1706" s="16">
        <f>Tabelle7367383393[[#This Row],[EBS self time]]/Tabelle7367383393[[#This Row],[Total time]]</f>
        <v>1.0766387112891225</v>
      </c>
    </row>
    <row r="1707" spans="1:13">
      <c r="I1707" t="s">
        <v>172</v>
      </c>
      <c r="J1707" s="15">
        <v>0.5</v>
      </c>
      <c r="K1707" s="2">
        <v>2.5375776290893555</v>
      </c>
      <c r="L1707" s="2">
        <f>SUM(TimeEntries382392[Time delta in h])</f>
        <v>2.3569444442982785</v>
      </c>
      <c r="M1707" s="16">
        <f>Tabelle7367383393[[#This Row],[EBS self time]]/Tabelle7367383393[[#This Row],[Total time]]</f>
        <v>1.0766387112891225</v>
      </c>
    </row>
    <row r="1708" spans="1:13">
      <c r="I1708" t="s">
        <v>187</v>
      </c>
      <c r="J1708" s="15">
        <v>0.65</v>
      </c>
      <c r="K1708" s="2">
        <v>5.6392253241797778</v>
      </c>
      <c r="L1708" s="2">
        <f>SUM(TimeEntries382392[Time delta in h])</f>
        <v>2.3569444442982785</v>
      </c>
      <c r="M1708" s="16">
        <f>Tabelle7367383393[[#This Row],[EBS self time]]/Tabelle7367383393[[#This Row],[Total time]]</f>
        <v>2.3926000198357311</v>
      </c>
    </row>
    <row r="1709" spans="1:13">
      <c r="I1709" t="s">
        <v>192</v>
      </c>
      <c r="J1709" s="15">
        <v>0.8</v>
      </c>
      <c r="K1709" s="2">
        <v>9.8355722057726958</v>
      </c>
      <c r="L1709" s="2">
        <f>SUM(TimeEntries382392[Time delta in h])</f>
        <v>2.3569444442982785</v>
      </c>
      <c r="M1709" s="16">
        <f>Tabelle7367383393[[#This Row],[EBS self time]]/Tabelle7367383393[[#This Row],[Total time]]</f>
        <v>4.1730182608105526</v>
      </c>
    </row>
    <row r="1710" spans="1:13">
      <c r="I1710" t="s">
        <v>193</v>
      </c>
      <c r="J1710" s="15">
        <v>0.95</v>
      </c>
      <c r="K1710" s="2">
        <v>9.8355722057726958</v>
      </c>
      <c r="L1710" s="2">
        <f>SUM(TimeEntries382392[Time delta in h])</f>
        <v>2.3569444442982785</v>
      </c>
      <c r="M1710" s="16">
        <f>Tabelle7367383393[[#This Row],[EBS self time]]/Tabelle7367383393[[#This Row],[Total time]]</f>
        <v>4.1730182608105526</v>
      </c>
    </row>
    <row r="1712" spans="1:13">
      <c r="A1712" t="s">
        <v>189</v>
      </c>
      <c r="B1712" t="s">
        <v>399</v>
      </c>
      <c r="C1712" t="s">
        <v>190</v>
      </c>
      <c r="D1712">
        <v>23</v>
      </c>
      <c r="E1712" t="s">
        <v>191</v>
      </c>
      <c r="F1712">
        <v>13</v>
      </c>
    </row>
    <row r="1713" spans="1:13">
      <c r="A1713" s="4" t="s">
        <v>24</v>
      </c>
      <c r="I1713" t="s">
        <v>135</v>
      </c>
      <c r="J1713" t="s">
        <v>136</v>
      </c>
    </row>
    <row r="1714" spans="1:13">
      <c r="A1714" t="s">
        <v>3</v>
      </c>
      <c r="B1714" t="s">
        <v>401</v>
      </c>
    </row>
    <row r="1715" spans="1:13">
      <c r="A1715" t="s">
        <v>77</v>
      </c>
      <c r="B1715" s="2">
        <v>14.84067440032959</v>
      </c>
      <c r="C1715" t="s">
        <v>4</v>
      </c>
    </row>
    <row r="1716" spans="1:13">
      <c r="A1716" t="s">
        <v>0</v>
      </c>
      <c r="B1716" s="2">
        <f>SUM(TimeEntries384394[Time delta in h])</f>
        <v>13.703333333367482</v>
      </c>
      <c r="C1716" t="s">
        <v>4</v>
      </c>
    </row>
    <row r="1717" spans="1:13">
      <c r="A1717" t="s">
        <v>13</v>
      </c>
      <c r="B1717" s="5" t="s">
        <v>92</v>
      </c>
    </row>
    <row r="1718" spans="1:13">
      <c r="A1718" t="s">
        <v>14</v>
      </c>
      <c r="B1718" s="5" t="s">
        <v>18</v>
      </c>
    </row>
    <row r="1719" spans="1:13">
      <c r="A1719" t="s">
        <v>1</v>
      </c>
      <c r="B1719" t="s">
        <v>91</v>
      </c>
    </row>
    <row r="1720" spans="1:13">
      <c r="A1720" t="s">
        <v>15</v>
      </c>
      <c r="B1720" s="5" t="s">
        <v>92</v>
      </c>
    </row>
    <row r="1721" spans="1:13">
      <c r="A1721" t="s">
        <v>2</v>
      </c>
    </row>
    <row r="1722" spans="1:13">
      <c r="A1722" t="s">
        <v>46</v>
      </c>
      <c r="B1722" t="s">
        <v>399</v>
      </c>
    </row>
    <row r="1723" spans="1:13">
      <c r="A1723" t="s">
        <v>5</v>
      </c>
      <c r="B1723" s="2">
        <f>B1715/SUM(TimeEntries384394[Time delta in h])</f>
        <v>1.0829974021133013</v>
      </c>
      <c r="C1723" t="s">
        <v>6</v>
      </c>
    </row>
    <row r="1724" spans="1:13">
      <c r="A1724" t="s">
        <v>93</v>
      </c>
    </row>
    <row r="1725" spans="1:13">
      <c r="A1725" t="s">
        <v>94</v>
      </c>
    </row>
    <row r="1726" spans="1:13">
      <c r="A1726" t="s">
        <v>129</v>
      </c>
      <c r="B1726" s="1">
        <v>44161.952581018515</v>
      </c>
    </row>
    <row r="1728" spans="1:13">
      <c r="A1728" t="s">
        <v>10</v>
      </c>
      <c r="B1728" t="s">
        <v>7</v>
      </c>
      <c r="C1728" t="s">
        <v>8</v>
      </c>
      <c r="D1728" t="s">
        <v>9</v>
      </c>
      <c r="E1728" t="s">
        <v>134</v>
      </c>
      <c r="F1728" t="s">
        <v>84</v>
      </c>
      <c r="G1728" t="s">
        <v>85</v>
      </c>
      <c r="I1728" t="s">
        <v>70</v>
      </c>
      <c r="J1728" s="15" t="s">
        <v>68</v>
      </c>
      <c r="K1728" s="2" t="s">
        <v>69</v>
      </c>
      <c r="L1728" t="s">
        <v>71</v>
      </c>
      <c r="M1728" t="s">
        <v>72</v>
      </c>
    </row>
    <row r="1729" spans="1:13">
      <c r="A1729" t="s">
        <v>126</v>
      </c>
      <c r="B1729" s="1">
        <v>44161.381620370368</v>
      </c>
      <c r="C1729" s="1">
        <v>44161.952592592592</v>
      </c>
      <c r="D1729" s="2">
        <f>MAX((TimeEntries384394[[#This Row],[End time]]-TimeEntries384394[[#This Row],[Start time]])*24,0)</f>
        <v>13.703333333367482</v>
      </c>
      <c r="F1729" s="54" t="s">
        <v>184</v>
      </c>
      <c r="G1729" s="22" t="s">
        <v>185</v>
      </c>
      <c r="I1729" t="s">
        <v>126</v>
      </c>
      <c r="J1729" s="15">
        <v>0.05</v>
      </c>
      <c r="K1729" s="2">
        <v>7.4203372001647949</v>
      </c>
      <c r="L1729" s="2">
        <f>SUM(TimeEntries384394[Time delta in h])</f>
        <v>13.703333333367482</v>
      </c>
      <c r="M1729" s="16">
        <f>Tabelle7367385395[[#This Row],[EBS self time]]/Tabelle7367385395[[#This Row],[Total time]]</f>
        <v>0.54149870105665066</v>
      </c>
    </row>
    <row r="1730" spans="1:13">
      <c r="B1730" s="1"/>
      <c r="C1730" s="1"/>
      <c r="D1730" s="2"/>
      <c r="I1730" t="s">
        <v>127</v>
      </c>
      <c r="J1730" s="15">
        <v>0.2</v>
      </c>
      <c r="K1730" s="2">
        <v>7.4203372001647949</v>
      </c>
      <c r="L1730" s="2">
        <f>SUM(TimeEntries384394[Time delta in h])</f>
        <v>13.703333333367482</v>
      </c>
      <c r="M1730" s="16">
        <f>Tabelle7367385395[[#This Row],[EBS self time]]/Tabelle7367385395[[#This Row],[Total time]]</f>
        <v>0.54149870105665066</v>
      </c>
    </row>
    <row r="1731" spans="1:13">
      <c r="I1731" t="s">
        <v>169</v>
      </c>
      <c r="J1731" s="15">
        <v>0.35</v>
      </c>
      <c r="K1731" s="2">
        <v>7.4203372001647949</v>
      </c>
      <c r="L1731" s="2">
        <f>SUM(TimeEntries384394[Time delta in h])</f>
        <v>13.703333333367482</v>
      </c>
      <c r="M1731" s="16">
        <f>Tabelle7367385395[[#This Row],[EBS self time]]/Tabelle7367385395[[#This Row],[Total time]]</f>
        <v>0.54149870105665066</v>
      </c>
    </row>
    <row r="1732" spans="1:13">
      <c r="I1732" t="s">
        <v>172</v>
      </c>
      <c r="J1732" s="15">
        <v>0.5</v>
      </c>
      <c r="K1732" s="2">
        <v>7.4203372001647949</v>
      </c>
      <c r="L1732" s="2">
        <f>SUM(TimeEntries384394[Time delta in h])</f>
        <v>13.703333333367482</v>
      </c>
      <c r="M1732" s="16">
        <f>Tabelle7367385395[[#This Row],[EBS self time]]/Tabelle7367385395[[#This Row],[Total time]]</f>
        <v>0.54149870105665066</v>
      </c>
    </row>
    <row r="1733" spans="1:13">
      <c r="I1733" t="s">
        <v>187</v>
      </c>
      <c r="J1733" s="15">
        <v>0.65</v>
      </c>
      <c r="K1733" s="2">
        <v>28.760996899863546</v>
      </c>
      <c r="L1733" s="2">
        <f>SUM(TimeEntries384394[Time delta in h])</f>
        <v>13.703333333367482</v>
      </c>
      <c r="M1733" s="16">
        <f>Tabelle7367385395[[#This Row],[EBS self time]]/Tabelle7367385395[[#This Row],[Total time]]</f>
        <v>2.0988321746381811</v>
      </c>
    </row>
    <row r="1734" spans="1:13">
      <c r="I1734" t="s">
        <v>192</v>
      </c>
      <c r="J1734" s="15">
        <v>0.8</v>
      </c>
      <c r="K1734" s="2">
        <v>28.760996899863546</v>
      </c>
      <c r="L1734" s="2">
        <f>SUM(TimeEntries384394[Time delta in h])</f>
        <v>13.703333333367482</v>
      </c>
      <c r="M1734" s="16">
        <f>Tabelle7367385395[[#This Row],[EBS self time]]/Tabelle7367385395[[#This Row],[Total time]]</f>
        <v>2.0988321746381811</v>
      </c>
    </row>
    <row r="1735" spans="1:13">
      <c r="I1735" t="s">
        <v>193</v>
      </c>
      <c r="J1735" s="15">
        <v>0.95</v>
      </c>
      <c r="K1735" s="2">
        <v>28.760996899863546</v>
      </c>
      <c r="L1735" s="2">
        <f>SUM(TimeEntries384394[Time delta in h])</f>
        <v>13.703333333367482</v>
      </c>
      <c r="M1735" s="16">
        <f>Tabelle7367385395[[#This Row],[EBS self time]]/Tabelle7367385395[[#This Row],[Total time]]</f>
        <v>2.0988321746381811</v>
      </c>
    </row>
    <row r="1737" spans="1:13">
      <c r="A1737" t="s">
        <v>189</v>
      </c>
      <c r="B1737" t="s">
        <v>402</v>
      </c>
      <c r="C1737" t="s">
        <v>190</v>
      </c>
      <c r="D1737">
        <v>23</v>
      </c>
      <c r="E1737" t="s">
        <v>191</v>
      </c>
      <c r="F1737">
        <v>13</v>
      </c>
    </row>
    <row r="1738" spans="1:13">
      <c r="A1738" s="4" t="s">
        <v>24</v>
      </c>
      <c r="I1738" t="s">
        <v>135</v>
      </c>
      <c r="J1738" t="s">
        <v>136</v>
      </c>
    </row>
    <row r="1739" spans="1:13">
      <c r="A1739" t="s">
        <v>3</v>
      </c>
      <c r="B1739" t="s">
        <v>404</v>
      </c>
    </row>
    <row r="1740" spans="1:13">
      <c r="A1740" t="s">
        <v>77</v>
      </c>
      <c r="B1740" s="2">
        <v>1.5425834655761719</v>
      </c>
      <c r="C1740" t="s">
        <v>4</v>
      </c>
    </row>
    <row r="1741" spans="1:13">
      <c r="A1741" t="s">
        <v>0</v>
      </c>
      <c r="B1741" s="2">
        <f>SUM(TimeEntries386396[Time delta in h])</f>
        <v>17.283055555599276</v>
      </c>
      <c r="C1741" t="s">
        <v>4</v>
      </c>
    </row>
    <row r="1742" spans="1:13">
      <c r="A1742" t="s">
        <v>13</v>
      </c>
      <c r="B1742" s="5" t="s">
        <v>92</v>
      </c>
    </row>
    <row r="1743" spans="1:13">
      <c r="A1743" t="s">
        <v>14</v>
      </c>
      <c r="B1743" s="5" t="s">
        <v>18</v>
      </c>
    </row>
    <row r="1744" spans="1:13">
      <c r="A1744" t="s">
        <v>1</v>
      </c>
      <c r="B1744" t="s">
        <v>131</v>
      </c>
    </row>
    <row r="1745" spans="1:13">
      <c r="A1745" t="s">
        <v>15</v>
      </c>
      <c r="B1745" s="5">
        <v>44161.952604166669</v>
      </c>
    </row>
    <row r="1746" spans="1:13">
      <c r="A1746" t="s">
        <v>2</v>
      </c>
    </row>
    <row r="1747" spans="1:13">
      <c r="A1747" t="s">
        <v>46</v>
      </c>
      <c r="B1747" t="s">
        <v>402</v>
      </c>
    </row>
    <row r="1748" spans="1:13">
      <c r="A1748" t="s">
        <v>5</v>
      </c>
      <c r="B1748" s="2">
        <f>B1740/SUM(TimeEntries386396[Time delta in h])</f>
        <v>8.9254094023693262E-2</v>
      </c>
      <c r="C1748" t="s">
        <v>6</v>
      </c>
    </row>
    <row r="1749" spans="1:13">
      <c r="A1749" t="s">
        <v>93</v>
      </c>
    </row>
    <row r="1750" spans="1:13">
      <c r="A1750" t="s">
        <v>94</v>
      </c>
    </row>
    <row r="1751" spans="1:13">
      <c r="A1751" t="s">
        <v>129</v>
      </c>
      <c r="B1751" s="1">
        <v>44161.952592592592</v>
      </c>
    </row>
    <row r="1753" spans="1:13">
      <c r="A1753" t="s">
        <v>10</v>
      </c>
      <c r="B1753" t="s">
        <v>7</v>
      </c>
      <c r="C1753" t="s">
        <v>8</v>
      </c>
      <c r="D1753" t="s">
        <v>9</v>
      </c>
      <c r="E1753" t="s">
        <v>134</v>
      </c>
      <c r="F1753" t="s">
        <v>84</v>
      </c>
      <c r="G1753" t="s">
        <v>85</v>
      </c>
      <c r="I1753" t="s">
        <v>70</v>
      </c>
      <c r="J1753" s="15" t="s">
        <v>68</v>
      </c>
      <c r="K1753" s="2" t="s">
        <v>69</v>
      </c>
      <c r="L1753" t="s">
        <v>71</v>
      </c>
      <c r="M1753" t="s">
        <v>72</v>
      </c>
    </row>
    <row r="1754" spans="1:13">
      <c r="A1754" t="s">
        <v>126</v>
      </c>
      <c r="B1754" s="1">
        <v>44161.232476851852</v>
      </c>
      <c r="C1754" s="1">
        <v>44161.952604166669</v>
      </c>
      <c r="D1754" s="2">
        <f>MAX((TimeEntries386396[[#This Row],[End time]]-TimeEntries386396[[#This Row],[Start time]])*24,0)</f>
        <v>17.283055555599276</v>
      </c>
      <c r="F1754" s="54" t="s">
        <v>184</v>
      </c>
      <c r="G1754" s="22" t="s">
        <v>185</v>
      </c>
      <c r="I1754" t="s">
        <v>126</v>
      </c>
      <c r="J1754" s="15">
        <v>0.05</v>
      </c>
      <c r="K1754" s="2">
        <v>0.77129173278808594</v>
      </c>
      <c r="L1754" s="2">
        <f>SUM(TimeEntries386396[Time delta in h])</f>
        <v>17.283055555599276</v>
      </c>
      <c r="M1754" s="16">
        <f>Tabelle7367387397[[#This Row],[EBS self time]]/Tabelle7367387397[[#This Row],[Total time]]</f>
        <v>4.4627047011846631E-2</v>
      </c>
    </row>
    <row r="1755" spans="1:13">
      <c r="B1755" s="1"/>
      <c r="C1755" s="1"/>
      <c r="D1755" s="2"/>
      <c r="I1755" t="s">
        <v>127</v>
      </c>
      <c r="J1755" s="15">
        <v>0.2</v>
      </c>
      <c r="K1755" s="2">
        <v>0.77129173278808594</v>
      </c>
      <c r="L1755" s="2">
        <f>SUM(TimeEntries386396[Time delta in h])</f>
        <v>17.283055555599276</v>
      </c>
      <c r="M1755" s="16">
        <f>Tabelle7367387397[[#This Row],[EBS self time]]/Tabelle7367387397[[#This Row],[Total time]]</f>
        <v>4.4627047011846631E-2</v>
      </c>
    </row>
    <row r="1756" spans="1:13">
      <c r="I1756" t="s">
        <v>169</v>
      </c>
      <c r="J1756" s="15">
        <v>0.35</v>
      </c>
      <c r="K1756" s="2">
        <v>0.77129173278808594</v>
      </c>
      <c r="L1756" s="2">
        <f>SUM(TimeEntries386396[Time delta in h])</f>
        <v>17.283055555599276</v>
      </c>
      <c r="M1756" s="16">
        <f>Tabelle7367387397[[#This Row],[EBS self time]]/Tabelle7367387397[[#This Row],[Total time]]</f>
        <v>4.4627047011846631E-2</v>
      </c>
    </row>
    <row r="1757" spans="1:13">
      <c r="I1757" t="s">
        <v>172</v>
      </c>
      <c r="J1757" s="15">
        <v>0.5</v>
      </c>
      <c r="K1757" s="2">
        <v>0.77129173278808594</v>
      </c>
      <c r="L1757" s="2">
        <f>SUM(TimeEntries386396[Time delta in h])</f>
        <v>17.283055555599276</v>
      </c>
      <c r="M1757" s="16">
        <f>Tabelle7367387397[[#This Row],[EBS self time]]/Tabelle7367387397[[#This Row],[Total time]]</f>
        <v>4.4627047011846631E-2</v>
      </c>
    </row>
    <row r="1758" spans="1:13">
      <c r="I1758" t="s">
        <v>187</v>
      </c>
      <c r="J1758" s="15">
        <v>0.65</v>
      </c>
      <c r="K1758" s="2">
        <v>0.77129173278808594</v>
      </c>
      <c r="L1758" s="2">
        <f>SUM(TimeEntries386396[Time delta in h])</f>
        <v>17.283055555599276</v>
      </c>
      <c r="M1758" s="16">
        <f>Tabelle7367387397[[#This Row],[EBS self time]]/Tabelle7367387397[[#This Row],[Total time]]</f>
        <v>4.4627047011846631E-2</v>
      </c>
    </row>
    <row r="1759" spans="1:13">
      <c r="I1759" t="s">
        <v>192</v>
      </c>
      <c r="J1759" s="15">
        <v>0.8</v>
      </c>
      <c r="K1759" s="2">
        <v>2.9895028402638988</v>
      </c>
      <c r="L1759" s="2">
        <f>SUM(TimeEntries386396[Time delta in h])</f>
        <v>17.283055555599276</v>
      </c>
      <c r="M1759" s="16">
        <f>Tabelle7367387397[[#This Row],[EBS self time]]/Tabelle7367387397[[#This Row],[Total time]]</f>
        <v>0.17297305043351405</v>
      </c>
    </row>
    <row r="1760" spans="1:13">
      <c r="I1760" t="s">
        <v>193</v>
      </c>
      <c r="J1760" s="15">
        <v>0.95</v>
      </c>
      <c r="K1760" s="2">
        <v>2.9895028402638988</v>
      </c>
      <c r="L1760" s="2">
        <f>SUM(TimeEntries386396[Time delta in h])</f>
        <v>17.283055555599276</v>
      </c>
      <c r="M1760" s="16">
        <f>Tabelle7367387397[[#This Row],[EBS self time]]/Tabelle7367387397[[#This Row],[Total time]]</f>
        <v>0.17297305043351405</v>
      </c>
    </row>
    <row r="1762" spans="1:10">
      <c r="A1762" t="s">
        <v>189</v>
      </c>
      <c r="B1762" t="s">
        <v>405</v>
      </c>
      <c r="C1762" t="s">
        <v>190</v>
      </c>
      <c r="D1762">
        <v>18</v>
      </c>
      <c r="E1762" t="s">
        <v>191</v>
      </c>
      <c r="F1762">
        <v>13</v>
      </c>
    </row>
    <row r="1763" spans="1:10">
      <c r="A1763" s="4" t="s">
        <v>24</v>
      </c>
      <c r="I1763" t="s">
        <v>135</v>
      </c>
      <c r="J1763" t="s">
        <v>136</v>
      </c>
    </row>
    <row r="1764" spans="1:10">
      <c r="A1764" t="s">
        <v>3</v>
      </c>
      <c r="B1764" t="s">
        <v>407</v>
      </c>
    </row>
    <row r="1765" spans="1:10">
      <c r="A1765" t="s">
        <v>77</v>
      </c>
      <c r="B1765" s="2" t="s">
        <v>92</v>
      </c>
      <c r="C1765" t="s">
        <v>4</v>
      </c>
    </row>
    <row r="1766" spans="1:10">
      <c r="A1766" t="s">
        <v>0</v>
      </c>
      <c r="B1766" s="2">
        <f>SUM(TimeEntries388398402412[Time delta in h])</f>
        <v>19.698055555578321</v>
      </c>
      <c r="C1766" t="s">
        <v>4</v>
      </c>
    </row>
    <row r="1767" spans="1:10">
      <c r="A1767" t="s">
        <v>13</v>
      </c>
      <c r="B1767" s="5" t="s">
        <v>92</v>
      </c>
    </row>
    <row r="1768" spans="1:10">
      <c r="A1768" t="s">
        <v>14</v>
      </c>
      <c r="B1768" s="5" t="s">
        <v>18</v>
      </c>
    </row>
    <row r="1769" spans="1:10">
      <c r="A1769" t="s">
        <v>1</v>
      </c>
      <c r="B1769" t="s">
        <v>91</v>
      </c>
    </row>
    <row r="1770" spans="1:10">
      <c r="A1770" t="s">
        <v>15</v>
      </c>
      <c r="B1770" s="5" t="s">
        <v>92</v>
      </c>
    </row>
    <row r="1771" spans="1:10">
      <c r="A1771" t="s">
        <v>2</v>
      </c>
    </row>
    <row r="1772" spans="1:10">
      <c r="A1772" t="s">
        <v>46</v>
      </c>
      <c r="B1772" t="s">
        <v>405</v>
      </c>
    </row>
    <row r="1773" spans="1:10">
      <c r="A1773" t="s">
        <v>5</v>
      </c>
      <c r="B1773" s="2" t="e">
        <f>B1765/SUM(TimeEntries388398402412[Time delta in h])</f>
        <v>#VALUE!</v>
      </c>
      <c r="C1773" t="s">
        <v>6</v>
      </c>
    </row>
    <row r="1774" spans="1:10">
      <c r="A1774" t="s">
        <v>93</v>
      </c>
    </row>
    <row r="1775" spans="1:10">
      <c r="A1775" t="s">
        <v>94</v>
      </c>
    </row>
    <row r="1776" spans="1:10">
      <c r="A1776" t="s">
        <v>129</v>
      </c>
      <c r="B1776" s="1">
        <v>44161.952604166669</v>
      </c>
    </row>
    <row r="1778" spans="1:13">
      <c r="A1778" t="s">
        <v>10</v>
      </c>
      <c r="B1778" t="s">
        <v>7</v>
      </c>
      <c r="C1778" t="s">
        <v>8</v>
      </c>
      <c r="D1778" t="s">
        <v>9</v>
      </c>
      <c r="E1778" t="s">
        <v>134</v>
      </c>
      <c r="F1778" t="s">
        <v>84</v>
      </c>
      <c r="G1778" t="s">
        <v>85</v>
      </c>
      <c r="I1778" t="s">
        <v>70</v>
      </c>
      <c r="J1778" s="15" t="s">
        <v>68</v>
      </c>
      <c r="K1778" s="2" t="s">
        <v>69</v>
      </c>
      <c r="L1778" t="s">
        <v>71</v>
      </c>
      <c r="M1778" t="s">
        <v>72</v>
      </c>
    </row>
    <row r="1779" spans="1:13">
      <c r="A1779" t="s">
        <v>126</v>
      </c>
      <c r="B1779" s="1">
        <v>44161.131909722222</v>
      </c>
      <c r="C1779" s="1">
        <v>44161.952662037038</v>
      </c>
      <c r="D1779" s="2">
        <f>MAX((TimeEntries388398402412[[#This Row],[End time]]-TimeEntries388398402412[[#This Row],[Start time]])*24,0)</f>
        <v>19.698055555578321</v>
      </c>
      <c r="F1779" s="54" t="s">
        <v>184</v>
      </c>
      <c r="G1779" s="22" t="s">
        <v>185</v>
      </c>
      <c r="J1779" s="15"/>
      <c r="K1779" s="2"/>
      <c r="L1779" s="2">
        <f>SUM(TimeEntries388398402412[Time delta in h])</f>
        <v>19.698055555578321</v>
      </c>
      <c r="M1779" s="16">
        <f>Tabelle7367389399403413[[#This Row],[EBS self time]]/Tabelle7367389399403413[[#This Row],[Total time]]</f>
        <v>0</v>
      </c>
    </row>
    <row r="1780" spans="1:13">
      <c r="B1780" s="1"/>
      <c r="C1780" s="1"/>
      <c r="D1780" s="2"/>
    </row>
    <row r="1782" spans="1:13">
      <c r="A1782" t="s">
        <v>189</v>
      </c>
      <c r="B1782" t="s">
        <v>408</v>
      </c>
      <c r="C1782" t="s">
        <v>190</v>
      </c>
      <c r="D1782">
        <v>23</v>
      </c>
      <c r="E1782" t="s">
        <v>191</v>
      </c>
      <c r="F1782">
        <v>13</v>
      </c>
    </row>
    <row r="1783" spans="1:13">
      <c r="A1783" s="4" t="s">
        <v>24</v>
      </c>
      <c r="I1783" t="s">
        <v>135</v>
      </c>
      <c r="J1783" t="s">
        <v>136</v>
      </c>
    </row>
    <row r="1784" spans="1:13">
      <c r="A1784" t="s">
        <v>3</v>
      </c>
      <c r="B1784" t="s">
        <v>410</v>
      </c>
    </row>
    <row r="1785" spans="1:13">
      <c r="A1785" t="s">
        <v>77</v>
      </c>
      <c r="B1785" s="2">
        <v>11.457222938537598</v>
      </c>
      <c r="C1785" t="s">
        <v>4</v>
      </c>
    </row>
    <row r="1786" spans="1:13">
      <c r="A1786" t="s">
        <v>0</v>
      </c>
      <c r="B1786" s="2">
        <f>SUM(TimeEntries404414[Time delta in h])</f>
        <v>23.008055555575993</v>
      </c>
      <c r="C1786" t="s">
        <v>4</v>
      </c>
    </row>
    <row r="1787" spans="1:13">
      <c r="A1787" t="s">
        <v>13</v>
      </c>
      <c r="B1787" s="5" t="s">
        <v>92</v>
      </c>
    </row>
    <row r="1788" spans="1:13">
      <c r="A1788" t="s">
        <v>14</v>
      </c>
      <c r="B1788" s="5" t="s">
        <v>18</v>
      </c>
    </row>
    <row r="1789" spans="1:13">
      <c r="A1789" t="s">
        <v>1</v>
      </c>
      <c r="B1789" t="s">
        <v>91</v>
      </c>
    </row>
    <row r="1790" spans="1:13">
      <c r="A1790" t="s">
        <v>15</v>
      </c>
      <c r="B1790" s="5" t="s">
        <v>92</v>
      </c>
    </row>
    <row r="1791" spans="1:13">
      <c r="A1791" t="s">
        <v>2</v>
      </c>
    </row>
    <row r="1792" spans="1:13">
      <c r="A1792" t="s">
        <v>46</v>
      </c>
      <c r="B1792" t="s">
        <v>408</v>
      </c>
    </row>
    <row r="1793" spans="1:13">
      <c r="A1793" t="s">
        <v>5</v>
      </c>
      <c r="B1793" s="2">
        <f>B1785/SUM(TimeEntries404414[Time delta in h])</f>
        <v>0.49796571947866947</v>
      </c>
      <c r="C1793" t="s">
        <v>6</v>
      </c>
    </row>
    <row r="1794" spans="1:13">
      <c r="A1794" t="s">
        <v>93</v>
      </c>
    </row>
    <row r="1795" spans="1:13">
      <c r="A1795" t="s">
        <v>94</v>
      </c>
    </row>
    <row r="1796" spans="1:13">
      <c r="A1796" t="s">
        <v>129</v>
      </c>
      <c r="B1796" s="1">
        <v>44161.952673611115</v>
      </c>
    </row>
    <row r="1798" spans="1:13">
      <c r="A1798" t="s">
        <v>10</v>
      </c>
      <c r="B1798" t="s">
        <v>7</v>
      </c>
      <c r="C1798" t="s">
        <v>8</v>
      </c>
      <c r="D1798" t="s">
        <v>9</v>
      </c>
      <c r="E1798" t="s">
        <v>134</v>
      </c>
      <c r="F1798" t="s">
        <v>84</v>
      </c>
      <c r="G1798" t="s">
        <v>85</v>
      </c>
      <c r="I1798" t="s">
        <v>70</v>
      </c>
      <c r="J1798" s="15" t="s">
        <v>68</v>
      </c>
      <c r="K1798" s="2" t="s">
        <v>69</v>
      </c>
      <c r="L1798" t="s">
        <v>71</v>
      </c>
      <c r="M1798" t="s">
        <v>72</v>
      </c>
    </row>
    <row r="1799" spans="1:13">
      <c r="A1799" t="s">
        <v>126</v>
      </c>
      <c r="B1799" s="1">
        <v>44160.994004629632</v>
      </c>
      <c r="C1799" s="1">
        <v>44161.952673611115</v>
      </c>
      <c r="D1799" s="2">
        <f>MAX((TimeEntries404414[[#This Row],[End time]]-TimeEntries404414[[#This Row],[Start time]])*24,0)</f>
        <v>23.008055555575993</v>
      </c>
      <c r="F1799" s="54" t="s">
        <v>184</v>
      </c>
      <c r="G1799" s="22" t="s">
        <v>185</v>
      </c>
      <c r="I1799" t="s">
        <v>126</v>
      </c>
      <c r="J1799" s="15">
        <v>0.05</v>
      </c>
      <c r="K1799" s="2">
        <v>5.7286114692687988</v>
      </c>
      <c r="L1799" s="2">
        <f>SUM(TimeEntries404414[Time delta in h])</f>
        <v>23.008055555575993</v>
      </c>
      <c r="M1799" s="16">
        <f>Tabelle7367405415[[#This Row],[EBS self time]]/Tabelle7367405415[[#This Row],[Total time]]</f>
        <v>0.24898285973933473</v>
      </c>
    </row>
    <row r="1800" spans="1:13">
      <c r="B1800" s="1"/>
      <c r="C1800" s="1"/>
      <c r="D1800" s="2"/>
      <c r="I1800" t="s">
        <v>127</v>
      </c>
      <c r="J1800" s="15">
        <v>0.2</v>
      </c>
      <c r="K1800" s="2">
        <v>5.7286114692687988</v>
      </c>
      <c r="L1800" s="2">
        <f>SUM(TimeEntries404414[Time delta in h])</f>
        <v>23.008055555575993</v>
      </c>
      <c r="M1800" s="16">
        <f>Tabelle7367405415[[#This Row],[EBS self time]]/Tabelle7367405415[[#This Row],[Total time]]</f>
        <v>0.24898285973933473</v>
      </c>
    </row>
    <row r="1801" spans="1:13">
      <c r="I1801" t="s">
        <v>169</v>
      </c>
      <c r="J1801" s="15">
        <v>0.35</v>
      </c>
      <c r="K1801" s="2">
        <v>5.7286114692687988</v>
      </c>
      <c r="L1801" s="2">
        <f>SUM(TimeEntries404414[Time delta in h])</f>
        <v>23.008055555575993</v>
      </c>
      <c r="M1801" s="16">
        <f>Tabelle7367405415[[#This Row],[EBS self time]]/Tabelle7367405415[[#This Row],[Total time]]</f>
        <v>0.24898285973933473</v>
      </c>
    </row>
    <row r="1802" spans="1:13">
      <c r="I1802" t="s">
        <v>172</v>
      </c>
      <c r="J1802" s="15">
        <v>0.5</v>
      </c>
      <c r="K1802" s="2">
        <v>5.7286114692687988</v>
      </c>
      <c r="L1802" s="2">
        <f>SUM(TimeEntries404414[Time delta in h])</f>
        <v>23.008055555575993</v>
      </c>
      <c r="M1802" s="16">
        <f>Tabelle7367405415[[#This Row],[EBS self time]]/Tabelle7367405415[[#This Row],[Total time]]</f>
        <v>0.24898285973933473</v>
      </c>
    </row>
    <row r="1803" spans="1:13">
      <c r="I1803" t="s">
        <v>187</v>
      </c>
      <c r="J1803" s="15">
        <v>0.65</v>
      </c>
      <c r="K1803" s="2">
        <v>5.7286114692687988</v>
      </c>
      <c r="L1803" s="2">
        <f>SUM(TimeEntries404414[Time delta in h])</f>
        <v>23.008055555575993</v>
      </c>
      <c r="M1803" s="16">
        <f>Tabelle7367405415[[#This Row],[EBS self time]]/Tabelle7367405415[[#This Row],[Total time]]</f>
        <v>0.24898285973933473</v>
      </c>
    </row>
    <row r="1804" spans="1:13">
      <c r="I1804" t="s">
        <v>192</v>
      </c>
      <c r="J1804" s="15">
        <v>0.8</v>
      </c>
      <c r="K1804" s="2">
        <v>7.3761423646941848</v>
      </c>
      <c r="L1804" s="2">
        <f>SUM(TimeEntries404414[Time delta in h])</f>
        <v>23.008055555575993</v>
      </c>
      <c r="M1804" s="16">
        <f>Tabelle7367405415[[#This Row],[EBS self time]]/Tabelle7367405415[[#This Row],[Total time]]</f>
        <v>0.32058955816049306</v>
      </c>
    </row>
    <row r="1805" spans="1:13">
      <c r="I1805" t="s">
        <v>193</v>
      </c>
      <c r="J1805" s="15">
        <v>0.95</v>
      </c>
      <c r="K1805" s="2">
        <v>22.203920423522476</v>
      </c>
      <c r="L1805" s="2">
        <f>SUM(TimeEntries404414[Time delta in h])</f>
        <v>23.008055555575993</v>
      </c>
      <c r="M1805" s="16">
        <f>Tabelle7367405415[[#This Row],[EBS self time]]/Tabelle7367405415[[#This Row],[Total time]]</f>
        <v>0.96504984395090987</v>
      </c>
    </row>
    <row r="1807" spans="1:13">
      <c r="A1807" t="s">
        <v>189</v>
      </c>
      <c r="B1807" t="s">
        <v>411</v>
      </c>
      <c r="C1807" t="s">
        <v>190</v>
      </c>
      <c r="D1807">
        <v>18</v>
      </c>
      <c r="E1807" t="s">
        <v>191</v>
      </c>
      <c r="F1807">
        <v>13</v>
      </c>
    </row>
    <row r="1808" spans="1:13">
      <c r="A1808" s="4" t="s">
        <v>24</v>
      </c>
      <c r="I1808" t="s">
        <v>135</v>
      </c>
      <c r="J1808" t="s">
        <v>136</v>
      </c>
    </row>
    <row r="1809" spans="1:13">
      <c r="A1809" t="s">
        <v>3</v>
      </c>
      <c r="B1809" t="s">
        <v>413</v>
      </c>
    </row>
    <row r="1810" spans="1:13">
      <c r="A1810" t="s">
        <v>77</v>
      </c>
      <c r="B1810" s="2" t="s">
        <v>92</v>
      </c>
      <c r="C1810" t="s">
        <v>4</v>
      </c>
    </row>
    <row r="1811" spans="1:13">
      <c r="A1811" t="s">
        <v>0</v>
      </c>
      <c r="B1811" s="2">
        <f>SUM(TimeEntries406416[Time delta in h])</f>
        <v>24.225555555545725</v>
      </c>
      <c r="C1811" t="s">
        <v>4</v>
      </c>
    </row>
    <row r="1812" spans="1:13">
      <c r="A1812" t="s">
        <v>13</v>
      </c>
      <c r="B1812" s="5" t="s">
        <v>92</v>
      </c>
    </row>
    <row r="1813" spans="1:13">
      <c r="A1813" t="s">
        <v>14</v>
      </c>
      <c r="B1813" s="5" t="s">
        <v>18</v>
      </c>
    </row>
    <row r="1814" spans="1:13">
      <c r="A1814" t="s">
        <v>1</v>
      </c>
      <c r="B1814" t="s">
        <v>91</v>
      </c>
    </row>
    <row r="1815" spans="1:13">
      <c r="A1815" t="s">
        <v>15</v>
      </c>
      <c r="B1815" s="5" t="s">
        <v>92</v>
      </c>
    </row>
    <row r="1816" spans="1:13">
      <c r="A1816" t="s">
        <v>2</v>
      </c>
    </row>
    <row r="1817" spans="1:13">
      <c r="A1817" t="s">
        <v>46</v>
      </c>
      <c r="B1817" t="s">
        <v>411</v>
      </c>
    </row>
    <row r="1818" spans="1:13">
      <c r="A1818" t="s">
        <v>5</v>
      </c>
      <c r="B1818" s="2" t="e">
        <f>B1810/SUM(TimeEntries406416[Time delta in h])</f>
        <v>#VALUE!</v>
      </c>
      <c r="C1818" t="s">
        <v>6</v>
      </c>
    </row>
    <row r="1819" spans="1:13">
      <c r="A1819" t="s">
        <v>93</v>
      </c>
    </row>
    <row r="1820" spans="1:13">
      <c r="A1820" t="s">
        <v>94</v>
      </c>
    </row>
    <row r="1821" spans="1:13">
      <c r="A1821" t="s">
        <v>129</v>
      </c>
      <c r="B1821" s="1">
        <v>44161.952673611115</v>
      </c>
    </row>
    <row r="1823" spans="1:13">
      <c r="A1823" t="s">
        <v>10</v>
      </c>
      <c r="B1823" t="s">
        <v>7</v>
      </c>
      <c r="C1823" t="s">
        <v>8</v>
      </c>
      <c r="D1823" t="s">
        <v>9</v>
      </c>
      <c r="E1823" t="s">
        <v>134</v>
      </c>
      <c r="F1823" t="s">
        <v>84</v>
      </c>
      <c r="G1823" t="s">
        <v>85</v>
      </c>
      <c r="I1823" t="s">
        <v>70</v>
      </c>
      <c r="J1823" s="15" t="s">
        <v>68</v>
      </c>
      <c r="K1823" s="2" t="s">
        <v>69</v>
      </c>
      <c r="L1823" t="s">
        <v>71</v>
      </c>
      <c r="M1823" t="s">
        <v>72</v>
      </c>
    </row>
    <row r="1824" spans="1:13">
      <c r="A1824" t="s">
        <v>126</v>
      </c>
      <c r="B1824" s="1">
        <v>44160.943287037036</v>
      </c>
      <c r="C1824" s="1">
        <v>44161.952685185184</v>
      </c>
      <c r="D1824" s="2">
        <f>MAX((TimeEntries406416[[#This Row],[End time]]-TimeEntries406416[[#This Row],[Start time]])*24,0)</f>
        <v>24.225555555545725</v>
      </c>
      <c r="F1824" s="54" t="s">
        <v>184</v>
      </c>
      <c r="G1824" s="22" t="s">
        <v>185</v>
      </c>
      <c r="J1824" s="15"/>
      <c r="K1824" s="2"/>
      <c r="L1824" s="2">
        <f>SUM(TimeEntries406416[Time delta in h])</f>
        <v>24.225555555545725</v>
      </c>
      <c r="M1824" s="16">
        <f>Tabelle7367407417[[#This Row],[EBS self time]]/Tabelle7367407417[[#This Row],[Total time]]</f>
        <v>0</v>
      </c>
    </row>
    <row r="1825" spans="1:10">
      <c r="B1825" s="1"/>
      <c r="C1825" s="1"/>
      <c r="D1825" s="2"/>
    </row>
    <row r="1827" spans="1:10">
      <c r="A1827" t="s">
        <v>189</v>
      </c>
      <c r="B1827" t="s">
        <v>414</v>
      </c>
      <c r="C1827" t="s">
        <v>190</v>
      </c>
      <c r="D1827">
        <v>23</v>
      </c>
      <c r="E1827" t="s">
        <v>191</v>
      </c>
      <c r="F1827">
        <v>13</v>
      </c>
    </row>
    <row r="1828" spans="1:10">
      <c r="A1828" s="4" t="s">
        <v>24</v>
      </c>
      <c r="I1828" t="s">
        <v>135</v>
      </c>
      <c r="J1828" t="s">
        <v>136</v>
      </c>
    </row>
    <row r="1829" spans="1:10">
      <c r="A1829" t="s">
        <v>3</v>
      </c>
      <c r="B1829" t="s">
        <v>416</v>
      </c>
    </row>
    <row r="1830" spans="1:10">
      <c r="A1830" t="s">
        <v>77</v>
      </c>
      <c r="B1830" s="2">
        <v>0.74178504943847656</v>
      </c>
      <c r="C1830" t="s">
        <v>4</v>
      </c>
    </row>
    <row r="1831" spans="1:10">
      <c r="A1831" t="s">
        <v>0</v>
      </c>
      <c r="B1831" s="2">
        <f>SUM(TimeEntries408418[Time delta in h])</f>
        <v>20.239999999932479</v>
      </c>
      <c r="C1831" t="s">
        <v>4</v>
      </c>
    </row>
    <row r="1832" spans="1:10">
      <c r="A1832" t="s">
        <v>13</v>
      </c>
      <c r="B1832" s="5" t="s">
        <v>92</v>
      </c>
    </row>
    <row r="1833" spans="1:10">
      <c r="A1833" t="s">
        <v>14</v>
      </c>
      <c r="B1833" s="5" t="s">
        <v>18</v>
      </c>
    </row>
    <row r="1834" spans="1:10">
      <c r="A1834" t="s">
        <v>1</v>
      </c>
      <c r="B1834" t="s">
        <v>91</v>
      </c>
    </row>
    <row r="1835" spans="1:10">
      <c r="A1835" t="s">
        <v>15</v>
      </c>
      <c r="B1835" s="5" t="s">
        <v>92</v>
      </c>
    </row>
    <row r="1836" spans="1:10">
      <c r="A1836" t="s">
        <v>2</v>
      </c>
    </row>
    <row r="1837" spans="1:10">
      <c r="A1837" t="s">
        <v>46</v>
      </c>
      <c r="B1837" t="s">
        <v>414</v>
      </c>
    </row>
    <row r="1838" spans="1:10">
      <c r="A1838" t="s">
        <v>5</v>
      </c>
      <c r="B1838" s="2">
        <f>B1830/SUM(TimeEntries408418[Time delta in h])</f>
        <v>3.6649458964473872E-2</v>
      </c>
      <c r="C1838" t="s">
        <v>6</v>
      </c>
    </row>
    <row r="1839" spans="1:10">
      <c r="A1839" t="s">
        <v>93</v>
      </c>
    </row>
    <row r="1840" spans="1:10">
      <c r="A1840" t="s">
        <v>94</v>
      </c>
    </row>
    <row r="1841" spans="1:13">
      <c r="A1841" t="s">
        <v>129</v>
      </c>
      <c r="B1841" s="1">
        <v>44161.952685185184</v>
      </c>
    </row>
    <row r="1843" spans="1:13">
      <c r="A1843" t="s">
        <v>10</v>
      </c>
      <c r="B1843" t="s">
        <v>7</v>
      </c>
      <c r="C1843" t="s">
        <v>8</v>
      </c>
      <c r="D1843" t="s">
        <v>9</v>
      </c>
      <c r="E1843" t="s">
        <v>134</v>
      </c>
      <c r="F1843" t="s">
        <v>84</v>
      </c>
      <c r="G1843" t="s">
        <v>85</v>
      </c>
      <c r="I1843" t="s">
        <v>70</v>
      </c>
      <c r="J1843" s="15" t="s">
        <v>68</v>
      </c>
      <c r="K1843" s="2" t="s">
        <v>69</v>
      </c>
      <c r="L1843" t="s">
        <v>71</v>
      </c>
      <c r="M1843" t="s">
        <v>72</v>
      </c>
    </row>
    <row r="1844" spans="1:13">
      <c r="A1844" t="s">
        <v>126</v>
      </c>
      <c r="B1844" s="1">
        <v>44161.109351851854</v>
      </c>
      <c r="C1844" s="1">
        <v>44161.952685185184</v>
      </c>
      <c r="D1844" s="2">
        <f>MAX((TimeEntries408418[[#This Row],[End time]]-TimeEntries408418[[#This Row],[Start time]])*24,0)</f>
        <v>20.239999999932479</v>
      </c>
      <c r="F1844" s="54" t="s">
        <v>184</v>
      </c>
      <c r="G1844" s="22" t="s">
        <v>185</v>
      </c>
      <c r="I1844" t="s">
        <v>126</v>
      </c>
      <c r="J1844" s="15">
        <v>0.05</v>
      </c>
      <c r="K1844" s="2">
        <v>0.37089252471923828</v>
      </c>
      <c r="L1844" s="2">
        <f>SUM(TimeEntries408418[Time delta in h])</f>
        <v>20.239999999932479</v>
      </c>
      <c r="M1844" s="16">
        <f>Tabelle7367409419[[#This Row],[EBS self time]]/Tabelle7367409419[[#This Row],[Total time]]</f>
        <v>1.8324729482236936E-2</v>
      </c>
    </row>
    <row r="1845" spans="1:13">
      <c r="B1845" s="1"/>
      <c r="C1845" s="1"/>
      <c r="D1845" s="2"/>
      <c r="I1845" t="s">
        <v>127</v>
      </c>
      <c r="J1845" s="15">
        <v>0.2</v>
      </c>
      <c r="K1845" s="2">
        <v>0.37089252471923828</v>
      </c>
      <c r="L1845" s="2">
        <f>SUM(TimeEntries408418[Time delta in h])</f>
        <v>20.239999999932479</v>
      </c>
      <c r="M1845" s="16">
        <f>Tabelle7367409419[[#This Row],[EBS self time]]/Tabelle7367409419[[#This Row],[Total time]]</f>
        <v>1.8324729482236936E-2</v>
      </c>
    </row>
    <row r="1846" spans="1:13">
      <c r="I1846" t="s">
        <v>169</v>
      </c>
      <c r="J1846" s="15">
        <v>0.35</v>
      </c>
      <c r="K1846" s="2">
        <v>0.37089252471923828</v>
      </c>
      <c r="L1846" s="2">
        <f>SUM(TimeEntries408418[Time delta in h])</f>
        <v>20.239999999932479</v>
      </c>
      <c r="M1846" s="16">
        <f>Tabelle7367409419[[#This Row],[EBS self time]]/Tabelle7367409419[[#This Row],[Total time]]</f>
        <v>1.8324729482236936E-2</v>
      </c>
    </row>
    <row r="1847" spans="1:13">
      <c r="I1847" t="s">
        <v>172</v>
      </c>
      <c r="J1847" s="15">
        <v>0.5</v>
      </c>
      <c r="K1847" s="2">
        <v>0.37089252471923828</v>
      </c>
      <c r="L1847" s="2">
        <f>SUM(TimeEntries408418[Time delta in h])</f>
        <v>20.239999999932479</v>
      </c>
      <c r="M1847" s="16">
        <f>Tabelle7367409419[[#This Row],[EBS self time]]/Tabelle7367409419[[#This Row],[Total time]]</f>
        <v>1.8324729482236936E-2</v>
      </c>
    </row>
    <row r="1848" spans="1:13">
      <c r="I1848" t="s">
        <v>187</v>
      </c>
      <c r="J1848" s="15">
        <v>0.65</v>
      </c>
      <c r="K1848" s="2">
        <v>0.37089252471923828</v>
      </c>
      <c r="L1848" s="2">
        <f>SUM(TimeEntries408418[Time delta in h])</f>
        <v>20.239999999932479</v>
      </c>
      <c r="M1848" s="16">
        <f>Tabelle7367409419[[#This Row],[EBS self time]]/Tabelle7367409419[[#This Row],[Total time]]</f>
        <v>1.8324729482236936E-2</v>
      </c>
    </row>
    <row r="1849" spans="1:13">
      <c r="I1849" t="s">
        <v>192</v>
      </c>
      <c r="J1849" s="15">
        <v>0.8</v>
      </c>
      <c r="K1849" s="2">
        <v>1.4375679252683653</v>
      </c>
      <c r="L1849" s="2">
        <f>SUM(TimeEntries408418[Time delta in h])</f>
        <v>20.239999999932479</v>
      </c>
      <c r="M1849" s="16">
        <f>Tabelle7367409419[[#This Row],[EBS self time]]/Tabelle7367409419[[#This Row],[Total time]]</f>
        <v>7.1026083264484244E-2</v>
      </c>
    </row>
    <row r="1850" spans="1:13">
      <c r="I1850" t="s">
        <v>193</v>
      </c>
      <c r="J1850" s="15">
        <v>0.95</v>
      </c>
      <c r="K1850" s="2">
        <v>1.4375679252683653</v>
      </c>
      <c r="L1850" s="2">
        <f>SUM(TimeEntries408418[Time delta in h])</f>
        <v>20.239999999932479</v>
      </c>
      <c r="M1850" s="16">
        <f>Tabelle7367409419[[#This Row],[EBS self time]]/Tabelle7367409419[[#This Row],[Total time]]</f>
        <v>7.1026083264484244E-2</v>
      </c>
    </row>
    <row r="1852" spans="1:13">
      <c r="A1852" t="s">
        <v>189</v>
      </c>
      <c r="B1852" t="s">
        <v>417</v>
      </c>
      <c r="C1852" t="s">
        <v>190</v>
      </c>
      <c r="D1852">
        <v>18</v>
      </c>
      <c r="E1852" t="s">
        <v>191</v>
      </c>
      <c r="F1852">
        <v>13</v>
      </c>
    </row>
    <row r="1853" spans="1:13">
      <c r="A1853" s="4" t="s">
        <v>24</v>
      </c>
      <c r="I1853" t="s">
        <v>135</v>
      </c>
      <c r="J1853" t="s">
        <v>136</v>
      </c>
    </row>
    <row r="1854" spans="1:13">
      <c r="A1854" t="s">
        <v>3</v>
      </c>
      <c r="B1854" t="s">
        <v>419</v>
      </c>
    </row>
    <row r="1855" spans="1:13">
      <c r="A1855" t="s">
        <v>77</v>
      </c>
      <c r="B1855" s="2" t="s">
        <v>92</v>
      </c>
      <c r="C1855" t="s">
        <v>4</v>
      </c>
    </row>
    <row r="1856" spans="1:13">
      <c r="A1856" t="s">
        <v>0</v>
      </c>
      <c r="B1856" s="2">
        <f>SUM(TimeEntries410420424434[Time delta in h])</f>
        <v>29.211388888943475</v>
      </c>
      <c r="C1856" t="s">
        <v>4</v>
      </c>
    </row>
    <row r="1857" spans="1:13">
      <c r="A1857" t="s">
        <v>13</v>
      </c>
      <c r="B1857" s="5" t="s">
        <v>92</v>
      </c>
    </row>
    <row r="1858" spans="1:13">
      <c r="A1858" t="s">
        <v>14</v>
      </c>
      <c r="B1858" s="5" t="s">
        <v>18</v>
      </c>
    </row>
    <row r="1859" spans="1:13">
      <c r="A1859" t="s">
        <v>1</v>
      </c>
      <c r="B1859" t="s">
        <v>131</v>
      </c>
    </row>
    <row r="1860" spans="1:13">
      <c r="A1860" t="s">
        <v>15</v>
      </c>
      <c r="B1860" s="5">
        <v>44161.95275462963</v>
      </c>
    </row>
    <row r="1861" spans="1:13">
      <c r="A1861" t="s">
        <v>2</v>
      </c>
    </row>
    <row r="1862" spans="1:13">
      <c r="A1862" t="s">
        <v>46</v>
      </c>
      <c r="B1862" t="s">
        <v>417</v>
      </c>
    </row>
    <row r="1863" spans="1:13">
      <c r="A1863" t="s">
        <v>5</v>
      </c>
      <c r="B1863" s="2" t="e">
        <f>B1855/SUM(TimeEntries410420424434[Time delta in h])</f>
        <v>#VALUE!</v>
      </c>
      <c r="C1863" t="s">
        <v>6</v>
      </c>
    </row>
    <row r="1864" spans="1:13">
      <c r="A1864" t="s">
        <v>93</v>
      </c>
    </row>
    <row r="1865" spans="1:13">
      <c r="A1865" t="s">
        <v>94</v>
      </c>
    </row>
    <row r="1866" spans="1:13">
      <c r="A1866" t="s">
        <v>129</v>
      </c>
      <c r="B1866" s="1">
        <v>44161.952696759261</v>
      </c>
    </row>
    <row r="1868" spans="1:13">
      <c r="A1868" t="s">
        <v>10</v>
      </c>
      <c r="B1868" t="s">
        <v>7</v>
      </c>
      <c r="C1868" t="s">
        <v>8</v>
      </c>
      <c r="D1868" t="s">
        <v>9</v>
      </c>
      <c r="E1868" t="s">
        <v>134</v>
      </c>
      <c r="F1868" t="s">
        <v>84</v>
      </c>
      <c r="G1868" t="s">
        <v>85</v>
      </c>
      <c r="I1868" t="s">
        <v>70</v>
      </c>
      <c r="J1868" s="15" t="s">
        <v>68</v>
      </c>
      <c r="K1868" s="2" t="s">
        <v>69</v>
      </c>
      <c r="L1868" t="s">
        <v>71</v>
      </c>
      <c r="M1868" t="s">
        <v>72</v>
      </c>
    </row>
    <row r="1869" spans="1:13">
      <c r="A1869" t="s">
        <v>126</v>
      </c>
      <c r="B1869" s="1">
        <v>44160.735613425924</v>
      </c>
      <c r="C1869" s="1">
        <v>44161.95275462963</v>
      </c>
      <c r="D1869" s="2">
        <f>MAX((TimeEntries410420424434[[#This Row],[End time]]-TimeEntries410420424434[[#This Row],[Start time]])*24,0)</f>
        <v>29.211388888943475</v>
      </c>
      <c r="F1869" s="54" t="s">
        <v>184</v>
      </c>
      <c r="G1869" s="22" t="s">
        <v>185</v>
      </c>
      <c r="J1869" s="15"/>
      <c r="K1869" s="2"/>
      <c r="L1869" s="2">
        <f>SUM(TimeEntries410420424434[Time delta in h])</f>
        <v>29.211388888943475</v>
      </c>
      <c r="M1869" s="16">
        <f>Tabelle7367411421425435[[#This Row],[EBS self time]]/Tabelle7367411421425435[[#This Row],[Total time]]</f>
        <v>0</v>
      </c>
    </row>
    <row r="1870" spans="1:13">
      <c r="B1870" s="1"/>
      <c r="C1870" s="1"/>
      <c r="D1870" s="2"/>
    </row>
    <row r="1872" spans="1:13">
      <c r="A1872" t="s">
        <v>189</v>
      </c>
      <c r="B1872" t="s">
        <v>420</v>
      </c>
      <c r="C1872" t="s">
        <v>190</v>
      </c>
      <c r="D1872">
        <v>23</v>
      </c>
      <c r="E1872" t="s">
        <v>191</v>
      </c>
      <c r="F1872">
        <v>13</v>
      </c>
    </row>
    <row r="1873" spans="1:13">
      <c r="A1873" s="4" t="s">
        <v>24</v>
      </c>
      <c r="I1873" t="s">
        <v>135</v>
      </c>
      <c r="J1873" t="s">
        <v>136</v>
      </c>
    </row>
    <row r="1874" spans="1:13">
      <c r="A1874" t="s">
        <v>3</v>
      </c>
      <c r="B1874" t="s">
        <v>422</v>
      </c>
    </row>
    <row r="1875" spans="1:13">
      <c r="A1875" t="s">
        <v>77</v>
      </c>
      <c r="B1875" s="2">
        <v>5.0156087875366211</v>
      </c>
      <c r="C1875" t="s">
        <v>4</v>
      </c>
    </row>
    <row r="1876" spans="1:13">
      <c r="A1876" t="s">
        <v>0</v>
      </c>
      <c r="B1876" s="2">
        <f>SUM(TimeEntries426436[Time delta in h])</f>
        <v>0.16944444458931684</v>
      </c>
      <c r="C1876" t="s">
        <v>4</v>
      </c>
    </row>
    <row r="1877" spans="1:13">
      <c r="A1877" t="s">
        <v>13</v>
      </c>
      <c r="B1877" s="5" t="s">
        <v>92</v>
      </c>
    </row>
    <row r="1878" spans="1:13">
      <c r="A1878" t="s">
        <v>14</v>
      </c>
      <c r="B1878" s="5" t="s">
        <v>18</v>
      </c>
    </row>
    <row r="1879" spans="1:13">
      <c r="A1879" t="s">
        <v>1</v>
      </c>
      <c r="B1879" t="s">
        <v>91</v>
      </c>
    </row>
    <row r="1880" spans="1:13">
      <c r="A1880" t="s">
        <v>15</v>
      </c>
      <c r="B1880" s="5" t="s">
        <v>92</v>
      </c>
    </row>
    <row r="1881" spans="1:13">
      <c r="A1881" t="s">
        <v>2</v>
      </c>
    </row>
    <row r="1882" spans="1:13">
      <c r="A1882" t="s">
        <v>46</v>
      </c>
      <c r="B1882" t="s">
        <v>420</v>
      </c>
    </row>
    <row r="1883" spans="1:13">
      <c r="A1883" t="s">
        <v>5</v>
      </c>
      <c r="B1883" s="2">
        <f>B1875/SUM(TimeEntries426436[Time delta in h])</f>
        <v>29.600314130646016</v>
      </c>
      <c r="C1883" t="s">
        <v>6</v>
      </c>
    </row>
    <row r="1884" spans="1:13">
      <c r="A1884" t="s">
        <v>93</v>
      </c>
    </row>
    <row r="1885" spans="1:13">
      <c r="A1885" t="s">
        <v>94</v>
      </c>
    </row>
    <row r="1886" spans="1:13">
      <c r="A1886" t="s">
        <v>129</v>
      </c>
      <c r="B1886" s="1">
        <v>44161.952766203707</v>
      </c>
    </row>
    <row r="1888" spans="1:13">
      <c r="A1888" t="s">
        <v>10</v>
      </c>
      <c r="B1888" t="s">
        <v>7</v>
      </c>
      <c r="C1888" t="s">
        <v>8</v>
      </c>
      <c r="D1888" t="s">
        <v>9</v>
      </c>
      <c r="E1888" t="s">
        <v>134</v>
      </c>
      <c r="F1888" t="s">
        <v>84</v>
      </c>
      <c r="G1888" t="s">
        <v>85</v>
      </c>
      <c r="I1888" t="s">
        <v>70</v>
      </c>
      <c r="J1888" s="15" t="s">
        <v>68</v>
      </c>
      <c r="K1888" s="2" t="s">
        <v>69</v>
      </c>
      <c r="L1888" t="s">
        <v>71</v>
      </c>
      <c r="M1888" t="s">
        <v>72</v>
      </c>
    </row>
    <row r="1889" spans="1:13">
      <c r="A1889" t="s">
        <v>126</v>
      </c>
      <c r="B1889" s="1">
        <v>44161.945706018516</v>
      </c>
      <c r="C1889" s="1">
        <v>44161.952766203707</v>
      </c>
      <c r="D1889" s="2">
        <f>MAX((TimeEntries426436[[#This Row],[End time]]-TimeEntries426436[[#This Row],[Start time]])*24,0)</f>
        <v>0.16944444458931684</v>
      </c>
      <c r="F1889" s="54" t="s">
        <v>184</v>
      </c>
      <c r="G1889" s="22" t="s">
        <v>185</v>
      </c>
      <c r="I1889" t="s">
        <v>126</v>
      </c>
      <c r="J1889" s="15">
        <v>0.05</v>
      </c>
      <c r="K1889" s="2">
        <v>2.5078043937683105</v>
      </c>
      <c r="L1889" s="2">
        <f>SUM(TimeEntries426436[Time delta in h])</f>
        <v>0.16944444458931684</v>
      </c>
      <c r="M1889" s="16">
        <f>Tabelle7367427437[[#This Row],[EBS self time]]/Tabelle7367427437[[#This Row],[Total time]]</f>
        <v>14.800157065323008</v>
      </c>
    </row>
    <row r="1890" spans="1:13">
      <c r="B1890" s="1"/>
      <c r="C1890" s="1"/>
      <c r="D1890" s="2"/>
      <c r="I1890" t="s">
        <v>127</v>
      </c>
      <c r="J1890" s="15">
        <v>0.2</v>
      </c>
      <c r="K1890" s="2">
        <v>2.5078043937683105</v>
      </c>
      <c r="L1890" s="2">
        <f>SUM(TimeEntries426436[Time delta in h])</f>
        <v>0.16944444458931684</v>
      </c>
      <c r="M1890" s="16">
        <f>Tabelle7367427437[[#This Row],[EBS self time]]/Tabelle7367427437[[#This Row],[Total time]]</f>
        <v>14.800157065323008</v>
      </c>
    </row>
    <row r="1891" spans="1:13">
      <c r="I1891" t="s">
        <v>169</v>
      </c>
      <c r="J1891" s="15">
        <v>0.35</v>
      </c>
      <c r="K1891" s="2">
        <v>2.5078043937683105</v>
      </c>
      <c r="L1891" s="2">
        <f>SUM(TimeEntries426436[Time delta in h])</f>
        <v>0.16944444458931684</v>
      </c>
      <c r="M1891" s="16">
        <f>Tabelle7367427437[[#This Row],[EBS self time]]/Tabelle7367427437[[#This Row],[Total time]]</f>
        <v>14.800157065323008</v>
      </c>
    </row>
    <row r="1892" spans="1:13">
      <c r="I1892" t="s">
        <v>172</v>
      </c>
      <c r="J1892" s="15">
        <v>0.5</v>
      </c>
      <c r="K1892" s="2">
        <v>2.5078043937683105</v>
      </c>
      <c r="L1892" s="2">
        <f>SUM(TimeEntries426436[Time delta in h])</f>
        <v>0.16944444458931684</v>
      </c>
      <c r="M1892" s="16">
        <f>Tabelle7367427437[[#This Row],[EBS self time]]/Tabelle7367427437[[#This Row],[Total time]]</f>
        <v>14.800157065323008</v>
      </c>
    </row>
    <row r="1893" spans="1:13">
      <c r="I1893" t="s">
        <v>187</v>
      </c>
      <c r="J1893" s="15">
        <v>0.65</v>
      </c>
      <c r="K1893" s="2">
        <v>5.5730606556862847</v>
      </c>
      <c r="L1893" s="2">
        <f>SUM(TimeEntries426436[Time delta in h])</f>
        <v>0.16944444458931684</v>
      </c>
      <c r="M1893" s="16">
        <f>Tabelle7367427437[[#This Row],[EBS self time]]/Tabelle7367427437[[#This Row],[Total time]]</f>
        <v>32.890194005437792</v>
      </c>
    </row>
    <row r="1894" spans="1:13">
      <c r="I1894" t="s">
        <v>192</v>
      </c>
      <c r="J1894" s="15">
        <v>0.8</v>
      </c>
      <c r="K1894" s="2">
        <v>9.7201720688694202</v>
      </c>
      <c r="L1894" s="2">
        <f>SUM(TimeEntries426436[Time delta in h])</f>
        <v>0.16944444458931684</v>
      </c>
      <c r="M1894" s="16">
        <f>Tabelle7367427437[[#This Row],[EBS self time]]/Tabelle7367427437[[#This Row],[Total time]]</f>
        <v>57.364949865593047</v>
      </c>
    </row>
    <row r="1895" spans="1:13">
      <c r="I1895" t="s">
        <v>193</v>
      </c>
      <c r="J1895" s="15">
        <v>0.95</v>
      </c>
      <c r="K1895" s="2">
        <v>9.7201720688694202</v>
      </c>
      <c r="L1895" s="2">
        <f>SUM(TimeEntries426436[Time delta in h])</f>
        <v>0.16944444458931684</v>
      </c>
      <c r="M1895" s="16">
        <f>Tabelle7367427437[[#This Row],[EBS self time]]/Tabelle7367427437[[#This Row],[Total time]]</f>
        <v>57.364949865593047</v>
      </c>
    </row>
    <row r="1897" spans="1:13">
      <c r="A1897" t="s">
        <v>189</v>
      </c>
      <c r="B1897" t="s">
        <v>423</v>
      </c>
      <c r="C1897" t="s">
        <v>190</v>
      </c>
      <c r="D1897">
        <v>23</v>
      </c>
      <c r="E1897" t="s">
        <v>191</v>
      </c>
      <c r="F1897">
        <v>13</v>
      </c>
    </row>
    <row r="1898" spans="1:13">
      <c r="A1898" s="4" t="s">
        <v>24</v>
      </c>
      <c r="I1898" t="s">
        <v>135</v>
      </c>
      <c r="J1898" t="s">
        <v>136</v>
      </c>
    </row>
    <row r="1899" spans="1:13">
      <c r="A1899" t="s">
        <v>3</v>
      </c>
      <c r="B1899" t="s">
        <v>425</v>
      </c>
    </row>
    <row r="1900" spans="1:13">
      <c r="A1900" t="s">
        <v>77</v>
      </c>
      <c r="B1900" s="2">
        <v>1.4583930969238281</v>
      </c>
      <c r="C1900" t="s">
        <v>4</v>
      </c>
    </row>
    <row r="1901" spans="1:13">
      <c r="A1901" t="s">
        <v>0</v>
      </c>
      <c r="B1901" s="2">
        <f>SUM(TimeEntries428438[Time delta in h])</f>
        <v>15.616111111070495</v>
      </c>
      <c r="C1901" t="s">
        <v>4</v>
      </c>
    </row>
    <row r="1902" spans="1:13">
      <c r="A1902" t="s">
        <v>13</v>
      </c>
      <c r="B1902" s="5" t="s">
        <v>92</v>
      </c>
    </row>
    <row r="1903" spans="1:13">
      <c r="A1903" t="s">
        <v>14</v>
      </c>
      <c r="B1903" s="5" t="s">
        <v>18</v>
      </c>
    </row>
    <row r="1904" spans="1:13">
      <c r="A1904" t="s">
        <v>1</v>
      </c>
      <c r="B1904" t="s">
        <v>91</v>
      </c>
    </row>
    <row r="1905" spans="1:13">
      <c r="A1905" t="s">
        <v>15</v>
      </c>
      <c r="B1905" s="5" t="s">
        <v>92</v>
      </c>
    </row>
    <row r="1906" spans="1:13">
      <c r="A1906" t="s">
        <v>2</v>
      </c>
    </row>
    <row r="1907" spans="1:13">
      <c r="A1907" t="s">
        <v>46</v>
      </c>
      <c r="B1907" t="s">
        <v>423</v>
      </c>
    </row>
    <row r="1908" spans="1:13">
      <c r="A1908" t="s">
        <v>5</v>
      </c>
      <c r="B1908" s="2">
        <f>B1900/SUM(TimeEntries428438[Time delta in h])</f>
        <v>9.339028689991527E-2</v>
      </c>
      <c r="C1908" t="s">
        <v>6</v>
      </c>
    </row>
    <row r="1909" spans="1:13">
      <c r="A1909" t="s">
        <v>93</v>
      </c>
    </row>
    <row r="1910" spans="1:13">
      <c r="A1910" t="s">
        <v>94</v>
      </c>
    </row>
    <row r="1911" spans="1:13">
      <c r="A1911" t="s">
        <v>129</v>
      </c>
      <c r="B1911" s="1">
        <v>44161.952766203707</v>
      </c>
    </row>
    <row r="1913" spans="1:13">
      <c r="A1913" t="s">
        <v>10</v>
      </c>
      <c r="B1913" t="s">
        <v>7</v>
      </c>
      <c r="C1913" t="s">
        <v>8</v>
      </c>
      <c r="D1913" t="s">
        <v>9</v>
      </c>
      <c r="E1913" t="s">
        <v>134</v>
      </c>
      <c r="F1913" t="s">
        <v>84</v>
      </c>
      <c r="G1913" t="s">
        <v>85</v>
      </c>
      <c r="I1913" t="s">
        <v>70</v>
      </c>
      <c r="J1913" s="15" t="s">
        <v>68</v>
      </c>
      <c r="K1913" s="2" t="s">
        <v>69</v>
      </c>
      <c r="L1913" t="s">
        <v>71</v>
      </c>
      <c r="M1913" t="s">
        <v>72</v>
      </c>
    </row>
    <row r="1914" spans="1:13">
      <c r="A1914" t="s">
        <v>126</v>
      </c>
      <c r="B1914" s="1">
        <v>44161.302106481482</v>
      </c>
      <c r="C1914" s="1">
        <v>44161.952777777777</v>
      </c>
      <c r="D1914" s="2">
        <f>MAX((TimeEntries428438[[#This Row],[End time]]-TimeEntries428438[[#This Row],[Start time]])*24,0)</f>
        <v>15.616111111070495</v>
      </c>
      <c r="F1914" s="54" t="s">
        <v>184</v>
      </c>
      <c r="G1914" s="22" t="s">
        <v>185</v>
      </c>
      <c r="I1914" t="s">
        <v>126</v>
      </c>
      <c r="J1914" s="15">
        <v>0.05</v>
      </c>
      <c r="K1914" s="2">
        <v>0.72919654846191406</v>
      </c>
      <c r="L1914" s="2">
        <f>SUM(TimeEntries428438[Time delta in h])</f>
        <v>15.616111111070495</v>
      </c>
      <c r="M1914" s="16">
        <f>Tabelle7367429439[[#This Row],[EBS self time]]/Tabelle7367429439[[#This Row],[Total time]]</f>
        <v>4.6695143449957635E-2</v>
      </c>
    </row>
    <row r="1915" spans="1:13">
      <c r="B1915" s="1"/>
      <c r="C1915" s="1"/>
      <c r="D1915" s="2"/>
      <c r="I1915" t="s">
        <v>127</v>
      </c>
      <c r="J1915" s="15">
        <v>0.2</v>
      </c>
      <c r="K1915" s="2">
        <v>0.72919654846191406</v>
      </c>
      <c r="L1915" s="2">
        <f>SUM(TimeEntries428438[Time delta in h])</f>
        <v>15.616111111070495</v>
      </c>
      <c r="M1915" s="16">
        <f>Tabelle7367429439[[#This Row],[EBS self time]]/Tabelle7367429439[[#This Row],[Total time]]</f>
        <v>4.6695143449957635E-2</v>
      </c>
    </row>
    <row r="1916" spans="1:13">
      <c r="I1916" t="s">
        <v>169</v>
      </c>
      <c r="J1916" s="15">
        <v>0.35</v>
      </c>
      <c r="K1916" s="2">
        <v>0.72919654846191406</v>
      </c>
      <c r="L1916" s="2">
        <f>SUM(TimeEntries428438[Time delta in h])</f>
        <v>15.616111111070495</v>
      </c>
      <c r="M1916" s="16">
        <f>Tabelle7367429439[[#This Row],[EBS self time]]/Tabelle7367429439[[#This Row],[Total time]]</f>
        <v>4.6695143449957635E-2</v>
      </c>
    </row>
    <row r="1917" spans="1:13">
      <c r="I1917" t="s">
        <v>172</v>
      </c>
      <c r="J1917" s="15">
        <v>0.5</v>
      </c>
      <c r="K1917" s="2">
        <v>0.72919654846191406</v>
      </c>
      <c r="L1917" s="2">
        <f>SUM(TimeEntries428438[Time delta in h])</f>
        <v>15.616111111070495</v>
      </c>
      <c r="M1917" s="16">
        <f>Tabelle7367429439[[#This Row],[EBS self time]]/Tabelle7367429439[[#This Row],[Total time]]</f>
        <v>4.6695143449957635E-2</v>
      </c>
    </row>
    <row r="1918" spans="1:13">
      <c r="I1918" t="s">
        <v>187</v>
      </c>
      <c r="J1918" s="15">
        <v>0.65</v>
      </c>
      <c r="K1918" s="2">
        <v>0.72919654846191406</v>
      </c>
      <c r="L1918" s="2">
        <f>SUM(TimeEntries428438[Time delta in h])</f>
        <v>15.616111111070495</v>
      </c>
      <c r="M1918" s="16">
        <f>Tabelle7367429439[[#This Row],[EBS self time]]/Tabelle7367429439[[#This Row],[Total time]]</f>
        <v>4.6695143449957635E-2</v>
      </c>
    </row>
    <row r="1919" spans="1:13">
      <c r="I1919" t="s">
        <v>192</v>
      </c>
      <c r="J1919" s="15">
        <v>0.8</v>
      </c>
      <c r="K1919" s="2">
        <v>0.93891121472499395</v>
      </c>
      <c r="L1919" s="2">
        <f>SUM(TimeEntries428438[Time delta in h])</f>
        <v>15.616111111070495</v>
      </c>
      <c r="M1919" s="16">
        <f>Tabelle7367429439[[#This Row],[EBS self time]]/Tabelle7367429439[[#This Row],[Total time]]</f>
        <v>6.0124521915023113E-2</v>
      </c>
    </row>
    <row r="1920" spans="1:13">
      <c r="I1920" t="s">
        <v>193</v>
      </c>
      <c r="J1920" s="15">
        <v>0.95</v>
      </c>
      <c r="K1920" s="2">
        <v>2.82634321109269</v>
      </c>
      <c r="L1920" s="2">
        <f>SUM(TimeEntries428438[Time delta in h])</f>
        <v>15.616111111070495</v>
      </c>
      <c r="M1920" s="16">
        <f>Tabelle7367429439[[#This Row],[EBS self time]]/Tabelle7367429439[[#This Row],[Total time]]</f>
        <v>0.18098892810061099</v>
      </c>
    </row>
    <row r="1922" spans="1:10">
      <c r="A1922" t="s">
        <v>189</v>
      </c>
      <c r="B1922" t="s">
        <v>426</v>
      </c>
      <c r="C1922" t="s">
        <v>190</v>
      </c>
      <c r="D1922">
        <v>18</v>
      </c>
      <c r="E1922" t="s">
        <v>191</v>
      </c>
      <c r="F1922">
        <v>13</v>
      </c>
    </row>
    <row r="1923" spans="1:10">
      <c r="A1923" s="4" t="s">
        <v>24</v>
      </c>
      <c r="I1923" t="s">
        <v>135</v>
      </c>
      <c r="J1923" t="s">
        <v>136</v>
      </c>
    </row>
    <row r="1924" spans="1:10">
      <c r="A1924" t="s">
        <v>3</v>
      </c>
      <c r="B1924" t="s">
        <v>428</v>
      </c>
    </row>
    <row r="1925" spans="1:10">
      <c r="A1925" t="s">
        <v>77</v>
      </c>
      <c r="B1925" s="2" t="s">
        <v>92</v>
      </c>
      <c r="C1925" t="s">
        <v>4</v>
      </c>
    </row>
    <row r="1926" spans="1:10">
      <c r="A1926" t="s">
        <v>0</v>
      </c>
      <c r="B1926" s="2">
        <f>SUM(TimeEntries430440[Time delta in h])</f>
        <v>6.8808333333581686</v>
      </c>
      <c r="C1926" t="s">
        <v>4</v>
      </c>
    </row>
    <row r="1927" spans="1:10">
      <c r="A1927" t="s">
        <v>13</v>
      </c>
      <c r="B1927" s="5" t="s">
        <v>92</v>
      </c>
    </row>
    <row r="1928" spans="1:10">
      <c r="A1928" t="s">
        <v>14</v>
      </c>
      <c r="B1928" s="5" t="s">
        <v>18</v>
      </c>
    </row>
    <row r="1929" spans="1:10">
      <c r="A1929" t="s">
        <v>1</v>
      </c>
      <c r="B1929" t="s">
        <v>91</v>
      </c>
    </row>
    <row r="1930" spans="1:10">
      <c r="A1930" t="s">
        <v>15</v>
      </c>
      <c r="B1930" s="5" t="s">
        <v>92</v>
      </c>
    </row>
    <row r="1931" spans="1:10">
      <c r="A1931" t="s">
        <v>2</v>
      </c>
    </row>
    <row r="1932" spans="1:10">
      <c r="A1932" t="s">
        <v>46</v>
      </c>
      <c r="B1932" t="s">
        <v>426</v>
      </c>
    </row>
    <row r="1933" spans="1:10">
      <c r="A1933" t="s">
        <v>5</v>
      </c>
      <c r="B1933" s="2" t="e">
        <f>B1925/SUM(TimeEntries430440[Time delta in h])</f>
        <v>#VALUE!</v>
      </c>
      <c r="C1933" t="s">
        <v>6</v>
      </c>
    </row>
    <row r="1934" spans="1:10">
      <c r="A1934" t="s">
        <v>93</v>
      </c>
    </row>
    <row r="1935" spans="1:10">
      <c r="A1935" t="s">
        <v>94</v>
      </c>
    </row>
    <row r="1936" spans="1:10">
      <c r="A1936" t="s">
        <v>129</v>
      </c>
      <c r="B1936" s="1">
        <v>44161.952777777777</v>
      </c>
    </row>
    <row r="1938" spans="1:13">
      <c r="A1938" t="s">
        <v>10</v>
      </c>
      <c r="B1938" t="s">
        <v>7</v>
      </c>
      <c r="C1938" t="s">
        <v>8</v>
      </c>
      <c r="D1938" t="s">
        <v>9</v>
      </c>
      <c r="E1938" t="s">
        <v>134</v>
      </c>
      <c r="F1938" t="s">
        <v>84</v>
      </c>
      <c r="G1938" t="s">
        <v>85</v>
      </c>
      <c r="I1938" t="s">
        <v>70</v>
      </c>
      <c r="J1938" s="15" t="s">
        <v>68</v>
      </c>
      <c r="K1938" s="2" t="s">
        <v>69</v>
      </c>
      <c r="L1938" t="s">
        <v>71</v>
      </c>
      <c r="M1938" t="s">
        <v>72</v>
      </c>
    </row>
    <row r="1939" spans="1:13">
      <c r="A1939" t="s">
        <v>126</v>
      </c>
      <c r="B1939" s="1">
        <v>44161.666087962964</v>
      </c>
      <c r="C1939" s="1">
        <v>44161.952789351853</v>
      </c>
      <c r="D1939" s="2">
        <f>MAX((TimeEntries430440[[#This Row],[End time]]-TimeEntries430440[[#This Row],[Start time]])*24,0)</f>
        <v>6.8808333333581686</v>
      </c>
      <c r="F1939" s="54" t="s">
        <v>184</v>
      </c>
      <c r="G1939" s="22" t="s">
        <v>185</v>
      </c>
      <c r="J1939" s="15"/>
      <c r="K1939" s="2"/>
      <c r="L1939" s="2">
        <f>SUM(TimeEntries430440[Time delta in h])</f>
        <v>6.8808333333581686</v>
      </c>
      <c r="M1939" s="16">
        <f>Tabelle7367431441[[#This Row],[EBS self time]]/Tabelle7367431441[[#This Row],[Total time]]</f>
        <v>0</v>
      </c>
    </row>
    <row r="1940" spans="1:13">
      <c r="B1940" s="1"/>
      <c r="C1940" s="1"/>
      <c r="D1940" s="2"/>
    </row>
    <row r="1942" spans="1:13">
      <c r="A1942" t="s">
        <v>189</v>
      </c>
      <c r="B1942" t="s">
        <v>429</v>
      </c>
      <c r="C1942" t="s">
        <v>190</v>
      </c>
      <c r="D1942">
        <v>23</v>
      </c>
      <c r="E1942" t="s">
        <v>191</v>
      </c>
      <c r="F1942">
        <v>13</v>
      </c>
    </row>
    <row r="1943" spans="1:13">
      <c r="A1943" s="4" t="s">
        <v>24</v>
      </c>
      <c r="I1943" t="s">
        <v>135</v>
      </c>
      <c r="J1943" t="s">
        <v>136</v>
      </c>
    </row>
    <row r="1944" spans="1:13">
      <c r="A1944" t="s">
        <v>3</v>
      </c>
      <c r="B1944" t="s">
        <v>431</v>
      </c>
    </row>
    <row r="1945" spans="1:13">
      <c r="A1945" t="s">
        <v>77</v>
      </c>
      <c r="B1945" s="2">
        <v>15.558487892150879</v>
      </c>
      <c r="C1945" t="s">
        <v>4</v>
      </c>
    </row>
    <row r="1946" spans="1:13">
      <c r="A1946" t="s">
        <v>0</v>
      </c>
      <c r="B1946" s="2">
        <f>SUM(TimeEntries432442446456[Time delta in h])</f>
        <v>25.041111111058854</v>
      </c>
      <c r="C1946" t="s">
        <v>4</v>
      </c>
    </row>
    <row r="1947" spans="1:13">
      <c r="A1947" t="s">
        <v>13</v>
      </c>
      <c r="B1947" s="5" t="s">
        <v>92</v>
      </c>
    </row>
    <row r="1948" spans="1:13">
      <c r="A1948" t="s">
        <v>14</v>
      </c>
      <c r="B1948" s="5" t="s">
        <v>18</v>
      </c>
    </row>
    <row r="1949" spans="1:13">
      <c r="A1949" t="s">
        <v>1</v>
      </c>
      <c r="B1949" t="s">
        <v>131</v>
      </c>
    </row>
    <row r="1950" spans="1:13">
      <c r="A1950" t="s">
        <v>15</v>
      </c>
      <c r="B1950" s="5">
        <v>44161.952835648146</v>
      </c>
    </row>
    <row r="1951" spans="1:13">
      <c r="A1951" t="s">
        <v>2</v>
      </c>
    </row>
    <row r="1952" spans="1:13">
      <c r="A1952" t="s">
        <v>46</v>
      </c>
      <c r="B1952" t="s">
        <v>429</v>
      </c>
    </row>
    <row r="1953" spans="1:13">
      <c r="A1953" t="s">
        <v>5</v>
      </c>
      <c r="B1953" s="2">
        <f>B1945/SUM(TimeEntries432442446456[Time delta in h])</f>
        <v>0.62131779309424562</v>
      </c>
      <c r="C1953" t="s">
        <v>6</v>
      </c>
    </row>
    <row r="1954" spans="1:13">
      <c r="A1954" t="s">
        <v>93</v>
      </c>
    </row>
    <row r="1955" spans="1:13">
      <c r="A1955" t="s">
        <v>94</v>
      </c>
    </row>
    <row r="1956" spans="1:13">
      <c r="A1956" t="s">
        <v>129</v>
      </c>
      <c r="B1956" s="1">
        <v>44161.952789351853</v>
      </c>
    </row>
    <row r="1958" spans="1:13">
      <c r="A1958" t="s">
        <v>10</v>
      </c>
      <c r="B1958" t="s">
        <v>7</v>
      </c>
      <c r="C1958" t="s">
        <v>8</v>
      </c>
      <c r="D1958" t="s">
        <v>9</v>
      </c>
      <c r="E1958" t="s">
        <v>134</v>
      </c>
      <c r="F1958" t="s">
        <v>84</v>
      </c>
      <c r="G1958" t="s">
        <v>85</v>
      </c>
      <c r="I1958" t="s">
        <v>70</v>
      </c>
      <c r="J1958" s="15" t="s">
        <v>68</v>
      </c>
      <c r="K1958" s="2" t="s">
        <v>69</v>
      </c>
      <c r="L1958" t="s">
        <v>71</v>
      </c>
      <c r="M1958" t="s">
        <v>72</v>
      </c>
    </row>
    <row r="1959" spans="1:13">
      <c r="A1959" t="s">
        <v>126</v>
      </c>
      <c r="B1959" s="1">
        <v>44160.909456018519</v>
      </c>
      <c r="C1959" s="1">
        <v>44161.952835648146</v>
      </c>
      <c r="D1959" s="2">
        <f>MAX((TimeEntries432442446456[[#This Row],[End time]]-TimeEntries432442446456[[#This Row],[Start time]])*24,0)</f>
        <v>25.041111111058854</v>
      </c>
      <c r="F1959" s="54" t="s">
        <v>184</v>
      </c>
      <c r="G1959" s="22" t="s">
        <v>185</v>
      </c>
      <c r="I1959" t="s">
        <v>126</v>
      </c>
      <c r="J1959" s="15">
        <v>0.05</v>
      </c>
      <c r="K1959" s="2">
        <v>7.7792439460754395</v>
      </c>
      <c r="L1959" s="2">
        <f>SUM(TimeEntries432442446456[Time delta in h])</f>
        <v>25.041111111058854</v>
      </c>
      <c r="M1959" s="16">
        <f>Tabelle7367433443447457[[#This Row],[EBS self time]]/Tabelle7367433443447457[[#This Row],[Total time]]</f>
        <v>0.31065889654712281</v>
      </c>
    </row>
    <row r="1960" spans="1:13">
      <c r="B1960" s="1"/>
      <c r="C1960" s="1"/>
      <c r="D1960" s="2"/>
      <c r="I1960" t="s">
        <v>127</v>
      </c>
      <c r="J1960" s="15">
        <v>0.2</v>
      </c>
      <c r="K1960" s="2">
        <v>7.7792439460754395</v>
      </c>
      <c r="L1960" s="2">
        <f>SUM(TimeEntries432442446456[Time delta in h])</f>
        <v>25.041111111058854</v>
      </c>
      <c r="M1960" s="16">
        <f>Tabelle7367433443447457[[#This Row],[EBS self time]]/Tabelle7367433443447457[[#This Row],[Total time]]</f>
        <v>0.31065889654712281</v>
      </c>
    </row>
    <row r="1961" spans="1:13">
      <c r="I1961" t="s">
        <v>169</v>
      </c>
      <c r="J1961" s="15">
        <v>0.35</v>
      </c>
      <c r="K1961" s="2">
        <v>7.7792439460754395</v>
      </c>
      <c r="L1961" s="2">
        <f>SUM(TimeEntries432442446456[Time delta in h])</f>
        <v>25.041111111058854</v>
      </c>
      <c r="M1961" s="16">
        <f>Tabelle7367433443447457[[#This Row],[EBS self time]]/Tabelle7367433443447457[[#This Row],[Total time]]</f>
        <v>0.31065889654712281</v>
      </c>
    </row>
    <row r="1962" spans="1:13">
      <c r="I1962" t="s">
        <v>172</v>
      </c>
      <c r="J1962" s="15">
        <v>0.5</v>
      </c>
      <c r="K1962" s="2">
        <v>7.7792439460754395</v>
      </c>
      <c r="L1962" s="2">
        <f>SUM(TimeEntries432442446456[Time delta in h])</f>
        <v>25.041111111058854</v>
      </c>
      <c r="M1962" s="16">
        <f>Tabelle7367433443447457[[#This Row],[EBS self time]]/Tabelle7367433443447457[[#This Row],[Total time]]</f>
        <v>0.31065889654712281</v>
      </c>
    </row>
    <row r="1963" spans="1:13">
      <c r="I1963" t="s">
        <v>187</v>
      </c>
      <c r="J1963" s="15">
        <v>0.65</v>
      </c>
      <c r="K1963" s="2">
        <v>17.287711304195174</v>
      </c>
      <c r="L1963" s="2">
        <f>SUM(TimeEntries432442446456[Time delta in h])</f>
        <v>25.041111111058854</v>
      </c>
      <c r="M1963" s="16">
        <f>Tabelle7367433443447457[[#This Row],[EBS self time]]/Tabelle7367433443447457[[#This Row],[Total time]]</f>
        <v>0.69037317184222058</v>
      </c>
    </row>
    <row r="1964" spans="1:13">
      <c r="I1964" t="s">
        <v>192</v>
      </c>
      <c r="J1964" s="15">
        <v>0.8</v>
      </c>
      <c r="K1964" s="2">
        <v>30.152108318121858</v>
      </c>
      <c r="L1964" s="2">
        <f>SUM(TimeEntries432442446456[Time delta in h])</f>
        <v>25.041111111058854</v>
      </c>
      <c r="M1964" s="16">
        <f>Tabelle7367433443447457[[#This Row],[EBS self time]]/Tabelle7367433443447457[[#This Row],[Total time]]</f>
        <v>1.2041042501826464</v>
      </c>
    </row>
    <row r="1965" spans="1:13">
      <c r="I1965" t="s">
        <v>193</v>
      </c>
      <c r="J1965" s="15">
        <v>0.95</v>
      </c>
      <c r="K1965" s="2">
        <v>30.152108318121858</v>
      </c>
      <c r="L1965" s="2">
        <f>SUM(TimeEntries432442446456[Time delta in h])</f>
        <v>25.041111111058854</v>
      </c>
      <c r="M1965" s="16">
        <f>Tabelle7367433443447457[[#This Row],[EBS self time]]/Tabelle7367433443447457[[#This Row],[Total time]]</f>
        <v>1.2041042501826464</v>
      </c>
    </row>
    <row r="1967" spans="1:13">
      <c r="A1967" t="s">
        <v>189</v>
      </c>
      <c r="B1967" t="s">
        <v>432</v>
      </c>
      <c r="C1967" t="s">
        <v>190</v>
      </c>
      <c r="D1967">
        <v>23</v>
      </c>
      <c r="E1967" t="s">
        <v>191</v>
      </c>
      <c r="F1967">
        <v>13</v>
      </c>
    </row>
    <row r="1968" spans="1:13">
      <c r="A1968" s="4" t="s">
        <v>24</v>
      </c>
      <c r="I1968" t="s">
        <v>135</v>
      </c>
      <c r="J1968" t="s">
        <v>136</v>
      </c>
    </row>
    <row r="1969" spans="1:13">
      <c r="A1969" t="s">
        <v>3</v>
      </c>
      <c r="B1969" t="s">
        <v>434</v>
      </c>
    </row>
    <row r="1970" spans="1:13">
      <c r="A1970" t="s">
        <v>77</v>
      </c>
      <c r="B1970" s="2">
        <v>12.823270797729492</v>
      </c>
      <c r="C1970" t="s">
        <v>4</v>
      </c>
    </row>
    <row r="1971" spans="1:13">
      <c r="A1971" t="s">
        <v>0</v>
      </c>
      <c r="B1971" s="2">
        <f>SUM(TimeEntries448458[Time delta in h])</f>
        <v>23.258888888871297</v>
      </c>
      <c r="C1971" t="s">
        <v>4</v>
      </c>
    </row>
    <row r="1972" spans="1:13">
      <c r="A1972" t="s">
        <v>13</v>
      </c>
      <c r="B1972" s="5" t="s">
        <v>92</v>
      </c>
    </row>
    <row r="1973" spans="1:13">
      <c r="A1973" t="s">
        <v>14</v>
      </c>
      <c r="B1973" s="5" t="s">
        <v>18</v>
      </c>
    </row>
    <row r="1974" spans="1:13">
      <c r="A1974" t="s">
        <v>1</v>
      </c>
      <c r="B1974" t="s">
        <v>91</v>
      </c>
    </row>
    <row r="1975" spans="1:13">
      <c r="A1975" t="s">
        <v>15</v>
      </c>
      <c r="B1975" s="5" t="s">
        <v>92</v>
      </c>
    </row>
    <row r="1976" spans="1:13">
      <c r="A1976" t="s">
        <v>2</v>
      </c>
    </row>
    <row r="1977" spans="1:13">
      <c r="A1977" t="s">
        <v>46</v>
      </c>
      <c r="B1977" t="s">
        <v>432</v>
      </c>
    </row>
    <row r="1978" spans="1:13">
      <c r="A1978" t="s">
        <v>5</v>
      </c>
      <c r="B1978" s="2">
        <f>B1970/SUM(TimeEntries448458[Time delta in h])</f>
        <v>0.55132774652296712</v>
      </c>
      <c r="C1978" t="s">
        <v>6</v>
      </c>
    </row>
    <row r="1979" spans="1:13">
      <c r="A1979" t="s">
        <v>93</v>
      </c>
    </row>
    <row r="1980" spans="1:13">
      <c r="A1980" t="s">
        <v>94</v>
      </c>
    </row>
    <row r="1981" spans="1:13">
      <c r="A1981" t="s">
        <v>129</v>
      </c>
      <c r="B1981" s="1">
        <v>44161.952847222223</v>
      </c>
    </row>
    <row r="1983" spans="1:13">
      <c r="A1983" t="s">
        <v>10</v>
      </c>
      <c r="B1983" t="s">
        <v>7</v>
      </c>
      <c r="C1983" t="s">
        <v>8</v>
      </c>
      <c r="D1983" t="s">
        <v>9</v>
      </c>
      <c r="E1983" t="s">
        <v>134</v>
      </c>
      <c r="F1983" t="s">
        <v>84</v>
      </c>
      <c r="G1983" t="s">
        <v>85</v>
      </c>
      <c r="I1983" t="s">
        <v>70</v>
      </c>
      <c r="J1983" s="15" t="s">
        <v>68</v>
      </c>
      <c r="K1983" s="2" t="s">
        <v>69</v>
      </c>
      <c r="L1983" t="s">
        <v>71</v>
      </c>
      <c r="M1983" t="s">
        <v>72</v>
      </c>
    </row>
    <row r="1984" spans="1:13">
      <c r="A1984" t="s">
        <v>126</v>
      </c>
      <c r="B1984" s="1">
        <v>44160.983726851853</v>
      </c>
      <c r="C1984" s="1">
        <v>44161.952847222223</v>
      </c>
      <c r="D1984" s="2">
        <f>MAX((TimeEntries448458[[#This Row],[End time]]-TimeEntries448458[[#This Row],[Start time]])*24,0)</f>
        <v>23.258888888871297</v>
      </c>
      <c r="F1984" s="54" t="s">
        <v>184</v>
      </c>
      <c r="G1984" s="22" t="s">
        <v>185</v>
      </c>
      <c r="I1984" t="s">
        <v>126</v>
      </c>
      <c r="J1984" s="15">
        <v>0.05</v>
      </c>
      <c r="K1984" s="2">
        <v>6.4116353988647461</v>
      </c>
      <c r="L1984" s="2">
        <f>SUM(TimeEntries448458[Time delta in h])</f>
        <v>23.258888888871297</v>
      </c>
      <c r="M1984" s="16">
        <f>Tabelle7367449459[[#This Row],[EBS self time]]/Tabelle7367449459[[#This Row],[Total time]]</f>
        <v>0.27566387326148356</v>
      </c>
    </row>
    <row r="1985" spans="1:13">
      <c r="B1985" s="1"/>
      <c r="C1985" s="1"/>
      <c r="D1985" s="2"/>
      <c r="I1985" t="s">
        <v>127</v>
      </c>
      <c r="J1985" s="15">
        <v>0.2</v>
      </c>
      <c r="K1985" s="2">
        <v>6.4116353988647461</v>
      </c>
      <c r="L1985" s="2">
        <f>SUM(TimeEntries448458[Time delta in h])</f>
        <v>23.258888888871297</v>
      </c>
      <c r="M1985" s="16">
        <f>Tabelle7367449459[[#This Row],[EBS self time]]/Tabelle7367449459[[#This Row],[Total time]]</f>
        <v>0.27566387326148356</v>
      </c>
    </row>
    <row r="1986" spans="1:13">
      <c r="I1986" t="s">
        <v>169</v>
      </c>
      <c r="J1986" s="15">
        <v>0.35</v>
      </c>
      <c r="K1986" s="2">
        <v>6.4116353988647461</v>
      </c>
      <c r="L1986" s="2">
        <f>SUM(TimeEntries448458[Time delta in h])</f>
        <v>23.258888888871297</v>
      </c>
      <c r="M1986" s="16">
        <f>Tabelle7367449459[[#This Row],[EBS self time]]/Tabelle7367449459[[#This Row],[Total time]]</f>
        <v>0.27566387326148356</v>
      </c>
    </row>
    <row r="1987" spans="1:13">
      <c r="I1987" t="s">
        <v>172</v>
      </c>
      <c r="J1987" s="15">
        <v>0.5</v>
      </c>
      <c r="K1987" s="2">
        <v>6.4116353988647461</v>
      </c>
      <c r="L1987" s="2">
        <f>SUM(TimeEntries448458[Time delta in h])</f>
        <v>23.258888888871297</v>
      </c>
      <c r="M1987" s="16">
        <f>Tabelle7367449459[[#This Row],[EBS self time]]/Tabelle7367449459[[#This Row],[Total time]]</f>
        <v>0.27566387326148356</v>
      </c>
    </row>
    <row r="1988" spans="1:13">
      <c r="I1988" t="s">
        <v>187</v>
      </c>
      <c r="J1988" s="15">
        <v>0.65</v>
      </c>
      <c r="K1988" s="2">
        <v>6.4116353988647461</v>
      </c>
      <c r="L1988" s="2">
        <f>SUM(TimeEntries448458[Time delta in h])</f>
        <v>23.258888888871297</v>
      </c>
      <c r="M1988" s="16">
        <f>Tabelle7367449459[[#This Row],[EBS self time]]/Tabelle7367449459[[#This Row],[Total time]]</f>
        <v>0.27566387326148356</v>
      </c>
    </row>
    <row r="1989" spans="1:13">
      <c r="I1989" t="s">
        <v>192</v>
      </c>
      <c r="J1989" s="15">
        <v>0.8</v>
      </c>
      <c r="K1989" s="2">
        <v>24.851299995599792</v>
      </c>
      <c r="L1989" s="2">
        <f>SUM(TimeEntries448458[Time delta in h])</f>
        <v>23.258888888871297</v>
      </c>
      <c r="M1989" s="16">
        <f>Tabelle7367449459[[#This Row],[EBS self time]]/Tabelle7367449459[[#This Row],[Total time]]</f>
        <v>1.06846462504451</v>
      </c>
    </row>
    <row r="1990" spans="1:13">
      <c r="I1990" t="s">
        <v>193</v>
      </c>
      <c r="J1990" s="15">
        <v>0.95</v>
      </c>
      <c r="K1990" s="2">
        <v>24.851299995599792</v>
      </c>
      <c r="L1990" s="2">
        <f>SUM(TimeEntries448458[Time delta in h])</f>
        <v>23.258888888871297</v>
      </c>
      <c r="M1990" s="16">
        <f>Tabelle7367449459[[#This Row],[EBS self time]]/Tabelle7367449459[[#This Row],[Total time]]</f>
        <v>1.06846462504451</v>
      </c>
    </row>
    <row r="1992" spans="1:13">
      <c r="A1992" t="s">
        <v>189</v>
      </c>
      <c r="B1992" t="s">
        <v>435</v>
      </c>
      <c r="C1992" t="s">
        <v>190</v>
      </c>
      <c r="D1992">
        <v>23</v>
      </c>
      <c r="E1992" t="s">
        <v>191</v>
      </c>
      <c r="F1992">
        <v>13</v>
      </c>
    </row>
    <row r="1993" spans="1:13">
      <c r="A1993" s="4" t="s">
        <v>24</v>
      </c>
      <c r="I1993" t="s">
        <v>135</v>
      </c>
      <c r="J1993" t="s">
        <v>136</v>
      </c>
    </row>
    <row r="1994" spans="1:13">
      <c r="A1994" t="s">
        <v>3</v>
      </c>
      <c r="B1994" t="s">
        <v>437</v>
      </c>
    </row>
    <row r="1995" spans="1:13">
      <c r="A1995" t="s">
        <v>77</v>
      </c>
      <c r="B1995" s="2">
        <v>0.98322963714599609</v>
      </c>
      <c r="C1995" t="s">
        <v>4</v>
      </c>
    </row>
    <row r="1996" spans="1:13">
      <c r="A1996" t="s">
        <v>0</v>
      </c>
      <c r="B1996" s="2">
        <f>SUM(TimeEntries450460[Time delta in h])</f>
        <v>13.051111111126374</v>
      </c>
      <c r="C1996" t="s">
        <v>4</v>
      </c>
    </row>
    <row r="1997" spans="1:13">
      <c r="A1997" t="s">
        <v>13</v>
      </c>
      <c r="B1997" s="5" t="s">
        <v>92</v>
      </c>
    </row>
    <row r="1998" spans="1:13">
      <c r="A1998" t="s">
        <v>14</v>
      </c>
      <c r="B1998" s="5" t="s">
        <v>18</v>
      </c>
    </row>
    <row r="1999" spans="1:13">
      <c r="A1999" t="s">
        <v>1</v>
      </c>
      <c r="B1999" t="s">
        <v>91</v>
      </c>
    </row>
    <row r="2000" spans="1:13">
      <c r="A2000" t="s">
        <v>15</v>
      </c>
      <c r="B2000" s="5" t="s">
        <v>92</v>
      </c>
    </row>
    <row r="2001" spans="1:13">
      <c r="A2001" t="s">
        <v>2</v>
      </c>
    </row>
    <row r="2002" spans="1:13">
      <c r="A2002" t="s">
        <v>46</v>
      </c>
      <c r="B2002" t="s">
        <v>435</v>
      </c>
    </row>
    <row r="2003" spans="1:13">
      <c r="A2003" t="s">
        <v>5</v>
      </c>
      <c r="B2003" s="2">
        <f>B1995/SUM(TimeEntries450460[Time delta in h])</f>
        <v>7.5336852837592505E-2</v>
      </c>
      <c r="C2003" t="s">
        <v>6</v>
      </c>
    </row>
    <row r="2004" spans="1:13">
      <c r="A2004" t="s">
        <v>93</v>
      </c>
    </row>
    <row r="2005" spans="1:13">
      <c r="A2005" t="s">
        <v>94</v>
      </c>
    </row>
    <row r="2006" spans="1:13">
      <c r="A2006" t="s">
        <v>129</v>
      </c>
      <c r="B2006" s="1">
        <v>44161.9528587963</v>
      </c>
    </row>
    <row r="2008" spans="1:13">
      <c r="A2008" t="s">
        <v>10</v>
      </c>
      <c r="B2008" t="s">
        <v>7</v>
      </c>
      <c r="C2008" t="s">
        <v>8</v>
      </c>
      <c r="D2008" t="s">
        <v>9</v>
      </c>
      <c r="E2008" t="s">
        <v>134</v>
      </c>
      <c r="F2008" t="s">
        <v>84</v>
      </c>
      <c r="G2008" t="s">
        <v>85</v>
      </c>
      <c r="I2008" t="s">
        <v>70</v>
      </c>
      <c r="J2008" s="15" t="s">
        <v>68</v>
      </c>
      <c r="K2008" s="2" t="s">
        <v>69</v>
      </c>
      <c r="L2008" t="s">
        <v>71</v>
      </c>
      <c r="M2008" t="s">
        <v>72</v>
      </c>
    </row>
    <row r="2009" spans="1:13">
      <c r="A2009" t="s">
        <v>126</v>
      </c>
      <c r="B2009" s="1">
        <v>44161.409062500003</v>
      </c>
      <c r="C2009" s="1">
        <v>44161.9528587963</v>
      </c>
      <c r="D2009" s="2">
        <f>MAX((TimeEntries450460[[#This Row],[End time]]-TimeEntries450460[[#This Row],[Start time]])*24,0)</f>
        <v>13.051111111126374</v>
      </c>
      <c r="F2009" s="54" t="s">
        <v>184</v>
      </c>
      <c r="G2009" s="22" t="s">
        <v>185</v>
      </c>
      <c r="I2009" t="s">
        <v>126</v>
      </c>
      <c r="J2009" s="15">
        <v>0.05</v>
      </c>
      <c r="K2009" s="2">
        <v>0.49161481857299805</v>
      </c>
      <c r="L2009" s="2">
        <f>SUM(TimeEntries450460[Time delta in h])</f>
        <v>13.051111111126374</v>
      </c>
      <c r="M2009" s="16">
        <f>Tabelle7367451461[[#This Row],[EBS self time]]/Tabelle7367451461[[#This Row],[Total time]]</f>
        <v>3.7668426418796253E-2</v>
      </c>
    </row>
    <row r="2010" spans="1:13">
      <c r="B2010" s="1"/>
      <c r="C2010" s="1"/>
      <c r="D2010" s="2"/>
      <c r="I2010" t="s">
        <v>127</v>
      </c>
      <c r="J2010" s="15">
        <v>0.2</v>
      </c>
      <c r="K2010" s="2">
        <v>0.49161481857299805</v>
      </c>
      <c r="L2010" s="2">
        <f>SUM(TimeEntries450460[Time delta in h])</f>
        <v>13.051111111126374</v>
      </c>
      <c r="M2010" s="16">
        <f>Tabelle7367451461[[#This Row],[EBS self time]]/Tabelle7367451461[[#This Row],[Total time]]</f>
        <v>3.7668426418796253E-2</v>
      </c>
    </row>
    <row r="2011" spans="1:13">
      <c r="I2011" t="s">
        <v>169</v>
      </c>
      <c r="J2011" s="15">
        <v>0.35</v>
      </c>
      <c r="K2011" s="2">
        <v>0.49161481857299805</v>
      </c>
      <c r="L2011" s="2">
        <f>SUM(TimeEntries450460[Time delta in h])</f>
        <v>13.051111111126374</v>
      </c>
      <c r="M2011" s="16">
        <f>Tabelle7367451461[[#This Row],[EBS self time]]/Tabelle7367451461[[#This Row],[Total time]]</f>
        <v>3.7668426418796253E-2</v>
      </c>
    </row>
    <row r="2012" spans="1:13">
      <c r="I2012" t="s">
        <v>172</v>
      </c>
      <c r="J2012" s="15">
        <v>0.5</v>
      </c>
      <c r="K2012" s="2">
        <v>0.49161481857299805</v>
      </c>
      <c r="L2012" s="2">
        <f>SUM(TimeEntries450460[Time delta in h])</f>
        <v>13.051111111126374</v>
      </c>
      <c r="M2012" s="16">
        <f>Tabelle7367451461[[#This Row],[EBS self time]]/Tabelle7367451461[[#This Row],[Total time]]</f>
        <v>3.7668426418796253E-2</v>
      </c>
    </row>
    <row r="2013" spans="1:13">
      <c r="I2013" t="s">
        <v>187</v>
      </c>
      <c r="J2013" s="15">
        <v>0.65</v>
      </c>
      <c r="K2013" s="2">
        <v>1.0925091326698781</v>
      </c>
      <c r="L2013" s="2">
        <f>SUM(TimeEntries450460[Time delta in h])</f>
        <v>13.051111111126374</v>
      </c>
      <c r="M2013" s="16">
        <f>Tabelle7367451461[[#This Row],[EBS self time]]/Tabelle7367451461[[#This Row],[Total time]]</f>
        <v>8.3710047624871484E-2</v>
      </c>
    </row>
    <row r="2014" spans="1:13">
      <c r="I2014" t="s">
        <v>192</v>
      </c>
      <c r="J2014" s="15">
        <v>0.8</v>
      </c>
      <c r="K2014" s="2">
        <v>1.905483792918597</v>
      </c>
      <c r="L2014" s="2">
        <f>SUM(TimeEntries450460[Time delta in h])</f>
        <v>13.051111111126374</v>
      </c>
      <c r="M2014" s="16">
        <f>Tabelle7367451461[[#This Row],[EBS self time]]/Tabelle7367451461[[#This Row],[Total time]]</f>
        <v>0.146001652786032</v>
      </c>
    </row>
    <row r="2015" spans="1:13">
      <c r="I2015" t="s">
        <v>193</v>
      </c>
      <c r="J2015" s="15">
        <v>0.95</v>
      </c>
      <c r="K2015" s="2">
        <v>1.905483792918597</v>
      </c>
      <c r="L2015" s="2">
        <f>SUM(TimeEntries450460[Time delta in h])</f>
        <v>13.051111111126374</v>
      </c>
      <c r="M2015" s="16">
        <f>Tabelle7367451461[[#This Row],[EBS self time]]/Tabelle7367451461[[#This Row],[Total time]]</f>
        <v>0.146001652786032</v>
      </c>
    </row>
    <row r="2017" spans="1:10">
      <c r="A2017" t="s">
        <v>189</v>
      </c>
      <c r="B2017" t="s">
        <v>438</v>
      </c>
      <c r="C2017" t="s">
        <v>190</v>
      </c>
      <c r="D2017">
        <v>23</v>
      </c>
      <c r="E2017" t="s">
        <v>191</v>
      </c>
      <c r="F2017">
        <v>13</v>
      </c>
    </row>
    <row r="2018" spans="1:10">
      <c r="A2018" s="4" t="s">
        <v>24</v>
      </c>
      <c r="I2018" t="s">
        <v>135</v>
      </c>
      <c r="J2018" t="s">
        <v>136</v>
      </c>
    </row>
    <row r="2019" spans="1:10">
      <c r="A2019" t="s">
        <v>3</v>
      </c>
      <c r="B2019" t="s">
        <v>440</v>
      </c>
    </row>
    <row r="2020" spans="1:10">
      <c r="A2020" t="s">
        <v>77</v>
      </c>
      <c r="B2020" s="2">
        <v>4.6092414855957031</v>
      </c>
      <c r="C2020" t="s">
        <v>4</v>
      </c>
    </row>
    <row r="2021" spans="1:10">
      <c r="A2021" t="s">
        <v>0</v>
      </c>
      <c r="B2021" s="2">
        <f>SUM(TimeEntries452462[Time delta in h])</f>
        <v>12.648611111158971</v>
      </c>
      <c r="C2021" t="s">
        <v>4</v>
      </c>
    </row>
    <row r="2022" spans="1:10">
      <c r="A2022" t="s">
        <v>13</v>
      </c>
      <c r="B2022" s="5" t="s">
        <v>92</v>
      </c>
    </row>
    <row r="2023" spans="1:10">
      <c r="A2023" t="s">
        <v>14</v>
      </c>
      <c r="B2023" s="5" t="s">
        <v>18</v>
      </c>
    </row>
    <row r="2024" spans="1:10">
      <c r="A2024" t="s">
        <v>1</v>
      </c>
      <c r="B2024" t="s">
        <v>91</v>
      </c>
    </row>
    <row r="2025" spans="1:10">
      <c r="A2025" t="s">
        <v>15</v>
      </c>
      <c r="B2025" s="5" t="s">
        <v>92</v>
      </c>
    </row>
    <row r="2026" spans="1:10">
      <c r="A2026" t="s">
        <v>2</v>
      </c>
    </row>
    <row r="2027" spans="1:10">
      <c r="A2027" t="s">
        <v>46</v>
      </c>
      <c r="B2027" t="s">
        <v>438</v>
      </c>
    </row>
    <row r="2028" spans="1:10">
      <c r="A2028" t="s">
        <v>5</v>
      </c>
      <c r="B2028" s="2">
        <f>B2020/SUM(TimeEntries452462[Time delta in h])</f>
        <v>0.36440692539984071</v>
      </c>
      <c r="C2028" t="s">
        <v>6</v>
      </c>
    </row>
    <row r="2029" spans="1:10">
      <c r="A2029" t="s">
        <v>93</v>
      </c>
    </row>
    <row r="2030" spans="1:10">
      <c r="A2030" t="s">
        <v>94</v>
      </c>
    </row>
    <row r="2031" spans="1:10">
      <c r="A2031" t="s">
        <v>129</v>
      </c>
      <c r="B2031" s="1">
        <v>44161.952870370369</v>
      </c>
    </row>
    <row r="2033" spans="1:13">
      <c r="A2033" t="s">
        <v>10</v>
      </c>
      <c r="B2033" t="s">
        <v>7</v>
      </c>
      <c r="C2033" t="s">
        <v>8</v>
      </c>
      <c r="D2033" t="s">
        <v>9</v>
      </c>
      <c r="E2033" t="s">
        <v>134</v>
      </c>
      <c r="F2033" t="s">
        <v>84</v>
      </c>
      <c r="G2033" t="s">
        <v>85</v>
      </c>
      <c r="I2033" t="s">
        <v>70</v>
      </c>
      <c r="J2033" s="15" t="s">
        <v>68</v>
      </c>
      <c r="K2033" s="2" t="s">
        <v>69</v>
      </c>
      <c r="L2033" t="s">
        <v>71</v>
      </c>
      <c r="M2033" t="s">
        <v>72</v>
      </c>
    </row>
    <row r="2034" spans="1:13">
      <c r="A2034" t="s">
        <v>126</v>
      </c>
      <c r="B2034" s="1">
        <v>44161.425844907404</v>
      </c>
      <c r="C2034" s="1">
        <v>44161.952870370369</v>
      </c>
      <c r="D2034" s="2">
        <f>MAX((TimeEntries452462[[#This Row],[End time]]-TimeEntries452462[[#This Row],[Start time]])*24,0)</f>
        <v>12.648611111158971</v>
      </c>
      <c r="F2034" s="54" t="s">
        <v>184</v>
      </c>
      <c r="G2034" s="22" t="s">
        <v>185</v>
      </c>
      <c r="I2034" t="s">
        <v>126</v>
      </c>
      <c r="J2034" s="15">
        <v>0.05</v>
      </c>
      <c r="K2034" s="2">
        <v>2.3046207427978516</v>
      </c>
      <c r="L2034" s="2">
        <f>SUM(TimeEntries452462[Time delta in h])</f>
        <v>12.648611111158971</v>
      </c>
      <c r="M2034" s="16">
        <f>Tabelle7367453463[[#This Row],[EBS self time]]/Tabelle7367453463[[#This Row],[Total time]]</f>
        <v>0.18220346269992035</v>
      </c>
    </row>
    <row r="2035" spans="1:13">
      <c r="B2035" s="1"/>
      <c r="C2035" s="1"/>
      <c r="D2035" s="2"/>
      <c r="I2035" t="s">
        <v>127</v>
      </c>
      <c r="J2035" s="15">
        <v>0.2</v>
      </c>
      <c r="K2035" s="2">
        <v>2.3046207427978516</v>
      </c>
      <c r="L2035" s="2">
        <f>SUM(TimeEntries452462[Time delta in h])</f>
        <v>12.648611111158971</v>
      </c>
      <c r="M2035" s="16">
        <f>Tabelle7367453463[[#This Row],[EBS self time]]/Tabelle7367453463[[#This Row],[Total time]]</f>
        <v>0.18220346269992035</v>
      </c>
    </row>
    <row r="2036" spans="1:13">
      <c r="I2036" t="s">
        <v>169</v>
      </c>
      <c r="J2036" s="15">
        <v>0.35</v>
      </c>
      <c r="K2036" s="2">
        <v>2.3046207427978516</v>
      </c>
      <c r="L2036" s="2">
        <f>SUM(TimeEntries452462[Time delta in h])</f>
        <v>12.648611111158971</v>
      </c>
      <c r="M2036" s="16">
        <f>Tabelle7367453463[[#This Row],[EBS self time]]/Tabelle7367453463[[#This Row],[Total time]]</f>
        <v>0.18220346269992035</v>
      </c>
    </row>
    <row r="2037" spans="1:13">
      <c r="I2037" t="s">
        <v>172</v>
      </c>
      <c r="J2037" s="15">
        <v>0.5</v>
      </c>
      <c r="K2037" s="2">
        <v>2.3046207427978516</v>
      </c>
      <c r="L2037" s="2">
        <f>SUM(TimeEntries452462[Time delta in h])</f>
        <v>12.648611111158971</v>
      </c>
      <c r="M2037" s="16">
        <f>Tabelle7367453463[[#This Row],[EBS self time]]/Tabelle7367453463[[#This Row],[Total time]]</f>
        <v>0.18220346269992035</v>
      </c>
    </row>
    <row r="2038" spans="1:13">
      <c r="I2038" t="s">
        <v>187</v>
      </c>
      <c r="J2038" s="15">
        <v>0.65</v>
      </c>
      <c r="K2038" s="2">
        <v>8.9326385379761692</v>
      </c>
      <c r="L2038" s="2">
        <f>SUM(TimeEntries452462[Time delta in h])</f>
        <v>12.648611111158971</v>
      </c>
      <c r="M2038" s="16">
        <f>Tabelle7367453463[[#This Row],[EBS self time]]/Tabelle7367453463[[#This Row],[Total time]]</f>
        <v>0.7062149717051176</v>
      </c>
    </row>
    <row r="2039" spans="1:13">
      <c r="I2039" t="s">
        <v>192</v>
      </c>
      <c r="J2039" s="15">
        <v>0.8</v>
      </c>
      <c r="K2039" s="2">
        <v>8.9326385379761692</v>
      </c>
      <c r="L2039" s="2">
        <f>SUM(TimeEntries452462[Time delta in h])</f>
        <v>12.648611111158971</v>
      </c>
      <c r="M2039" s="16">
        <f>Tabelle7367453463[[#This Row],[EBS self time]]/Tabelle7367453463[[#This Row],[Total time]]</f>
        <v>0.7062149717051176</v>
      </c>
    </row>
    <row r="2040" spans="1:13">
      <c r="I2040" t="s">
        <v>193</v>
      </c>
      <c r="J2040" s="15">
        <v>0.95</v>
      </c>
      <c r="K2040" s="2">
        <v>8.9326385379761692</v>
      </c>
      <c r="L2040" s="2">
        <f>SUM(TimeEntries452462[Time delta in h])</f>
        <v>12.648611111158971</v>
      </c>
      <c r="M2040" s="16">
        <f>Tabelle7367453463[[#This Row],[EBS self time]]/Tabelle7367453463[[#This Row],[Total time]]</f>
        <v>0.7062149717051176</v>
      </c>
    </row>
    <row r="2042" spans="1:13">
      <c r="A2042" t="s">
        <v>189</v>
      </c>
      <c r="B2042" t="s">
        <v>441</v>
      </c>
      <c r="C2042" t="s">
        <v>190</v>
      </c>
      <c r="D2042">
        <v>23</v>
      </c>
      <c r="E2042" t="s">
        <v>191</v>
      </c>
      <c r="F2042">
        <v>13</v>
      </c>
    </row>
    <row r="2043" spans="1:13">
      <c r="A2043" s="4" t="s">
        <v>24</v>
      </c>
      <c r="I2043" t="s">
        <v>135</v>
      </c>
      <c r="J2043" t="s">
        <v>136</v>
      </c>
    </row>
    <row r="2044" spans="1:13">
      <c r="A2044" t="s">
        <v>3</v>
      </c>
      <c r="B2044" t="s">
        <v>443</v>
      </c>
    </row>
    <row r="2045" spans="1:13">
      <c r="A2045" t="s">
        <v>77</v>
      </c>
      <c r="B2045" s="2">
        <v>11.389187812805176</v>
      </c>
      <c r="C2045" t="s">
        <v>4</v>
      </c>
    </row>
    <row r="2046" spans="1:13">
      <c r="A2046" t="s">
        <v>0</v>
      </c>
      <c r="B2046" s="2">
        <f>SUM(TimeEntries454464468478[Time delta in h])</f>
        <v>23.205277777800802</v>
      </c>
      <c r="C2046" t="s">
        <v>4</v>
      </c>
    </row>
    <row r="2047" spans="1:13">
      <c r="A2047" t="s">
        <v>13</v>
      </c>
      <c r="B2047" s="5" t="s">
        <v>92</v>
      </c>
    </row>
    <row r="2048" spans="1:13">
      <c r="A2048" t="s">
        <v>14</v>
      </c>
      <c r="B2048" s="5" t="s">
        <v>18</v>
      </c>
    </row>
    <row r="2049" spans="1:13">
      <c r="A2049" t="s">
        <v>1</v>
      </c>
      <c r="B2049" t="s">
        <v>91</v>
      </c>
    </row>
    <row r="2050" spans="1:13">
      <c r="A2050" t="s">
        <v>15</v>
      </c>
      <c r="B2050" s="5" t="s">
        <v>92</v>
      </c>
    </row>
    <row r="2051" spans="1:13">
      <c r="A2051" t="s">
        <v>2</v>
      </c>
    </row>
    <row r="2052" spans="1:13">
      <c r="A2052" t="s">
        <v>46</v>
      </c>
      <c r="B2052" t="s">
        <v>441</v>
      </c>
    </row>
    <row r="2053" spans="1:13">
      <c r="A2053" t="s">
        <v>5</v>
      </c>
      <c r="B2053" s="2">
        <f>B2045/SUM(TimeEntries454464468478[Time delta in h])</f>
        <v>0.49080161512656306</v>
      </c>
      <c r="C2053" t="s">
        <v>6</v>
      </c>
    </row>
    <row r="2054" spans="1:13">
      <c r="A2054" t="s">
        <v>93</v>
      </c>
    </row>
    <row r="2055" spans="1:13">
      <c r="A2055" t="s">
        <v>94</v>
      </c>
    </row>
    <row r="2056" spans="1:13">
      <c r="A2056" t="s">
        <v>129</v>
      </c>
      <c r="B2056" s="1">
        <v>44161.952881944446</v>
      </c>
    </row>
    <row r="2058" spans="1:13">
      <c r="A2058" t="s">
        <v>10</v>
      </c>
      <c r="B2058" t="s">
        <v>7</v>
      </c>
      <c r="C2058" t="s">
        <v>8</v>
      </c>
      <c r="D2058" t="s">
        <v>9</v>
      </c>
      <c r="E2058" t="s">
        <v>134</v>
      </c>
      <c r="F2058" t="s">
        <v>84</v>
      </c>
      <c r="G2058" t="s">
        <v>85</v>
      </c>
      <c r="I2058" t="s">
        <v>70</v>
      </c>
      <c r="J2058" s="15" t="s">
        <v>68</v>
      </c>
      <c r="K2058" s="2" t="s">
        <v>69</v>
      </c>
      <c r="L2058" t="s">
        <v>71</v>
      </c>
      <c r="M2058" t="s">
        <v>72</v>
      </c>
    </row>
    <row r="2059" spans="1:13">
      <c r="A2059" t="s">
        <v>126</v>
      </c>
      <c r="B2059" s="1">
        <v>44160.986041666663</v>
      </c>
      <c r="C2059" s="1">
        <v>44161.952928240738</v>
      </c>
      <c r="D2059" s="2">
        <f>MAX((TimeEntries454464468478[[#This Row],[End time]]-TimeEntries454464468478[[#This Row],[Start time]])*24,0)</f>
        <v>23.205277777800802</v>
      </c>
      <c r="F2059" s="54" t="s">
        <v>184</v>
      </c>
      <c r="G2059" s="22" t="s">
        <v>185</v>
      </c>
      <c r="I2059" t="s">
        <v>126</v>
      </c>
      <c r="J2059" s="15">
        <v>0.05</v>
      </c>
      <c r="K2059" s="2">
        <v>5.6945939064025879</v>
      </c>
      <c r="L2059" s="2">
        <f>SUM(TimeEntries454464468478[Time delta in h])</f>
        <v>23.205277777800802</v>
      </c>
      <c r="M2059" s="16">
        <f>Tabelle7367455465469479[[#This Row],[EBS self time]]/Tabelle7367455465469479[[#This Row],[Total time]]</f>
        <v>0.24540080756328153</v>
      </c>
    </row>
    <row r="2060" spans="1:13">
      <c r="B2060" s="1"/>
      <c r="C2060" s="1"/>
      <c r="D2060" s="2"/>
      <c r="I2060" t="s">
        <v>127</v>
      </c>
      <c r="J2060" s="15">
        <v>0.2</v>
      </c>
      <c r="K2060" s="2">
        <v>5.6945939064025879</v>
      </c>
      <c r="L2060" s="2">
        <f>SUM(TimeEntries454464468478[Time delta in h])</f>
        <v>23.205277777800802</v>
      </c>
      <c r="M2060" s="16">
        <f>Tabelle7367455465469479[[#This Row],[EBS self time]]/Tabelle7367455465469479[[#This Row],[Total time]]</f>
        <v>0.24540080756328153</v>
      </c>
    </row>
    <row r="2061" spans="1:13">
      <c r="I2061" t="s">
        <v>169</v>
      </c>
      <c r="J2061" s="15">
        <v>0.35</v>
      </c>
      <c r="K2061" s="2">
        <v>5.6945939064025879</v>
      </c>
      <c r="L2061" s="2">
        <f>SUM(TimeEntries454464468478[Time delta in h])</f>
        <v>23.205277777800802</v>
      </c>
      <c r="M2061" s="16">
        <f>Tabelle7367455465469479[[#This Row],[EBS self time]]/Tabelle7367455465469479[[#This Row],[Total time]]</f>
        <v>0.24540080756328153</v>
      </c>
    </row>
    <row r="2062" spans="1:13">
      <c r="I2062" t="s">
        <v>172</v>
      </c>
      <c r="J2062" s="15">
        <v>0.5</v>
      </c>
      <c r="K2062" s="2">
        <v>5.6945939064025879</v>
      </c>
      <c r="L2062" s="2">
        <f>SUM(TimeEntries454464468478[Time delta in h])</f>
        <v>23.205277777800802</v>
      </c>
      <c r="M2062" s="16">
        <f>Tabelle7367455465469479[[#This Row],[EBS self time]]/Tabelle7367455465469479[[#This Row],[Total time]]</f>
        <v>0.24540080756328153</v>
      </c>
    </row>
    <row r="2063" spans="1:13">
      <c r="I2063" t="s">
        <v>187</v>
      </c>
      <c r="J2063" s="15">
        <v>0.65</v>
      </c>
      <c r="K2063" s="2">
        <v>5.6945939064025879</v>
      </c>
      <c r="L2063" s="2">
        <f>SUM(TimeEntries454464468478[Time delta in h])</f>
        <v>23.205277777800802</v>
      </c>
      <c r="M2063" s="16">
        <f>Tabelle7367455465469479[[#This Row],[EBS self time]]/Tabelle7367455465469479[[#This Row],[Total time]]</f>
        <v>0.24540080756328153</v>
      </c>
    </row>
    <row r="2064" spans="1:13">
      <c r="I2064" t="s">
        <v>192</v>
      </c>
      <c r="J2064" s="15">
        <v>0.8</v>
      </c>
      <c r="K2064" s="2">
        <v>22.072069404661192</v>
      </c>
      <c r="L2064" s="2">
        <f>SUM(TimeEntries454464468478[Time delta in h])</f>
        <v>23.205277777800802</v>
      </c>
      <c r="M2064" s="16">
        <f>Tabelle7367455465469479[[#This Row],[EBS self time]]/Tabelle7367455465469479[[#This Row],[Total time]]</f>
        <v>0.95116592078791284</v>
      </c>
    </row>
    <row r="2065" spans="1:13">
      <c r="I2065" t="s">
        <v>193</v>
      </c>
      <c r="J2065" s="15">
        <v>0.95</v>
      </c>
      <c r="K2065" s="2">
        <v>22.072069404661192</v>
      </c>
      <c r="L2065" s="2">
        <f>SUM(TimeEntries454464468478[Time delta in h])</f>
        <v>23.205277777800802</v>
      </c>
      <c r="M2065" s="16">
        <f>Tabelle7367455465469479[[#This Row],[EBS self time]]/Tabelle7367455465469479[[#This Row],[Total time]]</f>
        <v>0.95116592078791284</v>
      </c>
    </row>
    <row r="2067" spans="1:13">
      <c r="A2067" t="s">
        <v>189</v>
      </c>
      <c r="B2067" t="s">
        <v>444</v>
      </c>
      <c r="C2067" t="s">
        <v>190</v>
      </c>
      <c r="D2067">
        <v>23</v>
      </c>
      <c r="E2067" t="s">
        <v>191</v>
      </c>
      <c r="F2067">
        <v>13</v>
      </c>
    </row>
    <row r="2068" spans="1:13">
      <c r="A2068" s="4" t="s">
        <v>24</v>
      </c>
      <c r="I2068" t="s">
        <v>135</v>
      </c>
      <c r="J2068" t="s">
        <v>136</v>
      </c>
    </row>
    <row r="2069" spans="1:13">
      <c r="A2069" t="s">
        <v>3</v>
      </c>
      <c r="B2069" t="s">
        <v>446</v>
      </c>
    </row>
    <row r="2070" spans="1:13">
      <c r="A2070" t="s">
        <v>77</v>
      </c>
      <c r="B2070" s="2">
        <v>1.4941654205322266</v>
      </c>
      <c r="C2070" t="s">
        <v>4</v>
      </c>
    </row>
    <row r="2071" spans="1:13">
      <c r="A2071" t="s">
        <v>0</v>
      </c>
      <c r="B2071" s="2">
        <f>SUM(TimeEntries470480[Time delta in h])</f>
        <v>26.600833333272021</v>
      </c>
      <c r="C2071" t="s">
        <v>4</v>
      </c>
    </row>
    <row r="2072" spans="1:13">
      <c r="A2072" t="s">
        <v>13</v>
      </c>
      <c r="B2072" s="5" t="s">
        <v>92</v>
      </c>
    </row>
    <row r="2073" spans="1:13">
      <c r="A2073" t="s">
        <v>14</v>
      </c>
      <c r="B2073" s="5" t="s">
        <v>18</v>
      </c>
    </row>
    <row r="2074" spans="1:13">
      <c r="A2074" t="s">
        <v>1</v>
      </c>
      <c r="B2074" t="s">
        <v>91</v>
      </c>
    </row>
    <row r="2075" spans="1:13">
      <c r="A2075" t="s">
        <v>15</v>
      </c>
      <c r="B2075" s="5" t="s">
        <v>92</v>
      </c>
    </row>
    <row r="2076" spans="1:13">
      <c r="A2076" t="s">
        <v>2</v>
      </c>
    </row>
    <row r="2077" spans="1:13">
      <c r="A2077" t="s">
        <v>46</v>
      </c>
      <c r="B2077" t="s">
        <v>444</v>
      </c>
    </row>
    <row r="2078" spans="1:13">
      <c r="A2078" t="s">
        <v>5</v>
      </c>
      <c r="B2078" s="2">
        <f>B2070/SUM(TimeEntries470480[Time delta in h])</f>
        <v>5.6169872643175481E-2</v>
      </c>
      <c r="C2078" t="s">
        <v>6</v>
      </c>
    </row>
    <row r="2079" spans="1:13">
      <c r="A2079" t="s">
        <v>93</v>
      </c>
    </row>
    <row r="2080" spans="1:13">
      <c r="A2080" t="s">
        <v>94</v>
      </c>
    </row>
    <row r="2081" spans="1:13">
      <c r="A2081" t="s">
        <v>129</v>
      </c>
      <c r="B2081" s="1">
        <v>44161.952928240738</v>
      </c>
    </row>
    <row r="2083" spans="1:13">
      <c r="A2083" t="s">
        <v>10</v>
      </c>
      <c r="B2083" t="s">
        <v>7</v>
      </c>
      <c r="C2083" t="s">
        <v>8</v>
      </c>
      <c r="D2083" t="s">
        <v>9</v>
      </c>
      <c r="E2083" t="s">
        <v>134</v>
      </c>
      <c r="F2083" t="s">
        <v>84</v>
      </c>
      <c r="G2083" t="s">
        <v>85</v>
      </c>
      <c r="I2083" t="s">
        <v>70</v>
      </c>
      <c r="J2083" s="15" t="s">
        <v>68</v>
      </c>
      <c r="K2083" s="2" t="s">
        <v>69</v>
      </c>
      <c r="L2083" t="s">
        <v>71</v>
      </c>
      <c r="M2083" t="s">
        <v>72</v>
      </c>
    </row>
    <row r="2084" spans="1:13">
      <c r="A2084" t="s">
        <v>126</v>
      </c>
      <c r="B2084" s="1">
        <v>44160.844571759262</v>
      </c>
      <c r="C2084" s="1">
        <v>44161.952939814815</v>
      </c>
      <c r="D2084" s="2">
        <f>MAX((TimeEntries470480[[#This Row],[End time]]-TimeEntries470480[[#This Row],[Start time]])*24,0)</f>
        <v>26.600833333272021</v>
      </c>
      <c r="F2084" s="54" t="s">
        <v>184</v>
      </c>
      <c r="G2084" s="22" t="s">
        <v>185</v>
      </c>
      <c r="I2084" t="s">
        <v>126</v>
      </c>
      <c r="J2084" s="15">
        <v>0.05</v>
      </c>
      <c r="K2084" s="2">
        <v>0.74708271026611328</v>
      </c>
      <c r="L2084" s="2">
        <f>SUM(TimeEntries470480[Time delta in h])</f>
        <v>26.600833333272021</v>
      </c>
      <c r="M2084" s="16">
        <f>Tabelle7367471481[[#This Row],[EBS self time]]/Tabelle7367471481[[#This Row],[Total time]]</f>
        <v>2.808493632158774E-2</v>
      </c>
    </row>
    <row r="2085" spans="1:13">
      <c r="B2085" s="1"/>
      <c r="C2085" s="1"/>
      <c r="D2085" s="2"/>
      <c r="I2085" t="s">
        <v>127</v>
      </c>
      <c r="J2085" s="15">
        <v>0.2</v>
      </c>
      <c r="K2085" s="2">
        <v>0.74708271026611328</v>
      </c>
      <c r="L2085" s="2">
        <f>SUM(TimeEntries470480[Time delta in h])</f>
        <v>26.600833333272021</v>
      </c>
      <c r="M2085" s="16">
        <f>Tabelle7367471481[[#This Row],[EBS self time]]/Tabelle7367471481[[#This Row],[Total time]]</f>
        <v>2.808493632158774E-2</v>
      </c>
    </row>
    <row r="2086" spans="1:13">
      <c r="I2086" t="s">
        <v>169</v>
      </c>
      <c r="J2086" s="15">
        <v>0.35</v>
      </c>
      <c r="K2086" s="2">
        <v>0.74708271026611328</v>
      </c>
      <c r="L2086" s="2">
        <f>SUM(TimeEntries470480[Time delta in h])</f>
        <v>26.600833333272021</v>
      </c>
      <c r="M2086" s="16">
        <f>Tabelle7367471481[[#This Row],[EBS self time]]/Tabelle7367471481[[#This Row],[Total time]]</f>
        <v>2.808493632158774E-2</v>
      </c>
    </row>
    <row r="2087" spans="1:13">
      <c r="I2087" t="s">
        <v>172</v>
      </c>
      <c r="J2087" s="15">
        <v>0.5</v>
      </c>
      <c r="K2087" s="2">
        <v>0.74708271026611328</v>
      </c>
      <c r="L2087" s="2">
        <f>SUM(TimeEntries470480[Time delta in h])</f>
        <v>26.600833333272021</v>
      </c>
      <c r="M2087" s="16">
        <f>Tabelle7367471481[[#This Row],[EBS self time]]/Tabelle7367471481[[#This Row],[Total time]]</f>
        <v>2.808493632158774E-2</v>
      </c>
    </row>
    <row r="2088" spans="1:13">
      <c r="I2088" t="s">
        <v>187</v>
      </c>
      <c r="J2088" s="15">
        <v>0.65</v>
      </c>
      <c r="K2088" s="2">
        <v>1.6602320617483575</v>
      </c>
      <c r="L2088" s="2">
        <f>SUM(TimeEntries470480[Time delta in h])</f>
        <v>26.600833333272021</v>
      </c>
      <c r="M2088" s="16">
        <f>Tabelle7367471481[[#This Row],[EBS self time]]/Tabelle7367471481[[#This Row],[Total time]]</f>
        <v>6.2412783875900532E-2</v>
      </c>
    </row>
    <row r="2089" spans="1:13">
      <c r="I2089" t="s">
        <v>192</v>
      </c>
      <c r="J2089" s="15">
        <v>0.8</v>
      </c>
      <c r="K2089" s="2">
        <v>2.8956694196360977</v>
      </c>
      <c r="L2089" s="2">
        <f>SUM(TimeEntries470480[Time delta in h])</f>
        <v>26.600833333272021</v>
      </c>
      <c r="M2089" s="16">
        <f>Tabelle7367471481[[#This Row],[EBS self time]]/Tabelle7367471481[[#This Row],[Total time]]</f>
        <v>0.10885634233173541</v>
      </c>
    </row>
    <row r="2090" spans="1:13">
      <c r="I2090" t="s">
        <v>193</v>
      </c>
      <c r="J2090" s="15">
        <v>0.95</v>
      </c>
      <c r="K2090" s="2">
        <v>2.8956694196360977</v>
      </c>
      <c r="L2090" s="2">
        <f>SUM(TimeEntries470480[Time delta in h])</f>
        <v>26.600833333272021</v>
      </c>
      <c r="M2090" s="16">
        <f>Tabelle7367471481[[#This Row],[EBS self time]]/Tabelle7367471481[[#This Row],[Total time]]</f>
        <v>0.10885634233173541</v>
      </c>
    </row>
    <row r="2092" spans="1:13">
      <c r="A2092" t="s">
        <v>189</v>
      </c>
      <c r="B2092" t="s">
        <v>447</v>
      </c>
      <c r="C2092" t="s">
        <v>190</v>
      </c>
      <c r="D2092">
        <v>18</v>
      </c>
      <c r="E2092" t="s">
        <v>191</v>
      </c>
      <c r="F2092">
        <v>13</v>
      </c>
    </row>
    <row r="2093" spans="1:13">
      <c r="A2093" s="4" t="s">
        <v>24</v>
      </c>
      <c r="I2093" t="s">
        <v>135</v>
      </c>
      <c r="J2093" t="s">
        <v>136</v>
      </c>
    </row>
    <row r="2094" spans="1:13">
      <c r="A2094" t="s">
        <v>3</v>
      </c>
      <c r="B2094" t="s">
        <v>449</v>
      </c>
    </row>
    <row r="2095" spans="1:13">
      <c r="A2095" t="s">
        <v>77</v>
      </c>
      <c r="B2095" s="2" t="s">
        <v>92</v>
      </c>
      <c r="C2095" t="s">
        <v>4</v>
      </c>
    </row>
    <row r="2096" spans="1:13">
      <c r="A2096" t="s">
        <v>0</v>
      </c>
      <c r="B2096" s="2">
        <f>SUM(TimeEntries472482[Time delta in h])</f>
        <v>18.863611111126374</v>
      </c>
      <c r="C2096" t="s">
        <v>4</v>
      </c>
    </row>
    <row r="2097" spans="1:13">
      <c r="A2097" t="s">
        <v>13</v>
      </c>
      <c r="B2097" s="5" t="s">
        <v>92</v>
      </c>
    </row>
    <row r="2098" spans="1:13">
      <c r="A2098" t="s">
        <v>14</v>
      </c>
      <c r="B2098" s="5" t="s">
        <v>18</v>
      </c>
    </row>
    <row r="2099" spans="1:13">
      <c r="A2099" t="s">
        <v>1</v>
      </c>
      <c r="B2099" t="s">
        <v>131</v>
      </c>
    </row>
    <row r="2100" spans="1:13">
      <c r="A2100" t="s">
        <v>15</v>
      </c>
      <c r="B2100" s="5">
        <v>44161.952939814815</v>
      </c>
    </row>
    <row r="2101" spans="1:13">
      <c r="A2101" t="s">
        <v>2</v>
      </c>
    </row>
    <row r="2102" spans="1:13">
      <c r="A2102" t="s">
        <v>46</v>
      </c>
      <c r="B2102" t="s">
        <v>447</v>
      </c>
    </row>
    <row r="2103" spans="1:13">
      <c r="A2103" t="s">
        <v>5</v>
      </c>
      <c r="B2103" s="2" t="e">
        <f>B2095/SUM(TimeEntries472482[Time delta in h])</f>
        <v>#VALUE!</v>
      </c>
      <c r="C2103" t="s">
        <v>6</v>
      </c>
    </row>
    <row r="2104" spans="1:13">
      <c r="A2104" t="s">
        <v>93</v>
      </c>
    </row>
    <row r="2105" spans="1:13">
      <c r="A2105" t="s">
        <v>94</v>
      </c>
    </row>
    <row r="2106" spans="1:13">
      <c r="A2106" t="s">
        <v>129</v>
      </c>
      <c r="B2106" s="1">
        <v>44161.952939814815</v>
      </c>
    </row>
    <row r="2108" spans="1:13">
      <c r="A2108" t="s">
        <v>10</v>
      </c>
      <c r="B2108" t="s">
        <v>7</v>
      </c>
      <c r="C2108" t="s">
        <v>8</v>
      </c>
      <c r="D2108" t="s">
        <v>9</v>
      </c>
      <c r="E2108" t="s">
        <v>134</v>
      </c>
      <c r="F2108" t="s">
        <v>84</v>
      </c>
      <c r="G2108" t="s">
        <v>85</v>
      </c>
      <c r="I2108" t="s">
        <v>70</v>
      </c>
      <c r="J2108" s="15" t="s">
        <v>68</v>
      </c>
      <c r="K2108" s="2" t="s">
        <v>69</v>
      </c>
      <c r="L2108" t="s">
        <v>71</v>
      </c>
      <c r="M2108" t="s">
        <v>72</v>
      </c>
    </row>
    <row r="2109" spans="1:13">
      <c r="A2109" t="s">
        <v>126</v>
      </c>
      <c r="B2109" s="1">
        <v>44161.166956018518</v>
      </c>
      <c r="C2109" s="1">
        <v>44161.952939814815</v>
      </c>
      <c r="D2109" s="2">
        <f>MAX((TimeEntries472482[[#This Row],[End time]]-TimeEntries472482[[#This Row],[Start time]])*24,0)</f>
        <v>18.863611111126374</v>
      </c>
      <c r="F2109" s="54" t="s">
        <v>184</v>
      </c>
      <c r="G2109" s="22" t="s">
        <v>185</v>
      </c>
      <c r="J2109" s="15"/>
      <c r="K2109" s="2"/>
      <c r="L2109" s="2">
        <f>SUM(TimeEntries472482[Time delta in h])</f>
        <v>18.863611111126374</v>
      </c>
      <c r="M2109" s="16">
        <f>Tabelle7367473483[[#This Row],[EBS self time]]/Tabelle7367473483[[#This Row],[Total time]]</f>
        <v>0</v>
      </c>
    </row>
    <row r="2110" spans="1:13">
      <c r="B2110" s="1"/>
      <c r="C2110" s="1"/>
      <c r="D2110" s="2"/>
    </row>
    <row r="2112" spans="1:13">
      <c r="A2112" t="s">
        <v>189</v>
      </c>
      <c r="B2112" t="s">
        <v>450</v>
      </c>
      <c r="C2112" t="s">
        <v>190</v>
      </c>
      <c r="D2112">
        <v>23</v>
      </c>
      <c r="E2112" t="s">
        <v>191</v>
      </c>
      <c r="F2112">
        <v>13</v>
      </c>
    </row>
    <row r="2113" spans="1:13">
      <c r="A2113" s="4" t="s">
        <v>24</v>
      </c>
      <c r="I2113" t="s">
        <v>135</v>
      </c>
      <c r="J2113" t="s">
        <v>136</v>
      </c>
    </row>
    <row r="2114" spans="1:13">
      <c r="A2114" t="s">
        <v>3</v>
      </c>
      <c r="B2114" t="s">
        <v>452</v>
      </c>
    </row>
    <row r="2115" spans="1:13">
      <c r="A2115" t="s">
        <v>77</v>
      </c>
      <c r="B2115" s="2">
        <v>8.6156454086303711</v>
      </c>
      <c r="C2115" t="s">
        <v>4</v>
      </c>
    </row>
    <row r="2116" spans="1:13">
      <c r="A2116" t="s">
        <v>0</v>
      </c>
      <c r="B2116" s="2">
        <f>SUM(TimeEntries474484[Time delta in h])</f>
        <v>29.444166666653473</v>
      </c>
      <c r="C2116" t="s">
        <v>4</v>
      </c>
    </row>
    <row r="2117" spans="1:13">
      <c r="A2117" t="s">
        <v>13</v>
      </c>
      <c r="B2117" s="5" t="s">
        <v>92</v>
      </c>
    </row>
    <row r="2118" spans="1:13">
      <c r="A2118" t="s">
        <v>14</v>
      </c>
      <c r="B2118" s="5" t="s">
        <v>18</v>
      </c>
    </row>
    <row r="2119" spans="1:13">
      <c r="A2119" t="s">
        <v>1</v>
      </c>
      <c r="B2119" t="s">
        <v>91</v>
      </c>
    </row>
    <row r="2120" spans="1:13">
      <c r="A2120" t="s">
        <v>15</v>
      </c>
      <c r="B2120" s="5" t="s">
        <v>92</v>
      </c>
    </row>
    <row r="2121" spans="1:13">
      <c r="A2121" t="s">
        <v>2</v>
      </c>
    </row>
    <row r="2122" spans="1:13">
      <c r="A2122" t="s">
        <v>46</v>
      </c>
      <c r="B2122" t="s">
        <v>450</v>
      </c>
    </row>
    <row r="2123" spans="1:13">
      <c r="A2123" t="s">
        <v>5</v>
      </c>
      <c r="B2123" s="2">
        <f>B2115/SUM(TimeEntries474484[Time delta in h])</f>
        <v>0.29260958566668777</v>
      </c>
      <c r="C2123" t="s">
        <v>6</v>
      </c>
    </row>
    <row r="2124" spans="1:13">
      <c r="A2124" t="s">
        <v>93</v>
      </c>
    </row>
    <row r="2125" spans="1:13">
      <c r="A2125" t="s">
        <v>94</v>
      </c>
    </row>
    <row r="2126" spans="1:13">
      <c r="A2126" t="s">
        <v>129</v>
      </c>
      <c r="B2126" s="1">
        <v>44161.952951388892</v>
      </c>
    </row>
    <row r="2128" spans="1:13">
      <c r="A2128" t="s">
        <v>10</v>
      </c>
      <c r="B2128" t="s">
        <v>7</v>
      </c>
      <c r="C2128" t="s">
        <v>8</v>
      </c>
      <c r="D2128" t="s">
        <v>9</v>
      </c>
      <c r="E2128" t="s">
        <v>134</v>
      </c>
      <c r="F2128" t="s">
        <v>84</v>
      </c>
      <c r="G2128" t="s">
        <v>85</v>
      </c>
      <c r="I2128" t="s">
        <v>70</v>
      </c>
      <c r="J2128" s="15" t="s">
        <v>68</v>
      </c>
      <c r="K2128" s="2" t="s">
        <v>69</v>
      </c>
      <c r="L2128" t="s">
        <v>71</v>
      </c>
      <c r="M2128" t="s">
        <v>72</v>
      </c>
    </row>
    <row r="2129" spans="1:13">
      <c r="A2129" t="s">
        <v>126</v>
      </c>
      <c r="B2129" s="1">
        <v>44160.726111111115</v>
      </c>
      <c r="C2129" s="1">
        <v>44161.952951388892</v>
      </c>
      <c r="D2129" s="2">
        <f>MAX((TimeEntries474484[[#This Row],[End time]]-TimeEntries474484[[#This Row],[Start time]])*24,0)</f>
        <v>29.444166666653473</v>
      </c>
      <c r="F2129" s="54" t="s">
        <v>184</v>
      </c>
      <c r="G2129" s="22" t="s">
        <v>185</v>
      </c>
      <c r="I2129" t="s">
        <v>126</v>
      </c>
      <c r="J2129" s="15">
        <v>0.05</v>
      </c>
      <c r="K2129" s="2">
        <v>4.3078227043151855</v>
      </c>
      <c r="L2129" s="2">
        <f>SUM(TimeEntries474484[Time delta in h])</f>
        <v>29.444166666653473</v>
      </c>
      <c r="M2129" s="16">
        <f>Tabelle7367475485[[#This Row],[EBS self time]]/Tabelle7367475485[[#This Row],[Total time]]</f>
        <v>0.14630479283334388</v>
      </c>
    </row>
    <row r="2130" spans="1:13">
      <c r="B2130" s="1"/>
      <c r="C2130" s="1"/>
      <c r="D2130" s="2"/>
      <c r="I2130" t="s">
        <v>127</v>
      </c>
      <c r="J2130" s="15">
        <v>0.2</v>
      </c>
      <c r="K2130" s="2">
        <v>4.3078227043151855</v>
      </c>
      <c r="L2130" s="2">
        <f>SUM(TimeEntries474484[Time delta in h])</f>
        <v>29.444166666653473</v>
      </c>
      <c r="M2130" s="16">
        <f>Tabelle7367475485[[#This Row],[EBS self time]]/Tabelle7367475485[[#This Row],[Total time]]</f>
        <v>0.14630479283334388</v>
      </c>
    </row>
    <row r="2131" spans="1:13">
      <c r="I2131" t="s">
        <v>169</v>
      </c>
      <c r="J2131" s="15">
        <v>0.35</v>
      </c>
      <c r="K2131" s="2">
        <v>4.3078227043151855</v>
      </c>
      <c r="L2131" s="2">
        <f>SUM(TimeEntries474484[Time delta in h])</f>
        <v>29.444166666653473</v>
      </c>
      <c r="M2131" s="16">
        <f>Tabelle7367475485[[#This Row],[EBS self time]]/Tabelle7367475485[[#This Row],[Total time]]</f>
        <v>0.14630479283334388</v>
      </c>
    </row>
    <row r="2132" spans="1:13">
      <c r="I2132" t="s">
        <v>172</v>
      </c>
      <c r="J2132" s="15">
        <v>0.5</v>
      </c>
      <c r="K2132" s="2">
        <v>4.3078227043151855</v>
      </c>
      <c r="L2132" s="2">
        <f>SUM(TimeEntries474484[Time delta in h])</f>
        <v>29.444166666653473</v>
      </c>
      <c r="M2132" s="16">
        <f>Tabelle7367475485[[#This Row],[EBS self time]]/Tabelle7367475485[[#This Row],[Total time]]</f>
        <v>0.14630479283334388</v>
      </c>
    </row>
    <row r="2133" spans="1:13">
      <c r="I2133" t="s">
        <v>187</v>
      </c>
      <c r="J2133" s="15">
        <v>0.65</v>
      </c>
      <c r="K2133" s="2">
        <v>16.696987226027851</v>
      </c>
      <c r="L2133" s="2">
        <f>SUM(TimeEntries474484[Time delta in h])</f>
        <v>29.444166666653473</v>
      </c>
      <c r="M2133" s="16">
        <f>Tabelle7367475485[[#This Row],[EBS self time]]/Tabelle7367475485[[#This Row],[Total time]]</f>
        <v>0.56707284043931727</v>
      </c>
    </row>
    <row r="2134" spans="1:13">
      <c r="I2134" t="s">
        <v>192</v>
      </c>
      <c r="J2134" s="15">
        <v>0.8</v>
      </c>
      <c r="K2134" s="2">
        <v>16.696987226027851</v>
      </c>
      <c r="L2134" s="2">
        <f>SUM(TimeEntries474484[Time delta in h])</f>
        <v>29.444166666653473</v>
      </c>
      <c r="M2134" s="16">
        <f>Tabelle7367475485[[#This Row],[EBS self time]]/Tabelle7367475485[[#This Row],[Total time]]</f>
        <v>0.56707284043931727</v>
      </c>
    </row>
    <row r="2135" spans="1:13">
      <c r="I2135" t="s">
        <v>193</v>
      </c>
      <c r="J2135" s="15">
        <v>0.95</v>
      </c>
      <c r="K2135" s="2">
        <v>16.696987226027851</v>
      </c>
      <c r="L2135" s="2">
        <f>SUM(TimeEntries474484[Time delta in h])</f>
        <v>29.444166666653473</v>
      </c>
      <c r="M2135" s="16">
        <f>Tabelle7367475485[[#This Row],[EBS self time]]/Tabelle7367475485[[#This Row],[Total time]]</f>
        <v>0.56707284043931727</v>
      </c>
    </row>
    <row r="2137" spans="1:13">
      <c r="A2137" t="s">
        <v>189</v>
      </c>
      <c r="B2137" t="s">
        <v>453</v>
      </c>
      <c r="C2137" t="s">
        <v>190</v>
      </c>
      <c r="D2137">
        <v>23</v>
      </c>
      <c r="E2137" t="s">
        <v>191</v>
      </c>
      <c r="F2137">
        <v>13</v>
      </c>
    </row>
    <row r="2138" spans="1:13">
      <c r="A2138" s="4" t="s">
        <v>24</v>
      </c>
      <c r="I2138" t="s">
        <v>135</v>
      </c>
      <c r="J2138" t="s">
        <v>136</v>
      </c>
    </row>
    <row r="2139" spans="1:13">
      <c r="A2139" t="s">
        <v>3</v>
      </c>
      <c r="B2139" t="s">
        <v>455</v>
      </c>
    </row>
    <row r="2140" spans="1:13">
      <c r="A2140" t="s">
        <v>77</v>
      </c>
      <c r="B2140" s="2">
        <v>11.147052764892578</v>
      </c>
      <c r="C2140" t="s">
        <v>4</v>
      </c>
    </row>
    <row r="2141" spans="1:13">
      <c r="A2141" t="s">
        <v>0</v>
      </c>
      <c r="B2141" s="2">
        <f>SUM(TimeEntries476486490500[Time delta in h])</f>
        <v>21.859166666690726</v>
      </c>
      <c r="C2141" t="s">
        <v>4</v>
      </c>
    </row>
    <row r="2142" spans="1:13">
      <c r="A2142" t="s">
        <v>13</v>
      </c>
      <c r="B2142" s="5" t="s">
        <v>92</v>
      </c>
    </row>
    <row r="2143" spans="1:13">
      <c r="A2143" t="s">
        <v>14</v>
      </c>
      <c r="B2143" s="5" t="s">
        <v>18</v>
      </c>
    </row>
    <row r="2144" spans="1:13">
      <c r="A2144" t="s">
        <v>1</v>
      </c>
      <c r="B2144" t="s">
        <v>91</v>
      </c>
    </row>
    <row r="2145" spans="1:13">
      <c r="A2145" t="s">
        <v>15</v>
      </c>
      <c r="B2145" s="5" t="s">
        <v>92</v>
      </c>
    </row>
    <row r="2146" spans="1:13">
      <c r="A2146" t="s">
        <v>2</v>
      </c>
    </row>
    <row r="2147" spans="1:13">
      <c r="A2147" t="s">
        <v>46</v>
      </c>
      <c r="B2147" t="s">
        <v>453</v>
      </c>
    </row>
    <row r="2148" spans="1:13">
      <c r="A2148" t="s">
        <v>5</v>
      </c>
      <c r="B2148" s="2">
        <f>B2140/SUM(TimeEntries476486490500[Time delta in h])</f>
        <v>0.50994866066319888</v>
      </c>
      <c r="C2148" t="s">
        <v>6</v>
      </c>
    </row>
    <row r="2149" spans="1:13">
      <c r="A2149" t="s">
        <v>93</v>
      </c>
    </row>
    <row r="2150" spans="1:13">
      <c r="A2150" t="s">
        <v>94</v>
      </c>
    </row>
    <row r="2151" spans="1:13">
      <c r="A2151" t="s">
        <v>129</v>
      </c>
      <c r="B2151" s="1">
        <v>44161.952962962961</v>
      </c>
    </row>
    <row r="2153" spans="1:13">
      <c r="A2153" t="s">
        <v>10</v>
      </c>
      <c r="B2153" t="s">
        <v>7</v>
      </c>
      <c r="C2153" t="s">
        <v>8</v>
      </c>
      <c r="D2153" t="s">
        <v>9</v>
      </c>
      <c r="E2153" t="s">
        <v>134</v>
      </c>
      <c r="F2153" t="s">
        <v>84</v>
      </c>
      <c r="G2153" t="s">
        <v>85</v>
      </c>
      <c r="I2153" t="s">
        <v>70</v>
      </c>
      <c r="J2153" s="15" t="s">
        <v>68</v>
      </c>
      <c r="K2153" s="2" t="s">
        <v>69</v>
      </c>
      <c r="L2153" t="s">
        <v>71</v>
      </c>
      <c r="M2153" t="s">
        <v>72</v>
      </c>
    </row>
    <row r="2154" spans="1:13">
      <c r="A2154" t="s">
        <v>126</v>
      </c>
      <c r="B2154" s="1">
        <v>44161.042210648149</v>
      </c>
      <c r="C2154" s="1">
        <v>44161.953009259261</v>
      </c>
      <c r="D2154" s="2">
        <f>MAX((TimeEntries476486490500[[#This Row],[End time]]-TimeEntries476486490500[[#This Row],[Start time]])*24,0)</f>
        <v>21.859166666690726</v>
      </c>
      <c r="F2154" s="54" t="s">
        <v>184</v>
      </c>
      <c r="G2154" s="22" t="s">
        <v>185</v>
      </c>
      <c r="I2154" t="s">
        <v>126</v>
      </c>
      <c r="J2154" s="15">
        <v>0.05</v>
      </c>
      <c r="K2154" s="2">
        <v>5.5735263824462891</v>
      </c>
      <c r="L2154" s="2">
        <f>SUM(TimeEntries476486490500[Time delta in h])</f>
        <v>21.859166666690726</v>
      </c>
      <c r="M2154" s="16">
        <f>Tabelle7367477487491501[[#This Row],[EBS self time]]/Tabelle7367477487491501[[#This Row],[Total time]]</f>
        <v>0.25497433033159944</v>
      </c>
    </row>
    <row r="2155" spans="1:13">
      <c r="B2155" s="1"/>
      <c r="C2155" s="1"/>
      <c r="D2155" s="2"/>
      <c r="I2155" t="s">
        <v>127</v>
      </c>
      <c r="J2155" s="15">
        <v>0.2</v>
      </c>
      <c r="K2155" s="2">
        <v>5.5735263824462891</v>
      </c>
      <c r="L2155" s="2">
        <f>SUM(TimeEntries476486490500[Time delta in h])</f>
        <v>21.859166666690726</v>
      </c>
      <c r="M2155" s="16">
        <f>Tabelle7367477487491501[[#This Row],[EBS self time]]/Tabelle7367477487491501[[#This Row],[Total time]]</f>
        <v>0.25497433033159944</v>
      </c>
    </row>
    <row r="2156" spans="1:13">
      <c r="I2156" t="s">
        <v>169</v>
      </c>
      <c r="J2156" s="15">
        <v>0.35</v>
      </c>
      <c r="K2156" s="2">
        <v>5.5735263824462891</v>
      </c>
      <c r="L2156" s="2">
        <f>SUM(TimeEntries476486490500[Time delta in h])</f>
        <v>21.859166666690726</v>
      </c>
      <c r="M2156" s="16">
        <f>Tabelle7367477487491501[[#This Row],[EBS self time]]/Tabelle7367477487491501[[#This Row],[Total time]]</f>
        <v>0.25497433033159944</v>
      </c>
    </row>
    <row r="2157" spans="1:13">
      <c r="I2157" t="s">
        <v>172</v>
      </c>
      <c r="J2157" s="15">
        <v>0.5</v>
      </c>
      <c r="K2157" s="2">
        <v>5.5735263824462891</v>
      </c>
      <c r="L2157" s="2">
        <f>SUM(TimeEntries476486490500[Time delta in h])</f>
        <v>21.859166666690726</v>
      </c>
      <c r="M2157" s="16">
        <f>Tabelle7367477487491501[[#This Row],[EBS self time]]/Tabelle7367477487491501[[#This Row],[Total time]]</f>
        <v>0.25497433033159944</v>
      </c>
    </row>
    <row r="2158" spans="1:13">
      <c r="I2158" t="s">
        <v>187</v>
      </c>
      <c r="J2158" s="15">
        <v>0.65</v>
      </c>
      <c r="K2158" s="2">
        <v>12.385974230137911</v>
      </c>
      <c r="L2158" s="2">
        <f>SUM(TimeEntries476486490500[Time delta in h])</f>
        <v>21.859166666690726</v>
      </c>
      <c r="M2158" s="16">
        <f>Tabelle7367477487491501[[#This Row],[EBS self time]]/Tabelle7367477487491501[[#This Row],[Total time]]</f>
        <v>0.56662609416907994</v>
      </c>
    </row>
    <row r="2159" spans="1:13">
      <c r="I2159" t="s">
        <v>192</v>
      </c>
      <c r="J2159" s="15">
        <v>0.8</v>
      </c>
      <c r="K2159" s="2">
        <v>21.60281543583833</v>
      </c>
      <c r="L2159" s="2">
        <f>SUM(TimeEntries476486490500[Time delta in h])</f>
        <v>21.859166666690726</v>
      </c>
      <c r="M2159" s="16">
        <f>Tabelle7367477487491501[[#This Row],[EBS self time]]/Tabelle7367477487491501[[#This Row],[Total time]]</f>
        <v>0.98827259818449409</v>
      </c>
    </row>
    <row r="2160" spans="1:13">
      <c r="I2160" t="s">
        <v>193</v>
      </c>
      <c r="J2160" s="15">
        <v>0.95</v>
      </c>
      <c r="K2160" s="2">
        <v>21.60281543583833</v>
      </c>
      <c r="L2160" s="2">
        <f>SUM(TimeEntries476486490500[Time delta in h])</f>
        <v>21.859166666690726</v>
      </c>
      <c r="M2160" s="16">
        <f>Tabelle7367477487491501[[#This Row],[EBS self time]]/Tabelle7367477487491501[[#This Row],[Total time]]</f>
        <v>0.98827259818449409</v>
      </c>
    </row>
    <row r="2162" spans="1:10">
      <c r="A2162" t="s">
        <v>189</v>
      </c>
      <c r="B2162" t="s">
        <v>456</v>
      </c>
      <c r="C2162" t="s">
        <v>190</v>
      </c>
      <c r="D2162">
        <v>18</v>
      </c>
      <c r="E2162" t="s">
        <v>191</v>
      </c>
      <c r="F2162">
        <v>13</v>
      </c>
    </row>
    <row r="2163" spans="1:10">
      <c r="A2163" s="4" t="s">
        <v>24</v>
      </c>
      <c r="I2163" t="s">
        <v>135</v>
      </c>
      <c r="J2163" t="s">
        <v>136</v>
      </c>
    </row>
    <row r="2164" spans="1:10">
      <c r="A2164" t="s">
        <v>3</v>
      </c>
      <c r="B2164" t="s">
        <v>458</v>
      </c>
    </row>
    <row r="2165" spans="1:10">
      <c r="A2165" t="s">
        <v>77</v>
      </c>
      <c r="B2165" s="2" t="s">
        <v>92</v>
      </c>
      <c r="C2165" t="s">
        <v>4</v>
      </c>
    </row>
    <row r="2166" spans="1:10">
      <c r="A2166" t="s">
        <v>0</v>
      </c>
      <c r="B2166" s="2">
        <f>SUM(TimeEntries492502[Time delta in h])</f>
        <v>21.691666666651145</v>
      </c>
      <c r="C2166" t="s">
        <v>4</v>
      </c>
    </row>
    <row r="2167" spans="1:10">
      <c r="A2167" t="s">
        <v>13</v>
      </c>
      <c r="B2167" s="5" t="s">
        <v>92</v>
      </c>
    </row>
    <row r="2168" spans="1:10">
      <c r="A2168" t="s">
        <v>14</v>
      </c>
      <c r="B2168" s="5" t="s">
        <v>18</v>
      </c>
    </row>
    <row r="2169" spans="1:10">
      <c r="A2169" t="s">
        <v>1</v>
      </c>
      <c r="B2169" t="s">
        <v>91</v>
      </c>
    </row>
    <row r="2170" spans="1:10">
      <c r="A2170" t="s">
        <v>15</v>
      </c>
      <c r="B2170" s="5" t="s">
        <v>92</v>
      </c>
    </row>
    <row r="2171" spans="1:10">
      <c r="A2171" t="s">
        <v>2</v>
      </c>
    </row>
    <row r="2172" spans="1:10">
      <c r="A2172" t="s">
        <v>46</v>
      </c>
      <c r="B2172" t="s">
        <v>456</v>
      </c>
    </row>
    <row r="2173" spans="1:10">
      <c r="A2173" t="s">
        <v>5</v>
      </c>
      <c r="B2173" s="2" t="e">
        <f>B2165/SUM(TimeEntries492502[Time delta in h])</f>
        <v>#VALUE!</v>
      </c>
      <c r="C2173" t="s">
        <v>6</v>
      </c>
    </row>
    <row r="2174" spans="1:10">
      <c r="A2174" t="s">
        <v>93</v>
      </c>
    </row>
    <row r="2175" spans="1:10">
      <c r="A2175" t="s">
        <v>94</v>
      </c>
    </row>
    <row r="2176" spans="1:10">
      <c r="A2176" t="s">
        <v>129</v>
      </c>
      <c r="B2176" s="1">
        <v>44161.953020833331</v>
      </c>
    </row>
    <row r="2178" spans="1:13">
      <c r="A2178" t="s">
        <v>10</v>
      </c>
      <c r="B2178" t="s">
        <v>7</v>
      </c>
      <c r="C2178" t="s">
        <v>8</v>
      </c>
      <c r="D2178" t="s">
        <v>9</v>
      </c>
      <c r="E2178" t="s">
        <v>134</v>
      </c>
      <c r="F2178" t="s">
        <v>84</v>
      </c>
      <c r="G2178" t="s">
        <v>85</v>
      </c>
      <c r="I2178" t="s">
        <v>70</v>
      </c>
      <c r="J2178" s="15" t="s">
        <v>68</v>
      </c>
      <c r="K2178" s="2" t="s">
        <v>69</v>
      </c>
      <c r="L2178" t="s">
        <v>71</v>
      </c>
      <c r="M2178" t="s">
        <v>72</v>
      </c>
    </row>
    <row r="2179" spans="1:13">
      <c r="A2179" t="s">
        <v>126</v>
      </c>
      <c r="B2179" s="1">
        <v>44161.049201388887</v>
      </c>
      <c r="C2179" s="1">
        <v>44161.953020833331</v>
      </c>
      <c r="D2179" s="2">
        <f>MAX((TimeEntries492502[[#This Row],[End time]]-TimeEntries492502[[#This Row],[Start time]])*24,0)</f>
        <v>21.691666666651145</v>
      </c>
      <c r="F2179" s="54" t="s">
        <v>184</v>
      </c>
      <c r="G2179" s="22" t="s">
        <v>185</v>
      </c>
      <c r="J2179" s="15"/>
      <c r="K2179" s="2"/>
      <c r="L2179" s="2">
        <f>SUM(TimeEntries492502[Time delta in h])</f>
        <v>21.691666666651145</v>
      </c>
      <c r="M2179" s="16">
        <f>Tabelle7367493503[[#This Row],[EBS self time]]/Tabelle7367493503[[#This Row],[Total time]]</f>
        <v>0</v>
      </c>
    </row>
    <row r="2180" spans="1:13">
      <c r="B2180" s="1"/>
      <c r="C2180" s="1"/>
      <c r="D2180" s="2"/>
    </row>
    <row r="2182" spans="1:13">
      <c r="A2182" t="s">
        <v>189</v>
      </c>
      <c r="B2182" t="s">
        <v>459</v>
      </c>
      <c r="C2182" t="s">
        <v>190</v>
      </c>
      <c r="D2182">
        <v>18</v>
      </c>
      <c r="E2182" t="s">
        <v>191</v>
      </c>
      <c r="F2182">
        <v>13</v>
      </c>
    </row>
    <row r="2183" spans="1:13">
      <c r="A2183" s="4" t="s">
        <v>24</v>
      </c>
      <c r="I2183" t="s">
        <v>135</v>
      </c>
      <c r="J2183" t="s">
        <v>136</v>
      </c>
    </row>
    <row r="2184" spans="1:13">
      <c r="A2184" t="s">
        <v>3</v>
      </c>
      <c r="B2184" t="s">
        <v>461</v>
      </c>
    </row>
    <row r="2185" spans="1:13">
      <c r="A2185" t="s">
        <v>77</v>
      </c>
      <c r="B2185" s="2" t="s">
        <v>92</v>
      </c>
      <c r="C2185" t="s">
        <v>4</v>
      </c>
    </row>
    <row r="2186" spans="1:13">
      <c r="A2186" t="s">
        <v>0</v>
      </c>
      <c r="B2186" s="2">
        <f>SUM(TimeEntries494504[Time delta in h])</f>
        <v>2.0069444443797693</v>
      </c>
      <c r="C2186" t="s">
        <v>4</v>
      </c>
    </row>
    <row r="2187" spans="1:13">
      <c r="A2187" t="s">
        <v>13</v>
      </c>
      <c r="B2187" s="5" t="s">
        <v>92</v>
      </c>
    </row>
    <row r="2188" spans="1:13">
      <c r="A2188" t="s">
        <v>14</v>
      </c>
      <c r="B2188" s="5" t="s">
        <v>18</v>
      </c>
    </row>
    <row r="2189" spans="1:13">
      <c r="A2189" t="s">
        <v>1</v>
      </c>
      <c r="B2189" t="s">
        <v>91</v>
      </c>
    </row>
    <row r="2190" spans="1:13">
      <c r="A2190" t="s">
        <v>15</v>
      </c>
      <c r="B2190" s="5" t="s">
        <v>92</v>
      </c>
    </row>
    <row r="2191" spans="1:13">
      <c r="A2191" t="s">
        <v>2</v>
      </c>
    </row>
    <row r="2192" spans="1:13">
      <c r="A2192" t="s">
        <v>46</v>
      </c>
      <c r="B2192" t="s">
        <v>459</v>
      </c>
    </row>
    <row r="2193" spans="1:13">
      <c r="A2193" t="s">
        <v>5</v>
      </c>
      <c r="B2193" s="2" t="e">
        <f>B2185/SUM(TimeEntries494504[Time delta in h])</f>
        <v>#VALUE!</v>
      </c>
      <c r="C2193" t="s">
        <v>6</v>
      </c>
    </row>
    <row r="2194" spans="1:13">
      <c r="A2194" t="s">
        <v>93</v>
      </c>
    </row>
    <row r="2195" spans="1:13">
      <c r="A2195" t="s">
        <v>94</v>
      </c>
    </row>
    <row r="2196" spans="1:13">
      <c r="A2196" t="s">
        <v>129</v>
      </c>
      <c r="B2196" s="1">
        <v>44161.953032407408</v>
      </c>
    </row>
    <row r="2198" spans="1:13">
      <c r="A2198" t="s">
        <v>10</v>
      </c>
      <c r="B2198" t="s">
        <v>7</v>
      </c>
      <c r="C2198" t="s">
        <v>8</v>
      </c>
      <c r="D2198" t="s">
        <v>9</v>
      </c>
      <c r="E2198" t="s">
        <v>134</v>
      </c>
      <c r="F2198" t="s">
        <v>84</v>
      </c>
      <c r="G2198" t="s">
        <v>85</v>
      </c>
      <c r="I2198" t="s">
        <v>70</v>
      </c>
      <c r="J2198" s="15" t="s">
        <v>68</v>
      </c>
      <c r="K2198" s="2" t="s">
        <v>69</v>
      </c>
      <c r="L2198" t="s">
        <v>71</v>
      </c>
      <c r="M2198" t="s">
        <v>72</v>
      </c>
    </row>
    <row r="2199" spans="1:13">
      <c r="A2199" t="s">
        <v>126</v>
      </c>
      <c r="B2199" s="1">
        <v>44161.869409722225</v>
      </c>
      <c r="C2199" s="1">
        <v>44161.953032407408</v>
      </c>
      <c r="D2199" s="2">
        <f>MAX((TimeEntries494504[[#This Row],[End time]]-TimeEntries494504[[#This Row],[Start time]])*24,0)</f>
        <v>2.0069444443797693</v>
      </c>
      <c r="F2199" s="54" t="s">
        <v>184</v>
      </c>
      <c r="G2199" s="22" t="s">
        <v>185</v>
      </c>
      <c r="J2199" s="15"/>
      <c r="K2199" s="2"/>
      <c r="L2199" s="2">
        <f>SUM(TimeEntries494504[Time delta in h])</f>
        <v>2.0069444443797693</v>
      </c>
      <c r="M2199" s="16">
        <f>Tabelle7367495505[[#This Row],[EBS self time]]/Tabelle7367495505[[#This Row],[Total time]]</f>
        <v>0</v>
      </c>
    </row>
    <row r="2200" spans="1:13">
      <c r="B2200" s="1"/>
      <c r="C2200" s="1"/>
      <c r="D2200" s="2"/>
    </row>
    <row r="2202" spans="1:13">
      <c r="A2202" t="s">
        <v>189</v>
      </c>
      <c r="B2202" t="s">
        <v>462</v>
      </c>
      <c r="C2202" t="s">
        <v>190</v>
      </c>
      <c r="D2202">
        <v>18</v>
      </c>
      <c r="E2202" t="s">
        <v>191</v>
      </c>
      <c r="F2202">
        <v>13</v>
      </c>
    </row>
    <row r="2203" spans="1:13">
      <c r="A2203" s="4" t="s">
        <v>24</v>
      </c>
      <c r="I2203" t="s">
        <v>135</v>
      </c>
      <c r="J2203" t="s">
        <v>136</v>
      </c>
    </row>
    <row r="2204" spans="1:13">
      <c r="A2204" t="s">
        <v>3</v>
      </c>
      <c r="B2204" t="s">
        <v>464</v>
      </c>
    </row>
    <row r="2205" spans="1:13">
      <c r="A2205" t="s">
        <v>77</v>
      </c>
      <c r="B2205" s="2" t="s">
        <v>92</v>
      </c>
      <c r="C2205" t="s">
        <v>4</v>
      </c>
    </row>
    <row r="2206" spans="1:13">
      <c r="A2206" t="s">
        <v>0</v>
      </c>
      <c r="B2206" s="2">
        <f>SUM(TimeEntries496506[Time delta in h])</f>
        <v>25.678888888971414</v>
      </c>
      <c r="C2206" t="s">
        <v>4</v>
      </c>
    </row>
    <row r="2207" spans="1:13">
      <c r="A2207" t="s">
        <v>13</v>
      </c>
      <c r="B2207" s="5" t="s">
        <v>92</v>
      </c>
    </row>
    <row r="2208" spans="1:13">
      <c r="A2208" t="s">
        <v>14</v>
      </c>
      <c r="B2208" s="5" t="s">
        <v>18</v>
      </c>
    </row>
    <row r="2209" spans="1:13">
      <c r="A2209" t="s">
        <v>1</v>
      </c>
      <c r="B2209" t="s">
        <v>91</v>
      </c>
    </row>
    <row r="2210" spans="1:13">
      <c r="A2210" t="s">
        <v>15</v>
      </c>
      <c r="B2210" s="5" t="s">
        <v>92</v>
      </c>
    </row>
    <row r="2211" spans="1:13">
      <c r="A2211" t="s">
        <v>2</v>
      </c>
    </row>
    <row r="2212" spans="1:13">
      <c r="A2212" t="s">
        <v>46</v>
      </c>
      <c r="B2212" t="s">
        <v>462</v>
      </c>
    </row>
    <row r="2213" spans="1:13">
      <c r="A2213" t="s">
        <v>5</v>
      </c>
      <c r="B2213" s="2" t="e">
        <f>B2205/SUM(TimeEntries496506[Time delta in h])</f>
        <v>#VALUE!</v>
      </c>
      <c r="C2213" t="s">
        <v>6</v>
      </c>
    </row>
    <row r="2214" spans="1:13">
      <c r="A2214" t="s">
        <v>93</v>
      </c>
    </row>
    <row r="2215" spans="1:13">
      <c r="A2215" t="s">
        <v>94</v>
      </c>
    </row>
    <row r="2216" spans="1:13">
      <c r="A2216" t="s">
        <v>129</v>
      </c>
      <c r="B2216" s="1">
        <v>44161.953043981484</v>
      </c>
    </row>
    <row r="2218" spans="1:13">
      <c r="A2218" t="s">
        <v>10</v>
      </c>
      <c r="B2218" t="s">
        <v>7</v>
      </c>
      <c r="C2218" t="s">
        <v>8</v>
      </c>
      <c r="D2218" t="s">
        <v>9</v>
      </c>
      <c r="E2218" t="s">
        <v>134</v>
      </c>
      <c r="F2218" t="s">
        <v>84</v>
      </c>
      <c r="G2218" t="s">
        <v>85</v>
      </c>
      <c r="I2218" t="s">
        <v>70</v>
      </c>
      <c r="J2218" s="15" t="s">
        <v>68</v>
      </c>
      <c r="K2218" s="2" t="s">
        <v>69</v>
      </c>
      <c r="L2218" t="s">
        <v>71</v>
      </c>
      <c r="M2218" t="s">
        <v>72</v>
      </c>
    </row>
    <row r="2219" spans="1:13">
      <c r="A2219" t="s">
        <v>126</v>
      </c>
      <c r="B2219" s="1">
        <v>44160.883090277777</v>
      </c>
      <c r="C2219" s="1">
        <v>44161.953043981484</v>
      </c>
      <c r="D2219" s="2">
        <f>MAX((TimeEntries496506[[#This Row],[End time]]-TimeEntries496506[[#This Row],[Start time]])*24,0)</f>
        <v>25.678888888971414</v>
      </c>
      <c r="F2219" s="54" t="s">
        <v>184</v>
      </c>
      <c r="G2219" s="22" t="s">
        <v>185</v>
      </c>
      <c r="J2219" s="15"/>
      <c r="K2219" s="2"/>
      <c r="L2219" s="2">
        <f>SUM(TimeEntries496506[Time delta in h])</f>
        <v>25.678888888971414</v>
      </c>
      <c r="M2219" s="16">
        <f>Tabelle7367497507[[#This Row],[EBS self time]]/Tabelle7367497507[[#This Row],[Total time]]</f>
        <v>0</v>
      </c>
    </row>
    <row r="2220" spans="1:13">
      <c r="B2220" s="1"/>
      <c r="C2220" s="1"/>
      <c r="D2220" s="2"/>
    </row>
    <row r="2222" spans="1:13">
      <c r="A2222" t="s">
        <v>189</v>
      </c>
      <c r="B2222" t="s">
        <v>465</v>
      </c>
      <c r="C2222" t="s">
        <v>190</v>
      </c>
      <c r="D2222">
        <v>23</v>
      </c>
      <c r="E2222" t="s">
        <v>191</v>
      </c>
      <c r="F2222">
        <v>13</v>
      </c>
    </row>
    <row r="2223" spans="1:13">
      <c r="A2223" s="4" t="s">
        <v>24</v>
      </c>
      <c r="I2223" t="s">
        <v>135</v>
      </c>
      <c r="J2223" t="s">
        <v>136</v>
      </c>
    </row>
    <row r="2224" spans="1:13">
      <c r="A2224" t="s">
        <v>3</v>
      </c>
      <c r="B2224" t="s">
        <v>467</v>
      </c>
    </row>
    <row r="2225" spans="1:13">
      <c r="A2225" t="s">
        <v>77</v>
      </c>
      <c r="B2225" s="2">
        <v>14.430596351623535</v>
      </c>
      <c r="C2225" t="s">
        <v>4</v>
      </c>
    </row>
    <row r="2226" spans="1:13">
      <c r="A2226" t="s">
        <v>0</v>
      </c>
      <c r="B2226" s="2">
        <f>SUM(TimeEntries498508512522[Time delta in h])</f>
        <v>12.136388888990041</v>
      </c>
      <c r="C2226" t="s">
        <v>4</v>
      </c>
    </row>
    <row r="2227" spans="1:13">
      <c r="A2227" t="s">
        <v>13</v>
      </c>
      <c r="B2227" s="5" t="s">
        <v>92</v>
      </c>
    </row>
    <row r="2228" spans="1:13">
      <c r="A2228" t="s">
        <v>14</v>
      </c>
      <c r="B2228" s="5" t="s">
        <v>18</v>
      </c>
    </row>
    <row r="2229" spans="1:13">
      <c r="A2229" t="s">
        <v>1</v>
      </c>
      <c r="B2229" t="s">
        <v>91</v>
      </c>
    </row>
    <row r="2230" spans="1:13">
      <c r="A2230" t="s">
        <v>15</v>
      </c>
      <c r="B2230" s="5" t="s">
        <v>92</v>
      </c>
    </row>
    <row r="2231" spans="1:13">
      <c r="A2231" t="s">
        <v>2</v>
      </c>
    </row>
    <row r="2232" spans="1:13">
      <c r="A2232" t="s">
        <v>46</v>
      </c>
      <c r="B2232" t="s">
        <v>465</v>
      </c>
    </row>
    <row r="2233" spans="1:13">
      <c r="A2233" t="s">
        <v>5</v>
      </c>
      <c r="B2233" s="2">
        <f>B2225/SUM(TimeEntries498508512522[Time delta in h])</f>
        <v>1.1890354275574315</v>
      </c>
      <c r="C2233" t="s">
        <v>6</v>
      </c>
    </row>
    <row r="2234" spans="1:13">
      <c r="A2234" t="s">
        <v>93</v>
      </c>
    </row>
    <row r="2235" spans="1:13">
      <c r="A2235" t="s">
        <v>94</v>
      </c>
    </row>
    <row r="2236" spans="1:13">
      <c r="A2236" t="s">
        <v>129</v>
      </c>
      <c r="B2236" s="1">
        <v>44161.953055555554</v>
      </c>
    </row>
    <row r="2238" spans="1:13">
      <c r="A2238" t="s">
        <v>10</v>
      </c>
      <c r="B2238" t="s">
        <v>7</v>
      </c>
      <c r="C2238" t="s">
        <v>8</v>
      </c>
      <c r="D2238" t="s">
        <v>9</v>
      </c>
      <c r="E2238" t="s">
        <v>134</v>
      </c>
      <c r="F2238" t="s">
        <v>84</v>
      </c>
      <c r="G2238" t="s">
        <v>85</v>
      </c>
      <c r="I2238" t="s">
        <v>70</v>
      </c>
      <c r="J2238" s="15" t="s">
        <v>68</v>
      </c>
      <c r="K2238" s="2" t="s">
        <v>69</v>
      </c>
      <c r="L2238" t="s">
        <v>71</v>
      </c>
      <c r="M2238" t="s">
        <v>72</v>
      </c>
    </row>
    <row r="2239" spans="1:13">
      <c r="A2239" t="s">
        <v>126</v>
      </c>
      <c r="B2239" s="1">
        <v>44161.447418981479</v>
      </c>
      <c r="C2239" s="1">
        <v>44161.953101851854</v>
      </c>
      <c r="D2239" s="2">
        <f>MAX((TimeEntries498508512522[[#This Row],[End time]]-TimeEntries498508512522[[#This Row],[Start time]])*24,0)</f>
        <v>12.136388888990041</v>
      </c>
      <c r="F2239" s="54" t="s">
        <v>184</v>
      </c>
      <c r="G2239" s="22" t="s">
        <v>185</v>
      </c>
      <c r="I2239" t="s">
        <v>126</v>
      </c>
      <c r="J2239" s="15">
        <v>0.05</v>
      </c>
      <c r="K2239" s="2">
        <v>7.2152981758117676</v>
      </c>
      <c r="L2239" s="2">
        <f>SUM(TimeEntries498508512522[Time delta in h])</f>
        <v>12.136388888990041</v>
      </c>
      <c r="M2239" s="16">
        <f>Tabelle7367499509513523[[#This Row],[EBS self time]]/Tabelle7367499509513523[[#This Row],[Total time]]</f>
        <v>0.59451771377871576</v>
      </c>
    </row>
    <row r="2240" spans="1:13">
      <c r="B2240" s="1"/>
      <c r="C2240" s="1"/>
      <c r="D2240" s="2"/>
      <c r="I2240" t="s">
        <v>127</v>
      </c>
      <c r="J2240" s="15">
        <v>0.2</v>
      </c>
      <c r="K2240" s="2">
        <v>7.2152981758117676</v>
      </c>
      <c r="L2240" s="2">
        <f>SUM(TimeEntries498508512522[Time delta in h])</f>
        <v>12.136388888990041</v>
      </c>
      <c r="M2240" s="16">
        <f>Tabelle7367499509513523[[#This Row],[EBS self time]]/Tabelle7367499509513523[[#This Row],[Total time]]</f>
        <v>0.59451771377871576</v>
      </c>
    </row>
    <row r="2241" spans="1:13">
      <c r="I2241" t="s">
        <v>169</v>
      </c>
      <c r="J2241" s="15">
        <v>0.35</v>
      </c>
      <c r="K2241" s="2">
        <v>7.2152981758117676</v>
      </c>
      <c r="L2241" s="2">
        <f>SUM(TimeEntries498508512522[Time delta in h])</f>
        <v>12.136388888990041</v>
      </c>
      <c r="M2241" s="16">
        <f>Tabelle7367499509513523[[#This Row],[EBS self time]]/Tabelle7367499509513523[[#This Row],[Total time]]</f>
        <v>0.59451771377871576</v>
      </c>
    </row>
    <row r="2242" spans="1:13">
      <c r="I2242" t="s">
        <v>172</v>
      </c>
      <c r="J2242" s="15">
        <v>0.5</v>
      </c>
      <c r="K2242" s="2">
        <v>7.2152981758117676</v>
      </c>
      <c r="L2242" s="2">
        <f>SUM(TimeEntries498508512522[Time delta in h])</f>
        <v>12.136388888990041</v>
      </c>
      <c r="M2242" s="16">
        <f>Tabelle7367499509513523[[#This Row],[EBS self time]]/Tabelle7367499509513523[[#This Row],[Total time]]</f>
        <v>0.59451771377871576</v>
      </c>
    </row>
    <row r="2243" spans="1:13">
      <c r="I2243" t="s">
        <v>187</v>
      </c>
      <c r="J2243" s="15">
        <v>0.65</v>
      </c>
      <c r="K2243" s="2">
        <v>7.2152981758117676</v>
      </c>
      <c r="L2243" s="2">
        <f>SUM(TimeEntries498508512522[Time delta in h])</f>
        <v>12.136388888990041</v>
      </c>
      <c r="M2243" s="16">
        <f>Tabelle7367499509513523[[#This Row],[EBS self time]]/Tabelle7367499509513523[[#This Row],[Total time]]</f>
        <v>0.59451771377871576</v>
      </c>
    </row>
    <row r="2244" spans="1:13">
      <c r="I2244" t="s">
        <v>192</v>
      </c>
      <c r="J2244" s="15">
        <v>0.8</v>
      </c>
      <c r="K2244" s="2">
        <v>27.966271999270415</v>
      </c>
      <c r="L2244" s="2">
        <f>SUM(TimeEntries498508512522[Time delta in h])</f>
        <v>12.136388888990041</v>
      </c>
      <c r="M2244" s="16">
        <f>Tabelle7367499509513523[[#This Row],[EBS self time]]/Tabelle7367499509513523[[#This Row],[Total time]]</f>
        <v>2.3043322239485104</v>
      </c>
    </row>
    <row r="2245" spans="1:13">
      <c r="I2245" t="s">
        <v>193</v>
      </c>
      <c r="J2245" s="15">
        <v>0.95</v>
      </c>
      <c r="K2245" s="2">
        <v>27.966271999270415</v>
      </c>
      <c r="L2245" s="2">
        <f>SUM(TimeEntries498508512522[Time delta in h])</f>
        <v>12.136388888990041</v>
      </c>
      <c r="M2245" s="16">
        <f>Tabelle7367499509513523[[#This Row],[EBS self time]]/Tabelle7367499509513523[[#This Row],[Total time]]</f>
        <v>2.3043322239485104</v>
      </c>
    </row>
    <row r="2247" spans="1:13">
      <c r="A2247" t="s">
        <v>189</v>
      </c>
      <c r="B2247" t="s">
        <v>468</v>
      </c>
      <c r="C2247" t="s">
        <v>190</v>
      </c>
      <c r="D2247">
        <v>23</v>
      </c>
      <c r="E2247" t="s">
        <v>191</v>
      </c>
      <c r="F2247">
        <v>13</v>
      </c>
    </row>
    <row r="2248" spans="1:13">
      <c r="A2248" s="4" t="s">
        <v>24</v>
      </c>
      <c r="I2248" t="s">
        <v>135</v>
      </c>
      <c r="J2248" t="s">
        <v>136</v>
      </c>
    </row>
    <row r="2249" spans="1:13">
      <c r="A2249" t="s">
        <v>3</v>
      </c>
      <c r="B2249" t="s">
        <v>470</v>
      </c>
    </row>
    <row r="2250" spans="1:13">
      <c r="A2250" t="s">
        <v>77</v>
      </c>
      <c r="B2250" s="2">
        <v>4.0630855560302734</v>
      </c>
      <c r="C2250" t="s">
        <v>4</v>
      </c>
    </row>
    <row r="2251" spans="1:13">
      <c r="A2251" t="s">
        <v>0</v>
      </c>
      <c r="B2251" s="2">
        <f>SUM(TimeEntries514524[Time delta in h])</f>
        <v>14.210833333258051</v>
      </c>
      <c r="C2251" t="s">
        <v>4</v>
      </c>
    </row>
    <row r="2252" spans="1:13">
      <c r="A2252" t="s">
        <v>13</v>
      </c>
      <c r="B2252" s="5" t="s">
        <v>92</v>
      </c>
    </row>
    <row r="2253" spans="1:13">
      <c r="A2253" t="s">
        <v>14</v>
      </c>
      <c r="B2253" s="5" t="s">
        <v>18</v>
      </c>
    </row>
    <row r="2254" spans="1:13">
      <c r="A2254" t="s">
        <v>1</v>
      </c>
      <c r="B2254" t="s">
        <v>91</v>
      </c>
    </row>
    <row r="2255" spans="1:13">
      <c r="A2255" t="s">
        <v>15</v>
      </c>
      <c r="B2255" s="5" t="s">
        <v>92</v>
      </c>
    </row>
    <row r="2256" spans="1:13">
      <c r="A2256" t="s">
        <v>2</v>
      </c>
    </row>
    <row r="2257" spans="1:13">
      <c r="A2257" t="s">
        <v>46</v>
      </c>
      <c r="B2257" t="s">
        <v>468</v>
      </c>
    </row>
    <row r="2258" spans="1:13">
      <c r="A2258" t="s">
        <v>5</v>
      </c>
      <c r="B2258" s="2">
        <f>B2250/SUM(TimeEntries514524[Time delta in h])</f>
        <v>0.28591465825732465</v>
      </c>
      <c r="C2258" t="s">
        <v>6</v>
      </c>
    </row>
    <row r="2259" spans="1:13">
      <c r="A2259" t="s">
        <v>93</v>
      </c>
    </row>
    <row r="2260" spans="1:13">
      <c r="A2260" t="s">
        <v>94</v>
      </c>
    </row>
    <row r="2261" spans="1:13">
      <c r="A2261" t="s">
        <v>129</v>
      </c>
      <c r="B2261" s="1">
        <v>44161.953113425923</v>
      </c>
    </row>
    <row r="2263" spans="1:13">
      <c r="A2263" t="s">
        <v>10</v>
      </c>
      <c r="B2263" t="s">
        <v>7</v>
      </c>
      <c r="C2263" t="s">
        <v>8</v>
      </c>
      <c r="D2263" t="s">
        <v>9</v>
      </c>
      <c r="E2263" t="s">
        <v>134</v>
      </c>
      <c r="F2263" t="s">
        <v>84</v>
      </c>
      <c r="G2263" t="s">
        <v>85</v>
      </c>
      <c r="I2263" t="s">
        <v>70</v>
      </c>
      <c r="J2263" s="15" t="s">
        <v>68</v>
      </c>
      <c r="K2263" s="2" t="s">
        <v>69</v>
      </c>
      <c r="L2263" t="s">
        <v>71</v>
      </c>
      <c r="M2263" t="s">
        <v>72</v>
      </c>
    </row>
    <row r="2264" spans="1:13">
      <c r="A2264" t="s">
        <v>126</v>
      </c>
      <c r="B2264" s="1">
        <v>44161.360995370371</v>
      </c>
      <c r="C2264" s="1">
        <v>44161.953113425923</v>
      </c>
      <c r="D2264" s="2">
        <f>MAX((TimeEntries514524[[#This Row],[End time]]-TimeEntries514524[[#This Row],[Start time]])*24,0)</f>
        <v>14.210833333258051</v>
      </c>
      <c r="F2264" s="54" t="s">
        <v>184</v>
      </c>
      <c r="G2264" s="22" t="s">
        <v>185</v>
      </c>
      <c r="I2264" t="s">
        <v>126</v>
      </c>
      <c r="J2264" s="15">
        <v>0.05</v>
      </c>
      <c r="K2264" s="2">
        <v>2.0315427780151367</v>
      </c>
      <c r="L2264" s="2">
        <f>SUM(TimeEntries514524[Time delta in h])</f>
        <v>14.210833333258051</v>
      </c>
      <c r="M2264" s="16">
        <f>Tabelle7367515525[[#This Row],[EBS self time]]/Tabelle7367515525[[#This Row],[Total time]]</f>
        <v>0.14295732912866232</v>
      </c>
    </row>
    <row r="2265" spans="1:13">
      <c r="B2265" s="1"/>
      <c r="C2265" s="1"/>
      <c r="D2265" s="2"/>
      <c r="I2265" t="s">
        <v>127</v>
      </c>
      <c r="J2265" s="15">
        <v>0.2</v>
      </c>
      <c r="K2265" s="2">
        <v>2.0315427780151367</v>
      </c>
      <c r="L2265" s="2">
        <f>SUM(TimeEntries514524[Time delta in h])</f>
        <v>14.210833333258051</v>
      </c>
      <c r="M2265" s="16">
        <f>Tabelle7367515525[[#This Row],[EBS self time]]/Tabelle7367515525[[#This Row],[Total time]]</f>
        <v>0.14295732912866232</v>
      </c>
    </row>
    <row r="2266" spans="1:13">
      <c r="I2266" t="s">
        <v>169</v>
      </c>
      <c r="J2266" s="15">
        <v>0.35</v>
      </c>
      <c r="K2266" s="2">
        <v>2.0315427780151367</v>
      </c>
      <c r="L2266" s="2">
        <f>SUM(TimeEntries514524[Time delta in h])</f>
        <v>14.210833333258051</v>
      </c>
      <c r="M2266" s="16">
        <f>Tabelle7367515525[[#This Row],[EBS self time]]/Tabelle7367515525[[#This Row],[Total time]]</f>
        <v>0.14295732912866232</v>
      </c>
    </row>
    <row r="2267" spans="1:13">
      <c r="I2267" t="s">
        <v>172</v>
      </c>
      <c r="J2267" s="15">
        <v>0.5</v>
      </c>
      <c r="K2267" s="2">
        <v>3.4922062870143922</v>
      </c>
      <c r="L2267" s="2">
        <f>SUM(TimeEntries514524[Time delta in h])</f>
        <v>14.210833333258051</v>
      </c>
      <c r="M2267" s="16">
        <f>Tabelle7367515525[[#This Row],[EBS self time]]/Tabelle7367515525[[#This Row],[Total time]]</f>
        <v>0.24574254057582071</v>
      </c>
    </row>
    <row r="2268" spans="1:13">
      <c r="I2268" t="s">
        <v>187</v>
      </c>
      <c r="J2268" s="15">
        <v>0.65</v>
      </c>
      <c r="K2268" s="2">
        <v>7.8741968140121577</v>
      </c>
      <c r="L2268" s="2">
        <f>SUM(TimeEntries514524[Time delta in h])</f>
        <v>14.210833333258051</v>
      </c>
      <c r="M2268" s="16">
        <f>Tabelle7367515525[[#This Row],[EBS self time]]/Tabelle7367515525[[#This Row],[Total time]]</f>
        <v>0.55409817491729585</v>
      </c>
    </row>
    <row r="2269" spans="1:13">
      <c r="I2269" t="s">
        <v>192</v>
      </c>
      <c r="J2269" s="15">
        <v>0.8</v>
      </c>
      <c r="K2269" s="2">
        <v>7.8741968140121577</v>
      </c>
      <c r="L2269" s="2">
        <f>SUM(TimeEntries514524[Time delta in h])</f>
        <v>14.210833333258051</v>
      </c>
      <c r="M2269" s="16">
        <f>Tabelle7367515525[[#This Row],[EBS self time]]/Tabelle7367515525[[#This Row],[Total time]]</f>
        <v>0.55409817491729585</v>
      </c>
    </row>
    <row r="2270" spans="1:13">
      <c r="I2270" t="s">
        <v>193</v>
      </c>
      <c r="J2270" s="15">
        <v>0.95</v>
      </c>
      <c r="K2270" s="2">
        <v>7.8741968140121577</v>
      </c>
      <c r="L2270" s="2">
        <f>SUM(TimeEntries514524[Time delta in h])</f>
        <v>14.210833333258051</v>
      </c>
      <c r="M2270" s="16">
        <f>Tabelle7367515525[[#This Row],[EBS self time]]/Tabelle7367515525[[#This Row],[Total time]]</f>
        <v>0.55409817491729585</v>
      </c>
    </row>
    <row r="2272" spans="1:13">
      <c r="A2272" t="s">
        <v>189</v>
      </c>
      <c r="B2272" t="s">
        <v>471</v>
      </c>
      <c r="C2272" t="s">
        <v>190</v>
      </c>
      <c r="D2272">
        <v>18</v>
      </c>
      <c r="E2272" t="s">
        <v>191</v>
      </c>
      <c r="F2272">
        <v>13</v>
      </c>
    </row>
    <row r="2273" spans="1:13">
      <c r="A2273" s="4" t="s">
        <v>24</v>
      </c>
      <c r="I2273" t="s">
        <v>135</v>
      </c>
      <c r="J2273" t="s">
        <v>136</v>
      </c>
    </row>
    <row r="2274" spans="1:13">
      <c r="A2274" t="s">
        <v>3</v>
      </c>
      <c r="B2274" t="s">
        <v>473</v>
      </c>
    </row>
    <row r="2275" spans="1:13">
      <c r="A2275" t="s">
        <v>77</v>
      </c>
      <c r="B2275" s="2" t="s">
        <v>92</v>
      </c>
      <c r="C2275" t="s">
        <v>4</v>
      </c>
    </row>
    <row r="2276" spans="1:13">
      <c r="A2276" t="s">
        <v>0</v>
      </c>
      <c r="B2276" s="2">
        <f>SUM(TimeEntries516526[Time delta in h])</f>
        <v>5.2349999999860302</v>
      </c>
      <c r="C2276" t="s">
        <v>4</v>
      </c>
    </row>
    <row r="2277" spans="1:13">
      <c r="A2277" t="s">
        <v>13</v>
      </c>
      <c r="B2277" s="5" t="s">
        <v>92</v>
      </c>
    </row>
    <row r="2278" spans="1:13">
      <c r="A2278" t="s">
        <v>14</v>
      </c>
      <c r="B2278" s="5" t="s">
        <v>18</v>
      </c>
    </row>
    <row r="2279" spans="1:13">
      <c r="A2279" t="s">
        <v>1</v>
      </c>
      <c r="B2279" t="s">
        <v>91</v>
      </c>
    </row>
    <row r="2280" spans="1:13">
      <c r="A2280" t="s">
        <v>15</v>
      </c>
      <c r="B2280" s="5" t="s">
        <v>92</v>
      </c>
    </row>
    <row r="2281" spans="1:13">
      <c r="A2281" t="s">
        <v>2</v>
      </c>
    </row>
    <row r="2282" spans="1:13">
      <c r="A2282" t="s">
        <v>46</v>
      </c>
      <c r="B2282" t="s">
        <v>471</v>
      </c>
    </row>
    <row r="2283" spans="1:13">
      <c r="A2283" t="s">
        <v>5</v>
      </c>
      <c r="B2283" s="2" t="e">
        <f>B2275/SUM(TimeEntries516526[Time delta in h])</f>
        <v>#VALUE!</v>
      </c>
      <c r="C2283" t="s">
        <v>6</v>
      </c>
    </row>
    <row r="2284" spans="1:13">
      <c r="A2284" t="s">
        <v>93</v>
      </c>
    </row>
    <row r="2285" spans="1:13">
      <c r="A2285" t="s">
        <v>94</v>
      </c>
    </row>
    <row r="2286" spans="1:13">
      <c r="A2286" t="s">
        <v>129</v>
      </c>
      <c r="B2286" s="1">
        <v>44161.953125</v>
      </c>
    </row>
    <row r="2288" spans="1:13">
      <c r="A2288" t="s">
        <v>10</v>
      </c>
      <c r="B2288" t="s">
        <v>7</v>
      </c>
      <c r="C2288" t="s">
        <v>8</v>
      </c>
      <c r="D2288" t="s">
        <v>9</v>
      </c>
      <c r="E2288" t="s">
        <v>134</v>
      </c>
      <c r="F2288" t="s">
        <v>84</v>
      </c>
      <c r="G2288" t="s">
        <v>85</v>
      </c>
      <c r="I2288" t="s">
        <v>70</v>
      </c>
      <c r="J2288" s="15" t="s">
        <v>68</v>
      </c>
      <c r="K2288" s="2" t="s">
        <v>69</v>
      </c>
      <c r="L2288" t="s">
        <v>71</v>
      </c>
      <c r="M2288" t="s">
        <v>72</v>
      </c>
    </row>
    <row r="2289" spans="1:13">
      <c r="A2289" t="s">
        <v>126</v>
      </c>
      <c r="B2289" s="1">
        <v>44161.735000000001</v>
      </c>
      <c r="C2289" s="1">
        <v>44161.953125</v>
      </c>
      <c r="D2289" s="2">
        <f>MAX((TimeEntries516526[[#This Row],[End time]]-TimeEntries516526[[#This Row],[Start time]])*24,0)</f>
        <v>5.2349999999860302</v>
      </c>
      <c r="F2289" s="54" t="s">
        <v>184</v>
      </c>
      <c r="G2289" s="22" t="s">
        <v>185</v>
      </c>
      <c r="J2289" s="15"/>
      <c r="K2289" s="2"/>
      <c r="L2289" s="2">
        <f>SUM(TimeEntries516526[Time delta in h])</f>
        <v>5.2349999999860302</v>
      </c>
      <c r="M2289" s="16">
        <f>Tabelle7367517527[[#This Row],[EBS self time]]/Tabelle7367517527[[#This Row],[Total time]]</f>
        <v>0</v>
      </c>
    </row>
    <row r="2290" spans="1:13">
      <c r="B2290" s="1"/>
      <c r="C2290" s="1"/>
      <c r="D2290" s="2"/>
    </row>
    <row r="2292" spans="1:13">
      <c r="A2292" t="s">
        <v>189</v>
      </c>
      <c r="B2292" t="s">
        <v>474</v>
      </c>
      <c r="C2292" t="s">
        <v>190</v>
      </c>
      <c r="D2292">
        <v>23</v>
      </c>
      <c r="E2292" t="s">
        <v>191</v>
      </c>
      <c r="F2292">
        <v>13</v>
      </c>
    </row>
    <row r="2293" spans="1:13">
      <c r="A2293" s="4" t="s">
        <v>24</v>
      </c>
      <c r="I2293" t="s">
        <v>135</v>
      </c>
      <c r="J2293" t="s">
        <v>136</v>
      </c>
    </row>
    <row r="2294" spans="1:13">
      <c r="A2294" t="s">
        <v>3</v>
      </c>
      <c r="B2294" t="s">
        <v>476</v>
      </c>
    </row>
    <row r="2295" spans="1:13">
      <c r="A2295" t="s">
        <v>77</v>
      </c>
      <c r="B2295" s="2">
        <v>8.6255292892456055</v>
      </c>
      <c r="C2295" t="s">
        <v>4</v>
      </c>
    </row>
    <row r="2296" spans="1:13">
      <c r="A2296" t="s">
        <v>0</v>
      </c>
      <c r="B2296" s="2">
        <f>SUM(TimeEntries518528[Time delta in h])</f>
        <v>7.001944444491528</v>
      </c>
      <c r="C2296" t="s">
        <v>4</v>
      </c>
    </row>
    <row r="2297" spans="1:13">
      <c r="A2297" t="s">
        <v>13</v>
      </c>
      <c r="B2297" s="5" t="s">
        <v>92</v>
      </c>
    </row>
    <row r="2298" spans="1:13">
      <c r="A2298" t="s">
        <v>14</v>
      </c>
      <c r="B2298" s="5" t="s">
        <v>18</v>
      </c>
    </row>
    <row r="2299" spans="1:13">
      <c r="A2299" t="s">
        <v>1</v>
      </c>
      <c r="B2299" t="s">
        <v>91</v>
      </c>
    </row>
    <row r="2300" spans="1:13">
      <c r="A2300" t="s">
        <v>15</v>
      </c>
      <c r="B2300" s="5" t="s">
        <v>92</v>
      </c>
    </row>
    <row r="2301" spans="1:13">
      <c r="A2301" t="s">
        <v>2</v>
      </c>
    </row>
    <row r="2302" spans="1:13">
      <c r="A2302" t="s">
        <v>46</v>
      </c>
      <c r="B2302" t="s">
        <v>474</v>
      </c>
    </row>
    <row r="2303" spans="1:13">
      <c r="A2303" t="s">
        <v>5</v>
      </c>
      <c r="B2303" s="2">
        <f>B2295/SUM(TimeEntries518528[Time delta in h])</f>
        <v>1.2318762820278246</v>
      </c>
      <c r="C2303" t="s">
        <v>6</v>
      </c>
    </row>
    <row r="2304" spans="1:13">
      <c r="A2304" t="s">
        <v>93</v>
      </c>
    </row>
    <row r="2305" spans="1:13">
      <c r="A2305" t="s">
        <v>94</v>
      </c>
    </row>
    <row r="2306" spans="1:13">
      <c r="A2306" t="s">
        <v>129</v>
      </c>
      <c r="B2306" s="1">
        <v>44161.953136574077</v>
      </c>
    </row>
    <row r="2308" spans="1:13">
      <c r="A2308" t="s">
        <v>10</v>
      </c>
      <c r="B2308" t="s">
        <v>7</v>
      </c>
      <c r="C2308" t="s">
        <v>8</v>
      </c>
      <c r="D2308" t="s">
        <v>9</v>
      </c>
      <c r="E2308" t="s">
        <v>134</v>
      </c>
      <c r="F2308" t="s">
        <v>84</v>
      </c>
      <c r="G2308" t="s">
        <v>85</v>
      </c>
      <c r="I2308" t="s">
        <v>70</v>
      </c>
      <c r="J2308" s="15" t="s">
        <v>68</v>
      </c>
      <c r="K2308" s="2" t="s">
        <v>69</v>
      </c>
      <c r="L2308" t="s">
        <v>71</v>
      </c>
      <c r="M2308" t="s">
        <v>72</v>
      </c>
    </row>
    <row r="2309" spans="1:13">
      <c r="A2309" t="s">
        <v>126</v>
      </c>
      <c r="B2309" s="1">
        <v>44161.66138888889</v>
      </c>
      <c r="C2309" s="1">
        <v>44161.953136574077</v>
      </c>
      <c r="D2309" s="2">
        <f>MAX((TimeEntries518528[[#This Row],[End time]]-TimeEntries518528[[#This Row],[Start time]])*24,0)</f>
        <v>7.001944444491528</v>
      </c>
      <c r="F2309" s="54" t="s">
        <v>184</v>
      </c>
      <c r="G2309" s="22" t="s">
        <v>185</v>
      </c>
      <c r="I2309" t="s">
        <v>126</v>
      </c>
      <c r="J2309" s="15">
        <v>0.05</v>
      </c>
      <c r="K2309" s="2">
        <v>4.3127646446228027</v>
      </c>
      <c r="L2309" s="2">
        <f>SUM(TimeEntries518528[Time delta in h])</f>
        <v>7.001944444491528</v>
      </c>
      <c r="M2309" s="16">
        <f>Tabelle7367519529[[#This Row],[EBS self time]]/Tabelle7367519529[[#This Row],[Total time]]</f>
        <v>0.61593814101391231</v>
      </c>
    </row>
    <row r="2310" spans="1:13">
      <c r="B2310" s="1"/>
      <c r="C2310" s="1"/>
      <c r="D2310" s="2"/>
      <c r="I2310" t="s">
        <v>127</v>
      </c>
      <c r="J2310" s="15">
        <v>0.2</v>
      </c>
      <c r="K2310" s="2">
        <v>4.3127646446228027</v>
      </c>
      <c r="L2310" s="2">
        <f>SUM(TimeEntries518528[Time delta in h])</f>
        <v>7.001944444491528</v>
      </c>
      <c r="M2310" s="16">
        <f>Tabelle7367519529[[#This Row],[EBS self time]]/Tabelle7367519529[[#This Row],[Total time]]</f>
        <v>0.61593814101391231</v>
      </c>
    </row>
    <row r="2311" spans="1:13">
      <c r="I2311" t="s">
        <v>169</v>
      </c>
      <c r="J2311" s="15">
        <v>0.35</v>
      </c>
      <c r="K2311" s="2">
        <v>4.3127646446228027</v>
      </c>
      <c r="L2311" s="2">
        <f>SUM(TimeEntries518528[Time delta in h])</f>
        <v>7.001944444491528</v>
      </c>
      <c r="M2311" s="16">
        <f>Tabelle7367519529[[#This Row],[EBS self time]]/Tabelle7367519529[[#This Row],[Total time]]</f>
        <v>0.61593814101391231</v>
      </c>
    </row>
    <row r="2312" spans="1:13">
      <c r="I2312" t="s">
        <v>172</v>
      </c>
      <c r="J2312" s="15">
        <v>0.5</v>
      </c>
      <c r="K2312" s="2">
        <v>4.3127646446228027</v>
      </c>
      <c r="L2312" s="2">
        <f>SUM(TimeEntries518528[Time delta in h])</f>
        <v>7.001944444491528</v>
      </c>
      <c r="M2312" s="16">
        <f>Tabelle7367519529[[#This Row],[EBS self time]]/Tabelle7367519529[[#This Row],[Total time]]</f>
        <v>0.61593814101391231</v>
      </c>
    </row>
    <row r="2313" spans="1:13">
      <c r="I2313" t="s">
        <v>187</v>
      </c>
      <c r="J2313" s="15">
        <v>0.65</v>
      </c>
      <c r="K2313" s="2">
        <v>4.3127646446228027</v>
      </c>
      <c r="L2313" s="2">
        <f>SUM(TimeEntries518528[Time delta in h])</f>
        <v>7.001944444491528</v>
      </c>
      <c r="M2313" s="16">
        <f>Tabelle7367519529[[#This Row],[EBS self time]]/Tabelle7367519529[[#This Row],[Total time]]</f>
        <v>0.61593814101391231</v>
      </c>
    </row>
    <row r="2314" spans="1:13">
      <c r="I2314" t="s">
        <v>192</v>
      </c>
      <c r="J2314" s="15">
        <v>0.8</v>
      </c>
      <c r="K2314" s="2">
        <v>16.716142033421715</v>
      </c>
      <c r="L2314" s="2">
        <f>SUM(TimeEntries518528[Time delta in h])</f>
        <v>7.001944444491528</v>
      </c>
      <c r="M2314" s="16">
        <f>Tabelle7367519529[[#This Row],[EBS self time]]/Tabelle7367519529[[#This Row],[Total time]]</f>
        <v>2.3873571357128385</v>
      </c>
    </row>
    <row r="2315" spans="1:13">
      <c r="I2315" t="s">
        <v>193</v>
      </c>
      <c r="J2315" s="15">
        <v>0.95</v>
      </c>
      <c r="K2315" s="2">
        <v>16.716142033421715</v>
      </c>
      <c r="L2315" s="2">
        <f>SUM(TimeEntries518528[Time delta in h])</f>
        <v>7.001944444491528</v>
      </c>
      <c r="M2315" s="16">
        <f>Tabelle7367519529[[#This Row],[EBS self time]]/Tabelle7367519529[[#This Row],[Total time]]</f>
        <v>2.3873571357128385</v>
      </c>
    </row>
    <row r="2317" spans="1:13">
      <c r="A2317" t="s">
        <v>189</v>
      </c>
      <c r="B2317" t="s">
        <v>477</v>
      </c>
      <c r="C2317" t="s">
        <v>190</v>
      </c>
      <c r="D2317">
        <v>18</v>
      </c>
      <c r="E2317" t="s">
        <v>191</v>
      </c>
      <c r="F2317">
        <v>13</v>
      </c>
    </row>
    <row r="2318" spans="1:13">
      <c r="A2318" s="4" t="s">
        <v>24</v>
      </c>
      <c r="I2318" t="s">
        <v>135</v>
      </c>
      <c r="J2318" t="s">
        <v>136</v>
      </c>
    </row>
    <row r="2319" spans="1:13">
      <c r="A2319" t="s">
        <v>3</v>
      </c>
      <c r="B2319" t="s">
        <v>479</v>
      </c>
    </row>
    <row r="2320" spans="1:13">
      <c r="A2320" t="s">
        <v>77</v>
      </c>
      <c r="B2320" s="2" t="s">
        <v>92</v>
      </c>
      <c r="C2320" t="s">
        <v>4</v>
      </c>
    </row>
    <row r="2321" spans="1:13">
      <c r="A2321" t="s">
        <v>0</v>
      </c>
      <c r="B2321" s="2">
        <f>SUM(TimeEntries520530534544[Time delta in h])</f>
        <v>15.99861111107748</v>
      </c>
      <c r="C2321" t="s">
        <v>4</v>
      </c>
    </row>
    <row r="2322" spans="1:13">
      <c r="A2322" t="s">
        <v>13</v>
      </c>
      <c r="B2322" s="5" t="s">
        <v>92</v>
      </c>
    </row>
    <row r="2323" spans="1:13">
      <c r="A2323" t="s">
        <v>14</v>
      </c>
      <c r="B2323" s="5" t="s">
        <v>18</v>
      </c>
    </row>
    <row r="2324" spans="1:13">
      <c r="A2324" t="s">
        <v>1</v>
      </c>
      <c r="B2324" t="s">
        <v>131</v>
      </c>
    </row>
    <row r="2325" spans="1:13">
      <c r="A2325" t="s">
        <v>15</v>
      </c>
      <c r="B2325" s="5">
        <v>44161.953217592592</v>
      </c>
    </row>
    <row r="2326" spans="1:13">
      <c r="A2326" t="s">
        <v>2</v>
      </c>
    </row>
    <row r="2327" spans="1:13">
      <c r="A2327" t="s">
        <v>46</v>
      </c>
      <c r="B2327" t="s">
        <v>477</v>
      </c>
    </row>
    <row r="2328" spans="1:13">
      <c r="A2328" t="s">
        <v>5</v>
      </c>
      <c r="B2328" s="2" t="e">
        <f>B2320/SUM(TimeEntries520530534544[Time delta in h])</f>
        <v>#VALUE!</v>
      </c>
      <c r="C2328" t="s">
        <v>6</v>
      </c>
    </row>
    <row r="2329" spans="1:13">
      <c r="A2329" t="s">
        <v>93</v>
      </c>
    </row>
    <row r="2330" spans="1:13">
      <c r="A2330" t="s">
        <v>94</v>
      </c>
    </row>
    <row r="2331" spans="1:13">
      <c r="A2331" t="s">
        <v>129</v>
      </c>
      <c r="B2331" s="1">
        <v>44161.953148148146</v>
      </c>
    </row>
    <row r="2333" spans="1:13">
      <c r="A2333" t="s">
        <v>10</v>
      </c>
      <c r="B2333" t="s">
        <v>7</v>
      </c>
      <c r="C2333" t="s">
        <v>8</v>
      </c>
      <c r="D2333" t="s">
        <v>9</v>
      </c>
      <c r="E2333" t="s">
        <v>134</v>
      </c>
      <c r="F2333" t="s">
        <v>84</v>
      </c>
      <c r="G2333" t="s">
        <v>85</v>
      </c>
      <c r="I2333" t="s">
        <v>70</v>
      </c>
      <c r="J2333" s="15" t="s">
        <v>68</v>
      </c>
      <c r="K2333" s="2" t="s">
        <v>69</v>
      </c>
      <c r="L2333" t="s">
        <v>71</v>
      </c>
      <c r="M2333" t="s">
        <v>72</v>
      </c>
    </row>
    <row r="2334" spans="1:13">
      <c r="A2334" t="s">
        <v>126</v>
      </c>
      <c r="B2334" s="1">
        <v>44161.286608796298</v>
      </c>
      <c r="C2334" s="1">
        <v>44161.953217592592</v>
      </c>
      <c r="D2334" s="2">
        <f>MAX((TimeEntries520530534544[[#This Row],[End time]]-TimeEntries520530534544[[#This Row],[Start time]])*24,0)</f>
        <v>15.99861111107748</v>
      </c>
      <c r="F2334" s="54" t="s">
        <v>184</v>
      </c>
      <c r="G2334" s="22" t="s">
        <v>185</v>
      </c>
      <c r="J2334" s="15"/>
      <c r="K2334" s="2"/>
      <c r="L2334" s="2">
        <f>SUM(TimeEntries520530534544[Time delta in h])</f>
        <v>15.99861111107748</v>
      </c>
      <c r="M2334" s="16">
        <f>Tabelle7367521531535545[[#This Row],[EBS self time]]/Tabelle7367521531535545[[#This Row],[Total time]]</f>
        <v>0</v>
      </c>
    </row>
    <row r="2335" spans="1:13">
      <c r="B2335" s="1"/>
      <c r="C2335" s="1"/>
      <c r="D2335" s="2"/>
    </row>
    <row r="2337" spans="1:10">
      <c r="A2337" t="s">
        <v>189</v>
      </c>
      <c r="B2337" t="s">
        <v>480</v>
      </c>
      <c r="C2337" t="s">
        <v>190</v>
      </c>
      <c r="D2337">
        <v>23</v>
      </c>
      <c r="E2337" t="s">
        <v>191</v>
      </c>
      <c r="F2337">
        <v>13</v>
      </c>
    </row>
    <row r="2338" spans="1:10">
      <c r="A2338" s="4" t="s">
        <v>24</v>
      </c>
      <c r="I2338" t="s">
        <v>135</v>
      </c>
      <c r="J2338" t="s">
        <v>136</v>
      </c>
    </row>
    <row r="2339" spans="1:10">
      <c r="A2339" t="s">
        <v>3</v>
      </c>
      <c r="B2339" t="s">
        <v>482</v>
      </c>
    </row>
    <row r="2340" spans="1:10">
      <c r="A2340" t="s">
        <v>77</v>
      </c>
      <c r="B2340" s="2">
        <v>11.862979888916016</v>
      </c>
      <c r="C2340" t="s">
        <v>4</v>
      </c>
    </row>
    <row r="2341" spans="1:10">
      <c r="A2341" t="s">
        <v>0</v>
      </c>
      <c r="B2341" s="2">
        <f>SUM(TimeEntries536546[Time delta in h])</f>
        <v>5.2825000000884756</v>
      </c>
      <c r="C2341" t="s">
        <v>4</v>
      </c>
    </row>
    <row r="2342" spans="1:10">
      <c r="A2342" t="s">
        <v>13</v>
      </c>
      <c r="B2342" s="5" t="s">
        <v>92</v>
      </c>
    </row>
    <row r="2343" spans="1:10">
      <c r="A2343" t="s">
        <v>14</v>
      </c>
      <c r="B2343" s="5" t="s">
        <v>18</v>
      </c>
    </row>
    <row r="2344" spans="1:10">
      <c r="A2344" t="s">
        <v>1</v>
      </c>
      <c r="B2344" t="s">
        <v>131</v>
      </c>
    </row>
    <row r="2345" spans="1:10">
      <c r="A2345" t="s">
        <v>15</v>
      </c>
      <c r="B2345" s="5">
        <v>44161.953229166669</v>
      </c>
    </row>
    <row r="2346" spans="1:10">
      <c r="A2346" t="s">
        <v>2</v>
      </c>
    </row>
    <row r="2347" spans="1:10">
      <c r="A2347" t="s">
        <v>46</v>
      </c>
      <c r="B2347" t="s">
        <v>480</v>
      </c>
    </row>
    <row r="2348" spans="1:10">
      <c r="A2348" t="s">
        <v>5</v>
      </c>
      <c r="B2348" s="2">
        <f>B2340/SUM(TimeEntries536546[Time delta in h])</f>
        <v>2.2457131829091006</v>
      </c>
      <c r="C2348" t="s">
        <v>6</v>
      </c>
    </row>
    <row r="2349" spans="1:10">
      <c r="A2349" t="s">
        <v>93</v>
      </c>
    </row>
    <row r="2350" spans="1:10">
      <c r="A2350" t="s">
        <v>94</v>
      </c>
    </row>
    <row r="2351" spans="1:10">
      <c r="A2351" t="s">
        <v>129</v>
      </c>
      <c r="B2351" s="1">
        <v>44161.953229166669</v>
      </c>
    </row>
    <row r="2353" spans="1:13">
      <c r="A2353" t="s">
        <v>10</v>
      </c>
      <c r="B2353" t="s">
        <v>7</v>
      </c>
      <c r="C2353" t="s">
        <v>8</v>
      </c>
      <c r="D2353" t="s">
        <v>9</v>
      </c>
      <c r="E2353" t="s">
        <v>134</v>
      </c>
      <c r="F2353" t="s">
        <v>84</v>
      </c>
      <c r="G2353" t="s">
        <v>85</v>
      </c>
      <c r="I2353" t="s">
        <v>70</v>
      </c>
      <c r="J2353" s="15" t="s">
        <v>68</v>
      </c>
      <c r="K2353" s="2" t="s">
        <v>69</v>
      </c>
      <c r="L2353" t="s">
        <v>71</v>
      </c>
      <c r="M2353" t="s">
        <v>72</v>
      </c>
    </row>
    <row r="2354" spans="1:13">
      <c r="A2354" t="s">
        <v>126</v>
      </c>
      <c r="B2354" s="1">
        <v>44161.733124999999</v>
      </c>
      <c r="C2354" s="1">
        <v>44161.953229166669</v>
      </c>
      <c r="D2354" s="2">
        <f>MAX((TimeEntries536546[[#This Row],[End time]]-TimeEntries536546[[#This Row],[Start time]])*24,0)</f>
        <v>5.2825000000884756</v>
      </c>
      <c r="F2354" s="54" t="s">
        <v>184</v>
      </c>
      <c r="G2354" s="22" t="s">
        <v>185</v>
      </c>
      <c r="I2354" t="s">
        <v>126</v>
      </c>
      <c r="J2354" s="15">
        <v>0.05</v>
      </c>
      <c r="K2354" s="2">
        <v>5.9314899444580078</v>
      </c>
      <c r="L2354" s="2">
        <f>SUM(TimeEntries536546[Time delta in h])</f>
        <v>5.2825000000884756</v>
      </c>
      <c r="M2354" s="16">
        <f>Tabelle7367537547[[#This Row],[EBS self time]]/Tabelle7367537547[[#This Row],[Total time]]</f>
        <v>1.1228565914545503</v>
      </c>
    </row>
    <row r="2355" spans="1:13">
      <c r="B2355" s="1"/>
      <c r="C2355" s="1"/>
      <c r="D2355" s="2"/>
      <c r="I2355" t="s">
        <v>127</v>
      </c>
      <c r="J2355" s="15">
        <v>0.2</v>
      </c>
      <c r="K2355" s="2">
        <v>5.9314899444580078</v>
      </c>
      <c r="L2355" s="2">
        <f>SUM(TimeEntries536546[Time delta in h])</f>
        <v>5.2825000000884756</v>
      </c>
      <c r="M2355" s="16">
        <f>Tabelle7367537547[[#This Row],[EBS self time]]/Tabelle7367537547[[#This Row],[Total time]]</f>
        <v>1.1228565914545503</v>
      </c>
    </row>
    <row r="2356" spans="1:13">
      <c r="I2356" t="s">
        <v>169</v>
      </c>
      <c r="J2356" s="15">
        <v>0.35</v>
      </c>
      <c r="K2356" s="2">
        <v>5.9314899444580078</v>
      </c>
      <c r="L2356" s="2">
        <f>SUM(TimeEntries536546[Time delta in h])</f>
        <v>5.2825000000884756</v>
      </c>
      <c r="M2356" s="16">
        <f>Tabelle7367537547[[#This Row],[EBS self time]]/Tabelle7367537547[[#This Row],[Total time]]</f>
        <v>1.1228565914545503</v>
      </c>
    </row>
    <row r="2357" spans="1:13">
      <c r="I2357" t="s">
        <v>172</v>
      </c>
      <c r="J2357" s="15">
        <v>0.5</v>
      </c>
      <c r="K2357" s="2">
        <v>5.9314899444580078</v>
      </c>
      <c r="L2357" s="2">
        <f>SUM(TimeEntries536546[Time delta in h])</f>
        <v>5.2825000000884756</v>
      </c>
      <c r="M2357" s="16">
        <f>Tabelle7367537547[[#This Row],[EBS self time]]/Tabelle7367537547[[#This Row],[Total time]]</f>
        <v>1.1228565914545503</v>
      </c>
    </row>
    <row r="2358" spans="1:13">
      <c r="I2358" t="s">
        <v>187</v>
      </c>
      <c r="J2358" s="15">
        <v>0.65</v>
      </c>
      <c r="K2358" s="2">
        <v>5.9314899444580078</v>
      </c>
      <c r="L2358" s="2">
        <f>SUM(TimeEntries536546[Time delta in h])</f>
        <v>5.2825000000884756</v>
      </c>
      <c r="M2358" s="16">
        <f>Tabelle7367537547[[#This Row],[EBS self time]]/Tabelle7367537547[[#This Row],[Total time]]</f>
        <v>1.1228565914545503</v>
      </c>
    </row>
    <row r="2359" spans="1:13">
      <c r="I2359" t="s">
        <v>192</v>
      </c>
      <c r="J2359" s="15">
        <v>0.8</v>
      </c>
      <c r="K2359" s="2">
        <v>22.990271102550416</v>
      </c>
      <c r="L2359" s="2">
        <f>SUM(TimeEntries536546[Time delta in h])</f>
        <v>5.2825000000884756</v>
      </c>
      <c r="M2359" s="16">
        <f>Tabelle7367537547[[#This Row],[EBS self time]]/Tabelle7367537547[[#This Row],[Total time]]</f>
        <v>4.3521573312191872</v>
      </c>
    </row>
    <row r="2360" spans="1:13">
      <c r="I2360" t="s">
        <v>193</v>
      </c>
      <c r="J2360" s="15">
        <v>0.95</v>
      </c>
      <c r="K2360" s="2">
        <v>22.990271102550416</v>
      </c>
      <c r="L2360" s="2">
        <f>SUM(TimeEntries536546[Time delta in h])</f>
        <v>5.2825000000884756</v>
      </c>
      <c r="M2360" s="16">
        <f>Tabelle7367537547[[#This Row],[EBS self time]]/Tabelle7367537547[[#This Row],[Total time]]</f>
        <v>4.3521573312191872</v>
      </c>
    </row>
    <row r="2362" spans="1:13">
      <c r="A2362" t="s">
        <v>189</v>
      </c>
      <c r="B2362" t="s">
        <v>483</v>
      </c>
      <c r="C2362" t="s">
        <v>190</v>
      </c>
      <c r="D2362">
        <v>23</v>
      </c>
      <c r="E2362" t="s">
        <v>191</v>
      </c>
      <c r="F2362">
        <v>13</v>
      </c>
    </row>
    <row r="2363" spans="1:13">
      <c r="A2363" s="4" t="s">
        <v>24</v>
      </c>
      <c r="I2363" t="s">
        <v>135</v>
      </c>
      <c r="J2363" t="s">
        <v>136</v>
      </c>
    </row>
    <row r="2364" spans="1:13">
      <c r="A2364" t="s">
        <v>3</v>
      </c>
      <c r="B2364" t="s">
        <v>485</v>
      </c>
    </row>
    <row r="2365" spans="1:13">
      <c r="A2365" t="s">
        <v>77</v>
      </c>
      <c r="B2365" s="2">
        <v>9.8429384231567383</v>
      </c>
      <c r="C2365" t="s">
        <v>4</v>
      </c>
    </row>
    <row r="2366" spans="1:13">
      <c r="A2366" t="s">
        <v>0</v>
      </c>
      <c r="B2366" s="2">
        <f>SUM(TimeEntries538548[Time delta in h])</f>
        <v>0.26416666660225019</v>
      </c>
      <c r="C2366" t="s">
        <v>4</v>
      </c>
    </row>
    <row r="2367" spans="1:13">
      <c r="A2367" t="s">
        <v>13</v>
      </c>
      <c r="B2367" s="5" t="s">
        <v>92</v>
      </c>
    </row>
    <row r="2368" spans="1:13">
      <c r="A2368" t="s">
        <v>14</v>
      </c>
      <c r="B2368" s="5" t="s">
        <v>18</v>
      </c>
    </row>
    <row r="2369" spans="1:13">
      <c r="A2369" t="s">
        <v>1</v>
      </c>
      <c r="B2369" t="s">
        <v>91</v>
      </c>
    </row>
    <row r="2370" spans="1:13">
      <c r="A2370" t="s">
        <v>15</v>
      </c>
      <c r="B2370" s="5" t="s">
        <v>92</v>
      </c>
    </row>
    <row r="2371" spans="1:13">
      <c r="A2371" t="s">
        <v>2</v>
      </c>
    </row>
    <row r="2372" spans="1:13">
      <c r="A2372" t="s">
        <v>46</v>
      </c>
      <c r="B2372" t="s">
        <v>483</v>
      </c>
    </row>
    <row r="2373" spans="1:13">
      <c r="A2373" t="s">
        <v>5</v>
      </c>
      <c r="B2373" s="2">
        <f>B2365/SUM(TimeEntries538548[Time delta in h])</f>
        <v>37.260334733969408</v>
      </c>
      <c r="C2373" t="s">
        <v>6</v>
      </c>
    </row>
    <row r="2374" spans="1:13">
      <c r="A2374" t="s">
        <v>93</v>
      </c>
    </row>
    <row r="2375" spans="1:13">
      <c r="A2375" t="s">
        <v>94</v>
      </c>
    </row>
    <row r="2376" spans="1:13">
      <c r="A2376" t="s">
        <v>129</v>
      </c>
      <c r="B2376" s="1">
        <v>44161.953240740739</v>
      </c>
    </row>
    <row r="2378" spans="1:13">
      <c r="A2378" t="s">
        <v>10</v>
      </c>
      <c r="B2378" t="s">
        <v>7</v>
      </c>
      <c r="C2378" t="s">
        <v>8</v>
      </c>
      <c r="D2378" t="s">
        <v>9</v>
      </c>
      <c r="E2378" t="s">
        <v>134</v>
      </c>
      <c r="F2378" t="s">
        <v>84</v>
      </c>
      <c r="G2378" t="s">
        <v>85</v>
      </c>
      <c r="I2378" t="s">
        <v>70</v>
      </c>
      <c r="J2378" s="15" t="s">
        <v>68</v>
      </c>
      <c r="K2378" s="2" t="s">
        <v>69</v>
      </c>
      <c r="L2378" t="s">
        <v>71</v>
      </c>
      <c r="M2378" t="s">
        <v>72</v>
      </c>
    </row>
    <row r="2379" spans="1:13">
      <c r="A2379" t="s">
        <v>126</v>
      </c>
      <c r="B2379" s="1">
        <v>44161.942233796297</v>
      </c>
      <c r="C2379" s="1">
        <v>44161.953240740739</v>
      </c>
      <c r="D2379" s="2">
        <f>MAX((TimeEntries538548[[#This Row],[End time]]-TimeEntries538548[[#This Row],[Start time]])*24,0)</f>
        <v>0.26416666660225019</v>
      </c>
      <c r="F2379" s="54" t="s">
        <v>184</v>
      </c>
      <c r="G2379" s="22" t="s">
        <v>185</v>
      </c>
      <c r="I2379" t="s">
        <v>126</v>
      </c>
      <c r="J2379" s="15">
        <v>0.05</v>
      </c>
      <c r="K2379" s="2">
        <v>4.9214692115783691</v>
      </c>
      <c r="L2379" s="2">
        <f>SUM(TimeEntries538548[Time delta in h])</f>
        <v>0.26416666660225019</v>
      </c>
      <c r="M2379" s="16">
        <f>Tabelle7367539549[[#This Row],[EBS self time]]/Tabelle7367539549[[#This Row],[Total time]]</f>
        <v>18.630167366984704</v>
      </c>
    </row>
    <row r="2380" spans="1:13">
      <c r="B2380" s="1"/>
      <c r="C2380" s="1"/>
      <c r="D2380" s="2"/>
      <c r="I2380" t="s">
        <v>127</v>
      </c>
      <c r="J2380" s="15">
        <v>0.2</v>
      </c>
      <c r="K2380" s="2">
        <v>4.9214692115783691</v>
      </c>
      <c r="L2380" s="2">
        <f>SUM(TimeEntries538548[Time delta in h])</f>
        <v>0.26416666660225019</v>
      </c>
      <c r="M2380" s="16">
        <f>Tabelle7367539549[[#This Row],[EBS self time]]/Tabelle7367539549[[#This Row],[Total time]]</f>
        <v>18.630167366984704</v>
      </c>
    </row>
    <row r="2381" spans="1:13">
      <c r="I2381" t="s">
        <v>169</v>
      </c>
      <c r="J2381" s="15">
        <v>0.35</v>
      </c>
      <c r="K2381" s="2">
        <v>4.9214692115783691</v>
      </c>
      <c r="L2381" s="2">
        <f>SUM(TimeEntries538548[Time delta in h])</f>
        <v>0.26416666660225019</v>
      </c>
      <c r="M2381" s="16">
        <f>Tabelle7367539549[[#This Row],[EBS self time]]/Tabelle7367539549[[#This Row],[Total time]]</f>
        <v>18.630167366984704</v>
      </c>
    </row>
    <row r="2382" spans="1:13">
      <c r="I2382" t="s">
        <v>172</v>
      </c>
      <c r="J2382" s="15">
        <v>0.5</v>
      </c>
      <c r="K2382" s="2">
        <v>4.9214692115783691</v>
      </c>
      <c r="L2382" s="2">
        <f>SUM(TimeEntries538548[Time delta in h])</f>
        <v>0.26416666660225019</v>
      </c>
      <c r="M2382" s="16">
        <f>Tabelle7367539549[[#This Row],[EBS self time]]/Tabelle7367539549[[#This Row],[Total time]]</f>
        <v>18.630167366984704</v>
      </c>
    </row>
    <row r="2383" spans="1:13">
      <c r="I2383" t="s">
        <v>187</v>
      </c>
      <c r="J2383" s="15">
        <v>0.65</v>
      </c>
      <c r="K2383" s="2">
        <v>4.9214692115783691</v>
      </c>
      <c r="L2383" s="2">
        <f>SUM(TimeEntries538548[Time delta in h])</f>
        <v>0.26416666660225019</v>
      </c>
      <c r="M2383" s="16">
        <f>Tabelle7367539549[[#This Row],[EBS self time]]/Tabelle7367539549[[#This Row],[Total time]]</f>
        <v>18.630167366984704</v>
      </c>
    </row>
    <row r="2384" spans="1:13">
      <c r="I2384" t="s">
        <v>192</v>
      </c>
      <c r="J2384" s="15">
        <v>0.8</v>
      </c>
      <c r="K2384" s="2">
        <v>19.075462060381277</v>
      </c>
      <c r="L2384" s="2">
        <f>SUM(TimeEntries538548[Time delta in h])</f>
        <v>0.26416666660225019</v>
      </c>
      <c r="M2384" s="16">
        <f>Tabelle7367539549[[#This Row],[EBS self time]]/Tabelle7367539549[[#This Row],[Total time]]</f>
        <v>72.209951034824428</v>
      </c>
    </row>
    <row r="2385" spans="1:13">
      <c r="I2385" t="s">
        <v>193</v>
      </c>
      <c r="J2385" s="15">
        <v>0.95</v>
      </c>
      <c r="K2385" s="2">
        <v>19.075462060381277</v>
      </c>
      <c r="L2385" s="2">
        <f>SUM(TimeEntries538548[Time delta in h])</f>
        <v>0.26416666660225019</v>
      </c>
      <c r="M2385" s="16">
        <f>Tabelle7367539549[[#This Row],[EBS self time]]/Tabelle7367539549[[#This Row],[Total time]]</f>
        <v>72.209951034824428</v>
      </c>
    </row>
    <row r="2387" spans="1:13">
      <c r="A2387" t="s">
        <v>189</v>
      </c>
      <c r="B2387" t="s">
        <v>486</v>
      </c>
      <c r="C2387" t="s">
        <v>190</v>
      </c>
      <c r="D2387">
        <v>18</v>
      </c>
      <c r="E2387" t="s">
        <v>191</v>
      </c>
      <c r="F2387">
        <v>13</v>
      </c>
    </row>
    <row r="2388" spans="1:13">
      <c r="A2388" s="4" t="s">
        <v>24</v>
      </c>
      <c r="I2388" t="s">
        <v>135</v>
      </c>
      <c r="J2388" t="s">
        <v>136</v>
      </c>
    </row>
    <row r="2389" spans="1:13">
      <c r="A2389" t="s">
        <v>3</v>
      </c>
      <c r="B2389" t="s">
        <v>488</v>
      </c>
    </row>
    <row r="2390" spans="1:13">
      <c r="A2390" t="s">
        <v>77</v>
      </c>
      <c r="B2390" s="2" t="s">
        <v>92</v>
      </c>
      <c r="C2390" t="s">
        <v>4</v>
      </c>
    </row>
    <row r="2391" spans="1:13">
      <c r="A2391" t="s">
        <v>0</v>
      </c>
      <c r="B2391" s="2">
        <f>SUM(TimeEntries540550[Time delta in h])</f>
        <v>22.198333333362825</v>
      </c>
      <c r="C2391" t="s">
        <v>4</v>
      </c>
    </row>
    <row r="2392" spans="1:13">
      <c r="A2392" t="s">
        <v>13</v>
      </c>
      <c r="B2392" s="5" t="s">
        <v>92</v>
      </c>
    </row>
    <row r="2393" spans="1:13">
      <c r="A2393" t="s">
        <v>14</v>
      </c>
      <c r="B2393" s="5" t="s">
        <v>18</v>
      </c>
    </row>
    <row r="2394" spans="1:13">
      <c r="A2394" t="s">
        <v>1</v>
      </c>
      <c r="B2394" t="s">
        <v>91</v>
      </c>
    </row>
    <row r="2395" spans="1:13">
      <c r="A2395" t="s">
        <v>15</v>
      </c>
      <c r="B2395" s="5" t="s">
        <v>92</v>
      </c>
    </row>
    <row r="2396" spans="1:13">
      <c r="A2396" t="s">
        <v>2</v>
      </c>
    </row>
    <row r="2397" spans="1:13">
      <c r="A2397" t="s">
        <v>46</v>
      </c>
      <c r="B2397" t="s">
        <v>486</v>
      </c>
    </row>
    <row r="2398" spans="1:13">
      <c r="A2398" t="s">
        <v>5</v>
      </c>
      <c r="B2398" s="2" t="e">
        <f>B2390/SUM(TimeEntries540550[Time delta in h])</f>
        <v>#VALUE!</v>
      </c>
      <c r="C2398" t="s">
        <v>6</v>
      </c>
    </row>
    <row r="2399" spans="1:13">
      <c r="A2399" t="s">
        <v>93</v>
      </c>
    </row>
    <row r="2400" spans="1:13">
      <c r="A2400" t="s">
        <v>94</v>
      </c>
    </row>
    <row r="2401" spans="1:13">
      <c r="A2401" t="s">
        <v>129</v>
      </c>
      <c r="B2401" s="1">
        <v>44161.953252314815</v>
      </c>
    </row>
    <row r="2403" spans="1:13">
      <c r="A2403" t="s">
        <v>10</v>
      </c>
      <c r="B2403" t="s">
        <v>7</v>
      </c>
      <c r="C2403" t="s">
        <v>8</v>
      </c>
      <c r="D2403" t="s">
        <v>9</v>
      </c>
      <c r="E2403" t="s">
        <v>134</v>
      </c>
      <c r="F2403" t="s">
        <v>84</v>
      </c>
      <c r="G2403" t="s">
        <v>85</v>
      </c>
      <c r="I2403" t="s">
        <v>70</v>
      </c>
      <c r="J2403" s="15" t="s">
        <v>68</v>
      </c>
      <c r="K2403" s="2" t="s">
        <v>69</v>
      </c>
      <c r="L2403" t="s">
        <v>71</v>
      </c>
      <c r="M2403" t="s">
        <v>72</v>
      </c>
    </row>
    <row r="2404" spans="1:13">
      <c r="A2404" t="s">
        <v>126</v>
      </c>
      <c r="B2404" s="1">
        <v>44161.028321759259</v>
      </c>
      <c r="C2404" s="1">
        <v>44161.953252314815</v>
      </c>
      <c r="D2404" s="2">
        <f>MAX((TimeEntries540550[[#This Row],[End time]]-TimeEntries540550[[#This Row],[Start time]])*24,0)</f>
        <v>22.198333333362825</v>
      </c>
      <c r="F2404" s="54" t="s">
        <v>184</v>
      </c>
      <c r="G2404" s="22" t="s">
        <v>185</v>
      </c>
      <c r="J2404" s="15"/>
      <c r="K2404" s="2"/>
      <c r="L2404" s="2">
        <f>SUM(TimeEntries540550[Time delta in h])</f>
        <v>22.198333333362825</v>
      </c>
      <c r="M2404" s="16">
        <f>Tabelle7367541551[[#This Row],[EBS self time]]/Tabelle7367541551[[#This Row],[Total time]]</f>
        <v>0</v>
      </c>
    </row>
    <row r="2405" spans="1:13">
      <c r="B2405" s="1"/>
      <c r="C2405" s="1"/>
      <c r="D2405" s="2"/>
    </row>
    <row r="2407" spans="1:13">
      <c r="A2407" t="s">
        <v>189</v>
      </c>
      <c r="B2407" t="s">
        <v>489</v>
      </c>
      <c r="C2407" t="s">
        <v>190</v>
      </c>
      <c r="D2407">
        <v>23</v>
      </c>
      <c r="E2407" t="s">
        <v>191</v>
      </c>
      <c r="F2407">
        <v>13</v>
      </c>
    </row>
    <row r="2408" spans="1:13">
      <c r="A2408" s="4" t="s">
        <v>24</v>
      </c>
      <c r="I2408" t="s">
        <v>135</v>
      </c>
      <c r="J2408" t="s">
        <v>136</v>
      </c>
    </row>
    <row r="2409" spans="1:13">
      <c r="A2409" t="s">
        <v>3</v>
      </c>
      <c r="B2409" t="s">
        <v>491</v>
      </c>
    </row>
    <row r="2410" spans="1:13">
      <c r="A2410" t="s">
        <v>77</v>
      </c>
      <c r="B2410" s="2">
        <v>10.11836051940918</v>
      </c>
      <c r="C2410" t="s">
        <v>4</v>
      </c>
    </row>
    <row r="2411" spans="1:13">
      <c r="A2411" t="s">
        <v>0</v>
      </c>
      <c r="B2411" s="2">
        <f>SUM(TimeEntries542552556566[Time delta in h])</f>
        <v>7.3322222222923301</v>
      </c>
      <c r="C2411" t="s">
        <v>4</v>
      </c>
    </row>
    <row r="2412" spans="1:13">
      <c r="A2412" t="s">
        <v>13</v>
      </c>
      <c r="B2412" s="5" t="s">
        <v>92</v>
      </c>
    </row>
    <row r="2413" spans="1:13">
      <c r="A2413" t="s">
        <v>14</v>
      </c>
      <c r="B2413" s="5" t="s">
        <v>18</v>
      </c>
    </row>
    <row r="2414" spans="1:13">
      <c r="A2414" t="s">
        <v>1</v>
      </c>
      <c r="B2414" t="s">
        <v>91</v>
      </c>
    </row>
    <row r="2415" spans="1:13">
      <c r="A2415" t="s">
        <v>15</v>
      </c>
      <c r="B2415" s="5" t="s">
        <v>92</v>
      </c>
    </row>
    <row r="2416" spans="1:13">
      <c r="A2416" t="s">
        <v>2</v>
      </c>
    </row>
    <row r="2417" spans="1:13">
      <c r="A2417" t="s">
        <v>46</v>
      </c>
      <c r="B2417" t="s">
        <v>489</v>
      </c>
    </row>
    <row r="2418" spans="1:13">
      <c r="A2418" t="s">
        <v>5</v>
      </c>
      <c r="B2418" s="2">
        <f>B2410/SUM(TimeEntries542552556566[Time delta in h])</f>
        <v>1.3799855231673266</v>
      </c>
      <c r="C2418" t="s">
        <v>6</v>
      </c>
    </row>
    <row r="2419" spans="1:13">
      <c r="A2419" t="s">
        <v>93</v>
      </c>
    </row>
    <row r="2420" spans="1:13">
      <c r="A2420" t="s">
        <v>94</v>
      </c>
    </row>
    <row r="2421" spans="1:13">
      <c r="A2421" t="s">
        <v>129</v>
      </c>
      <c r="B2421" s="1">
        <v>44161.953263888892</v>
      </c>
    </row>
    <row r="2423" spans="1:13">
      <c r="A2423" t="s">
        <v>10</v>
      </c>
      <c r="B2423" t="s">
        <v>7</v>
      </c>
      <c r="C2423" t="s">
        <v>8</v>
      </c>
      <c r="D2423" t="s">
        <v>9</v>
      </c>
      <c r="E2423" t="s">
        <v>134</v>
      </c>
      <c r="F2423" t="s">
        <v>84</v>
      </c>
      <c r="G2423" t="s">
        <v>85</v>
      </c>
      <c r="I2423" t="s">
        <v>70</v>
      </c>
      <c r="J2423" s="15" t="s">
        <v>68</v>
      </c>
      <c r="K2423" s="2" t="s">
        <v>69</v>
      </c>
      <c r="L2423" t="s">
        <v>71</v>
      </c>
      <c r="M2423" t="s">
        <v>72</v>
      </c>
    </row>
    <row r="2424" spans="1:13">
      <c r="A2424" t="s">
        <v>126</v>
      </c>
      <c r="B2424" s="1">
        <v>44161.647812499999</v>
      </c>
      <c r="C2424" s="1">
        <v>44161.953321759262</v>
      </c>
      <c r="D2424" s="2">
        <f>MAX((TimeEntries542552556566[[#This Row],[End time]]-TimeEntries542552556566[[#This Row],[Start time]])*24,0)</f>
        <v>7.3322222222923301</v>
      </c>
      <c r="F2424" s="54" t="s">
        <v>184</v>
      </c>
      <c r="G2424" s="22" t="s">
        <v>185</v>
      </c>
      <c r="I2424" t="s">
        <v>126</v>
      </c>
      <c r="J2424" s="15">
        <v>0.05</v>
      </c>
      <c r="K2424" s="2">
        <v>5.0591802597045898</v>
      </c>
      <c r="L2424" s="2">
        <f>SUM(TimeEntries542552556566[Time delta in h])</f>
        <v>7.3322222222923301</v>
      </c>
      <c r="M2424" s="16">
        <f>Tabelle7367543553557567[[#This Row],[EBS self time]]/Tabelle7367543553557567[[#This Row],[Total time]]</f>
        <v>0.68999276158366329</v>
      </c>
    </row>
    <row r="2425" spans="1:13">
      <c r="B2425" s="1"/>
      <c r="C2425" s="1"/>
      <c r="D2425" s="2"/>
      <c r="I2425" t="s">
        <v>127</v>
      </c>
      <c r="J2425" s="15">
        <v>0.2</v>
      </c>
      <c r="K2425" s="2">
        <v>5.0591802597045898</v>
      </c>
      <c r="L2425" s="2">
        <f>SUM(TimeEntries542552556566[Time delta in h])</f>
        <v>7.3322222222923301</v>
      </c>
      <c r="M2425" s="16">
        <f>Tabelle7367543553557567[[#This Row],[EBS self time]]/Tabelle7367543553557567[[#This Row],[Total time]]</f>
        <v>0.68999276158366329</v>
      </c>
    </row>
    <row r="2426" spans="1:13">
      <c r="I2426" t="s">
        <v>169</v>
      </c>
      <c r="J2426" s="15">
        <v>0.35</v>
      </c>
      <c r="K2426" s="2">
        <v>5.0591802597045898</v>
      </c>
      <c r="L2426" s="2">
        <f>SUM(TimeEntries542552556566[Time delta in h])</f>
        <v>7.3322222222923301</v>
      </c>
      <c r="M2426" s="16">
        <f>Tabelle7367543553557567[[#This Row],[EBS self time]]/Tabelle7367543553557567[[#This Row],[Total time]]</f>
        <v>0.68999276158366329</v>
      </c>
    </row>
    <row r="2427" spans="1:13">
      <c r="I2427" t="s">
        <v>172</v>
      </c>
      <c r="J2427" s="15">
        <v>0.5</v>
      </c>
      <c r="K2427" s="2">
        <v>5.0591802597045898</v>
      </c>
      <c r="L2427" s="2">
        <f>SUM(TimeEntries542552556566[Time delta in h])</f>
        <v>7.3322222222923301</v>
      </c>
      <c r="M2427" s="16">
        <f>Tabelle7367543553557567[[#This Row],[EBS self time]]/Tabelle7367543553557567[[#This Row],[Total time]]</f>
        <v>0.68999276158366329</v>
      </c>
    </row>
    <row r="2428" spans="1:13">
      <c r="I2428" t="s">
        <v>187</v>
      </c>
      <c r="J2428" s="15">
        <v>0.65</v>
      </c>
      <c r="K2428" s="2">
        <v>5.0591802597045898</v>
      </c>
      <c r="L2428" s="2">
        <f>SUM(TimeEntries542552556566[Time delta in h])</f>
        <v>7.3322222222923301</v>
      </c>
      <c r="M2428" s="16">
        <f>Tabelle7367543553557567[[#This Row],[EBS self time]]/Tabelle7367543553557567[[#This Row],[Total time]]</f>
        <v>0.68999276158366329</v>
      </c>
    </row>
    <row r="2429" spans="1:13">
      <c r="I2429" t="s">
        <v>192</v>
      </c>
      <c r="J2429" s="15">
        <v>0.8</v>
      </c>
      <c r="K2429" s="2">
        <v>6.5141848150149952</v>
      </c>
      <c r="L2429" s="2">
        <f>SUM(TimeEntries542552556566[Time delta in h])</f>
        <v>7.3322222222923301</v>
      </c>
      <c r="M2429" s="16">
        <f>Tabelle7367543553557567[[#This Row],[EBS self time]]/Tabelle7367543553557567[[#This Row],[Total time]]</f>
        <v>0.88843254030268803</v>
      </c>
    </row>
    <row r="2430" spans="1:13">
      <c r="I2430" t="s">
        <v>193</v>
      </c>
      <c r="J2430" s="15">
        <v>0.95</v>
      </c>
      <c r="K2430" s="2">
        <v>19.609225812808486</v>
      </c>
      <c r="L2430" s="2">
        <f>SUM(TimeEntries542552556566[Time delta in h])</f>
        <v>7.3322222222923301</v>
      </c>
      <c r="M2430" s="16">
        <f>Tabelle7367543553557567[[#This Row],[EBS self time]]/Tabelle7367543553557567[[#This Row],[Total time]]</f>
        <v>2.6743905487738888</v>
      </c>
    </row>
    <row r="2432" spans="1:13">
      <c r="A2432" t="s">
        <v>189</v>
      </c>
      <c r="B2432" t="s">
        <v>492</v>
      </c>
      <c r="C2432" t="s">
        <v>190</v>
      </c>
      <c r="D2432">
        <v>23</v>
      </c>
      <c r="E2432" t="s">
        <v>191</v>
      </c>
      <c r="F2432">
        <v>13</v>
      </c>
    </row>
    <row r="2433" spans="1:13">
      <c r="A2433" s="4" t="s">
        <v>24</v>
      </c>
      <c r="I2433" t="s">
        <v>135</v>
      </c>
      <c r="J2433" t="s">
        <v>136</v>
      </c>
    </row>
    <row r="2434" spans="1:13">
      <c r="A2434" t="s">
        <v>3</v>
      </c>
      <c r="B2434" t="s">
        <v>494</v>
      </c>
    </row>
    <row r="2435" spans="1:13">
      <c r="A2435" t="s">
        <v>77</v>
      </c>
      <c r="B2435" s="2">
        <v>15.030943870544434</v>
      </c>
      <c r="C2435" t="s">
        <v>4</v>
      </c>
    </row>
    <row r="2436" spans="1:13">
      <c r="A2436" t="s">
        <v>0</v>
      </c>
      <c r="B2436" s="2">
        <f>SUM(TimeEntries558568[Time delta in h])</f>
        <v>11.983611111121718</v>
      </c>
      <c r="C2436" t="s">
        <v>4</v>
      </c>
    </row>
    <row r="2437" spans="1:13">
      <c r="A2437" t="s">
        <v>13</v>
      </c>
      <c r="B2437" s="5" t="s">
        <v>92</v>
      </c>
    </row>
    <row r="2438" spans="1:13">
      <c r="A2438" t="s">
        <v>14</v>
      </c>
      <c r="B2438" s="5" t="s">
        <v>18</v>
      </c>
    </row>
    <row r="2439" spans="1:13">
      <c r="A2439" t="s">
        <v>1</v>
      </c>
      <c r="B2439" t="s">
        <v>131</v>
      </c>
    </row>
    <row r="2440" spans="1:13">
      <c r="A2440" t="s">
        <v>15</v>
      </c>
      <c r="B2440" s="5">
        <v>44161.953333333331</v>
      </c>
    </row>
    <row r="2441" spans="1:13">
      <c r="A2441" t="s">
        <v>2</v>
      </c>
    </row>
    <row r="2442" spans="1:13">
      <c r="A2442" t="s">
        <v>46</v>
      </c>
      <c r="B2442" t="s">
        <v>492</v>
      </c>
    </row>
    <row r="2443" spans="1:13">
      <c r="A2443" t="s">
        <v>5</v>
      </c>
      <c r="B2443" s="2">
        <f>B2435/SUM(TimeEntries558568[Time delta in h])</f>
        <v>1.2542916931436932</v>
      </c>
      <c r="C2443" t="s">
        <v>6</v>
      </c>
    </row>
    <row r="2444" spans="1:13">
      <c r="A2444" t="s">
        <v>93</v>
      </c>
    </row>
    <row r="2445" spans="1:13">
      <c r="A2445" t="s">
        <v>94</v>
      </c>
    </row>
    <row r="2446" spans="1:13">
      <c r="A2446" t="s">
        <v>129</v>
      </c>
      <c r="B2446" s="1">
        <v>44161.953321759262</v>
      </c>
    </row>
    <row r="2448" spans="1:13">
      <c r="A2448" t="s">
        <v>10</v>
      </c>
      <c r="B2448" t="s">
        <v>7</v>
      </c>
      <c r="C2448" t="s">
        <v>8</v>
      </c>
      <c r="D2448" t="s">
        <v>9</v>
      </c>
      <c r="E2448" t="s">
        <v>134</v>
      </c>
      <c r="F2448" t="s">
        <v>84</v>
      </c>
      <c r="G2448" t="s">
        <v>85</v>
      </c>
      <c r="I2448" t="s">
        <v>70</v>
      </c>
      <c r="J2448" s="15" t="s">
        <v>68</v>
      </c>
      <c r="K2448" s="2" t="s">
        <v>69</v>
      </c>
      <c r="L2448" t="s">
        <v>71</v>
      </c>
      <c r="M2448" t="s">
        <v>72</v>
      </c>
    </row>
    <row r="2449" spans="1:13">
      <c r="A2449" t="s">
        <v>126</v>
      </c>
      <c r="B2449" s="1">
        <v>44161.454016203701</v>
      </c>
      <c r="C2449" s="1">
        <v>44161.953333333331</v>
      </c>
      <c r="D2449" s="2">
        <f>MAX((TimeEntries558568[[#This Row],[End time]]-TimeEntries558568[[#This Row],[Start time]])*24,0)</f>
        <v>11.983611111121718</v>
      </c>
      <c r="F2449" s="54" t="s">
        <v>184</v>
      </c>
      <c r="G2449" s="22" t="s">
        <v>185</v>
      </c>
      <c r="I2449" t="s">
        <v>126</v>
      </c>
      <c r="J2449" s="15">
        <v>0.05</v>
      </c>
      <c r="K2449" s="2">
        <v>7.5154719352722168</v>
      </c>
      <c r="L2449" s="2">
        <f>SUM(TimeEntries558568[Time delta in h])</f>
        <v>11.983611111121718</v>
      </c>
      <c r="M2449" s="16">
        <f>Tabelle7367559569[[#This Row],[EBS self time]]/Tabelle7367559569[[#This Row],[Total time]]</f>
        <v>0.62714584657184658</v>
      </c>
    </row>
    <row r="2450" spans="1:13">
      <c r="B2450" s="1"/>
      <c r="C2450" s="1"/>
      <c r="D2450" s="2"/>
      <c r="I2450" t="s">
        <v>127</v>
      </c>
      <c r="J2450" s="15">
        <v>0.2</v>
      </c>
      <c r="K2450" s="2">
        <v>7.5154719352722168</v>
      </c>
      <c r="L2450" s="2">
        <f>SUM(TimeEntries558568[Time delta in h])</f>
        <v>11.983611111121718</v>
      </c>
      <c r="M2450" s="16">
        <f>Tabelle7367559569[[#This Row],[EBS self time]]/Tabelle7367559569[[#This Row],[Total time]]</f>
        <v>0.62714584657184658</v>
      </c>
    </row>
    <row r="2451" spans="1:13">
      <c r="I2451" t="s">
        <v>169</v>
      </c>
      <c r="J2451" s="15">
        <v>0.35</v>
      </c>
      <c r="K2451" s="2">
        <v>7.5154719352722168</v>
      </c>
      <c r="L2451" s="2">
        <f>SUM(TimeEntries558568[Time delta in h])</f>
        <v>11.983611111121718</v>
      </c>
      <c r="M2451" s="16">
        <f>Tabelle7367559569[[#This Row],[EBS self time]]/Tabelle7367559569[[#This Row],[Total time]]</f>
        <v>0.62714584657184658</v>
      </c>
    </row>
    <row r="2452" spans="1:13">
      <c r="I2452" t="s">
        <v>172</v>
      </c>
      <c r="J2452" s="15">
        <v>0.5</v>
      </c>
      <c r="K2452" s="2">
        <v>7.5154719352722168</v>
      </c>
      <c r="L2452" s="2">
        <f>SUM(TimeEntries558568[Time delta in h])</f>
        <v>11.983611111121718</v>
      </c>
      <c r="M2452" s="16">
        <f>Tabelle7367559569[[#This Row],[EBS self time]]/Tabelle7367559569[[#This Row],[Total time]]</f>
        <v>0.62714584657184658</v>
      </c>
    </row>
    <row r="2453" spans="1:13">
      <c r="I2453" t="s">
        <v>187</v>
      </c>
      <c r="J2453" s="15">
        <v>0.65</v>
      </c>
      <c r="K2453" s="2">
        <v>29.129736183225646</v>
      </c>
      <c r="L2453" s="2">
        <f>SUM(TimeEntries558568[Time delta in h])</f>
        <v>11.983611111121718</v>
      </c>
      <c r="M2453" s="16">
        <f>Tabelle7367559569[[#This Row],[EBS self time]]/Tabelle7367559569[[#This Row],[Total time]]</f>
        <v>2.4307978549296378</v>
      </c>
    </row>
    <row r="2454" spans="1:13">
      <c r="I2454" t="s">
        <v>192</v>
      </c>
      <c r="J2454" s="15">
        <v>0.8</v>
      </c>
      <c r="K2454" s="2">
        <v>29.129736183225646</v>
      </c>
      <c r="L2454" s="2">
        <f>SUM(TimeEntries558568[Time delta in h])</f>
        <v>11.983611111121718</v>
      </c>
      <c r="M2454" s="16">
        <f>Tabelle7367559569[[#This Row],[EBS self time]]/Tabelle7367559569[[#This Row],[Total time]]</f>
        <v>2.4307978549296378</v>
      </c>
    </row>
    <row r="2455" spans="1:13">
      <c r="I2455" t="s">
        <v>193</v>
      </c>
      <c r="J2455" s="15">
        <v>0.95</v>
      </c>
      <c r="K2455" s="2">
        <v>29.129736183225646</v>
      </c>
      <c r="L2455" s="2">
        <f>SUM(TimeEntries558568[Time delta in h])</f>
        <v>11.983611111121718</v>
      </c>
      <c r="M2455" s="16">
        <f>Tabelle7367559569[[#This Row],[EBS self time]]/Tabelle7367559569[[#This Row],[Total time]]</f>
        <v>2.4307978549296378</v>
      </c>
    </row>
    <row r="2457" spans="1:13">
      <c r="A2457" t="s">
        <v>189</v>
      </c>
      <c r="B2457" t="s">
        <v>495</v>
      </c>
      <c r="C2457" t="s">
        <v>190</v>
      </c>
      <c r="D2457">
        <v>23</v>
      </c>
      <c r="E2457" t="s">
        <v>191</v>
      </c>
      <c r="F2457">
        <v>13</v>
      </c>
    </row>
    <row r="2458" spans="1:13">
      <c r="A2458" s="4" t="s">
        <v>24</v>
      </c>
      <c r="I2458" t="s">
        <v>135</v>
      </c>
      <c r="J2458" t="s">
        <v>136</v>
      </c>
    </row>
    <row r="2459" spans="1:13">
      <c r="A2459" t="s">
        <v>3</v>
      </c>
      <c r="B2459" t="s">
        <v>497</v>
      </c>
    </row>
    <row r="2460" spans="1:13">
      <c r="A2460" t="s">
        <v>77</v>
      </c>
      <c r="B2460" s="2">
        <v>14.551670074462891</v>
      </c>
      <c r="C2460" t="s">
        <v>4</v>
      </c>
    </row>
    <row r="2461" spans="1:13">
      <c r="A2461" t="s">
        <v>0</v>
      </c>
      <c r="B2461" s="2">
        <f>SUM(TimeEntries560570[Time delta in h])</f>
        <v>10.587777777865995</v>
      </c>
      <c r="C2461" t="s">
        <v>4</v>
      </c>
    </row>
    <row r="2462" spans="1:13">
      <c r="A2462" t="s">
        <v>13</v>
      </c>
      <c r="B2462" s="5" t="s">
        <v>92</v>
      </c>
    </row>
    <row r="2463" spans="1:13">
      <c r="A2463" t="s">
        <v>14</v>
      </c>
      <c r="B2463" s="5" t="s">
        <v>18</v>
      </c>
    </row>
    <row r="2464" spans="1:13">
      <c r="A2464" t="s">
        <v>1</v>
      </c>
      <c r="B2464" t="s">
        <v>91</v>
      </c>
    </row>
    <row r="2465" spans="1:13">
      <c r="A2465" t="s">
        <v>15</v>
      </c>
      <c r="B2465" s="5" t="s">
        <v>92</v>
      </c>
    </row>
    <row r="2466" spans="1:13">
      <c r="A2466" t="s">
        <v>2</v>
      </c>
    </row>
    <row r="2467" spans="1:13">
      <c r="A2467" t="s">
        <v>46</v>
      </c>
      <c r="B2467" t="s">
        <v>495</v>
      </c>
    </row>
    <row r="2468" spans="1:13">
      <c r="A2468" t="s">
        <v>5</v>
      </c>
      <c r="B2468" s="2">
        <f>B2460/SUM(TimeEntries560570[Time delta in h])</f>
        <v>1.3743837828636249</v>
      </c>
      <c r="C2468" t="s">
        <v>6</v>
      </c>
    </row>
    <row r="2469" spans="1:13">
      <c r="A2469" t="s">
        <v>93</v>
      </c>
    </row>
    <row r="2470" spans="1:13">
      <c r="A2470" t="s">
        <v>94</v>
      </c>
    </row>
    <row r="2471" spans="1:13">
      <c r="A2471" t="s">
        <v>129</v>
      </c>
      <c r="B2471" s="1">
        <v>44161.953344907408</v>
      </c>
    </row>
    <row r="2473" spans="1:13">
      <c r="A2473" t="s">
        <v>10</v>
      </c>
      <c r="B2473" t="s">
        <v>7</v>
      </c>
      <c r="C2473" t="s">
        <v>8</v>
      </c>
      <c r="D2473" t="s">
        <v>9</v>
      </c>
      <c r="E2473" t="s">
        <v>134</v>
      </c>
      <c r="F2473" t="s">
        <v>84</v>
      </c>
      <c r="G2473" t="s">
        <v>85</v>
      </c>
      <c r="I2473" t="s">
        <v>70</v>
      </c>
      <c r="J2473" s="15" t="s">
        <v>68</v>
      </c>
      <c r="K2473" s="2" t="s">
        <v>69</v>
      </c>
      <c r="L2473" t="s">
        <v>71</v>
      </c>
      <c r="M2473" t="s">
        <v>72</v>
      </c>
    </row>
    <row r="2474" spans="1:13">
      <c r="A2474" t="s">
        <v>126</v>
      </c>
      <c r="B2474" s="1">
        <v>44161.512187499997</v>
      </c>
      <c r="C2474" s="1">
        <v>44161.953344907408</v>
      </c>
      <c r="D2474" s="2">
        <f>MAX((TimeEntries560570[[#This Row],[End time]]-TimeEntries560570[[#This Row],[Start time]])*24,0)</f>
        <v>10.587777777865995</v>
      </c>
      <c r="F2474" s="54" t="s">
        <v>184</v>
      </c>
      <c r="G2474" s="22" t="s">
        <v>185</v>
      </c>
      <c r="I2474" t="s">
        <v>126</v>
      </c>
      <c r="J2474" s="15">
        <v>0.05</v>
      </c>
      <c r="K2474" s="2">
        <v>7.2758350372314453</v>
      </c>
      <c r="L2474" s="2">
        <f>SUM(TimeEntries560570[Time delta in h])</f>
        <v>10.587777777865995</v>
      </c>
      <c r="M2474" s="16">
        <f>Tabelle7367561571[[#This Row],[EBS self time]]/Tabelle7367561571[[#This Row],[Total time]]</f>
        <v>0.68719189143181247</v>
      </c>
    </row>
    <row r="2475" spans="1:13">
      <c r="B2475" s="1"/>
      <c r="C2475" s="1"/>
      <c r="D2475" s="2"/>
      <c r="I2475" t="s">
        <v>127</v>
      </c>
      <c r="J2475" s="15">
        <v>0.2</v>
      </c>
      <c r="K2475" s="2">
        <v>7.2758350372314453</v>
      </c>
      <c r="L2475" s="2">
        <f>SUM(TimeEntries560570[Time delta in h])</f>
        <v>10.587777777865995</v>
      </c>
      <c r="M2475" s="16">
        <f>Tabelle7367561571[[#This Row],[EBS self time]]/Tabelle7367561571[[#This Row],[Total time]]</f>
        <v>0.68719189143181247</v>
      </c>
    </row>
    <row r="2476" spans="1:13">
      <c r="I2476" t="s">
        <v>169</v>
      </c>
      <c r="J2476" s="15">
        <v>0.35</v>
      </c>
      <c r="K2476" s="2">
        <v>7.2758350372314453</v>
      </c>
      <c r="L2476" s="2">
        <f>SUM(TimeEntries560570[Time delta in h])</f>
        <v>10.587777777865995</v>
      </c>
      <c r="M2476" s="16">
        <f>Tabelle7367561571[[#This Row],[EBS self time]]/Tabelle7367561571[[#This Row],[Total time]]</f>
        <v>0.68719189143181247</v>
      </c>
    </row>
    <row r="2477" spans="1:13">
      <c r="I2477" t="s">
        <v>172</v>
      </c>
      <c r="J2477" s="15">
        <v>0.5</v>
      </c>
      <c r="K2477" s="2">
        <v>28.200910997021104</v>
      </c>
      <c r="L2477" s="2">
        <f>SUM(TimeEntries560570[Time delta in h])</f>
        <v>10.587777777865995</v>
      </c>
      <c r="M2477" s="16">
        <f>Tabelle7367561571[[#This Row],[EBS self time]]/Tabelle7367561571[[#This Row],[Total time]]</f>
        <v>2.6635344629140016</v>
      </c>
    </row>
    <row r="2478" spans="1:13">
      <c r="I2478" t="s">
        <v>187</v>
      </c>
      <c r="J2478" s="15">
        <v>0.65</v>
      </c>
      <c r="K2478" s="2">
        <v>28.200910997021104</v>
      </c>
      <c r="L2478" s="2">
        <f>SUM(TimeEntries560570[Time delta in h])</f>
        <v>10.587777777865995</v>
      </c>
      <c r="M2478" s="16">
        <f>Tabelle7367561571[[#This Row],[EBS self time]]/Tabelle7367561571[[#This Row],[Total time]]</f>
        <v>2.6635344629140016</v>
      </c>
    </row>
    <row r="2479" spans="1:13">
      <c r="I2479" t="s">
        <v>192</v>
      </c>
      <c r="J2479" s="15">
        <v>0.8</v>
      </c>
      <c r="K2479" s="2">
        <v>28.200910997021104</v>
      </c>
      <c r="L2479" s="2">
        <f>SUM(TimeEntries560570[Time delta in h])</f>
        <v>10.587777777865995</v>
      </c>
      <c r="M2479" s="16">
        <f>Tabelle7367561571[[#This Row],[EBS self time]]/Tabelle7367561571[[#This Row],[Total time]]</f>
        <v>2.6635344629140016</v>
      </c>
    </row>
    <row r="2480" spans="1:13">
      <c r="I2480" t="s">
        <v>193</v>
      </c>
      <c r="J2480" s="15">
        <v>0.95</v>
      </c>
      <c r="K2480" s="2">
        <v>28.200910997021104</v>
      </c>
      <c r="L2480" s="2">
        <f>SUM(TimeEntries560570[Time delta in h])</f>
        <v>10.587777777865995</v>
      </c>
      <c r="M2480" s="16">
        <f>Tabelle7367561571[[#This Row],[EBS self time]]/Tabelle7367561571[[#This Row],[Total time]]</f>
        <v>2.6635344629140016</v>
      </c>
    </row>
    <row r="2482" spans="1:10">
      <c r="A2482" t="s">
        <v>189</v>
      </c>
      <c r="B2482" t="s">
        <v>498</v>
      </c>
      <c r="C2482" t="s">
        <v>190</v>
      </c>
      <c r="D2482">
        <v>18</v>
      </c>
      <c r="E2482" t="s">
        <v>191</v>
      </c>
      <c r="F2482">
        <v>13</v>
      </c>
    </row>
    <row r="2483" spans="1:10">
      <c r="A2483" s="4" t="s">
        <v>24</v>
      </c>
      <c r="I2483" t="s">
        <v>135</v>
      </c>
      <c r="J2483" t="s">
        <v>136</v>
      </c>
    </row>
    <row r="2484" spans="1:10">
      <c r="A2484" t="s">
        <v>3</v>
      </c>
      <c r="B2484" t="s">
        <v>500</v>
      </c>
    </row>
    <row r="2485" spans="1:10">
      <c r="A2485" t="s">
        <v>77</v>
      </c>
      <c r="B2485" s="2" t="s">
        <v>92</v>
      </c>
      <c r="C2485" t="s">
        <v>4</v>
      </c>
    </row>
    <row r="2486" spans="1:10">
      <c r="A2486" t="s">
        <v>0</v>
      </c>
      <c r="B2486" s="2">
        <f>SUM(TimeEntries562572[Time delta in h])</f>
        <v>24.311666666704696</v>
      </c>
      <c r="C2486" t="s">
        <v>4</v>
      </c>
    </row>
    <row r="2487" spans="1:10">
      <c r="A2487" t="s">
        <v>13</v>
      </c>
      <c r="B2487" s="5" t="s">
        <v>92</v>
      </c>
    </row>
    <row r="2488" spans="1:10">
      <c r="A2488" t="s">
        <v>14</v>
      </c>
      <c r="B2488" s="5" t="s">
        <v>18</v>
      </c>
    </row>
    <row r="2489" spans="1:10">
      <c r="A2489" t="s">
        <v>1</v>
      </c>
      <c r="B2489" t="s">
        <v>91</v>
      </c>
    </row>
    <row r="2490" spans="1:10">
      <c r="A2490" t="s">
        <v>15</v>
      </c>
      <c r="B2490" s="5" t="s">
        <v>92</v>
      </c>
    </row>
    <row r="2491" spans="1:10">
      <c r="A2491" t="s">
        <v>2</v>
      </c>
    </row>
    <row r="2492" spans="1:10">
      <c r="A2492" t="s">
        <v>46</v>
      </c>
      <c r="B2492" t="s">
        <v>498</v>
      </c>
    </row>
    <row r="2493" spans="1:10">
      <c r="A2493" t="s">
        <v>5</v>
      </c>
      <c r="B2493" s="2" t="e">
        <f>B2485/SUM(TimeEntries562572[Time delta in h])</f>
        <v>#VALUE!</v>
      </c>
      <c r="C2493" t="s">
        <v>6</v>
      </c>
    </row>
    <row r="2494" spans="1:10">
      <c r="A2494" t="s">
        <v>93</v>
      </c>
    </row>
    <row r="2495" spans="1:10">
      <c r="A2495" t="s">
        <v>94</v>
      </c>
    </row>
    <row r="2496" spans="1:10">
      <c r="A2496" t="s">
        <v>129</v>
      </c>
      <c r="B2496" s="1">
        <v>44161.953356481485</v>
      </c>
    </row>
    <row r="2498" spans="1:13">
      <c r="A2498" t="s">
        <v>10</v>
      </c>
      <c r="B2498" t="s">
        <v>7</v>
      </c>
      <c r="C2498" t="s">
        <v>8</v>
      </c>
      <c r="D2498" t="s">
        <v>9</v>
      </c>
      <c r="E2498" t="s">
        <v>134</v>
      </c>
      <c r="F2498" t="s">
        <v>84</v>
      </c>
      <c r="G2498" t="s">
        <v>85</v>
      </c>
      <c r="I2498" t="s">
        <v>70</v>
      </c>
      <c r="J2498" s="15" t="s">
        <v>68</v>
      </c>
      <c r="K2498" s="2" t="s">
        <v>69</v>
      </c>
      <c r="L2498" t="s">
        <v>71</v>
      </c>
      <c r="M2498" t="s">
        <v>72</v>
      </c>
    </row>
    <row r="2499" spans="1:13">
      <c r="A2499" t="s">
        <v>126</v>
      </c>
      <c r="B2499" s="1">
        <v>44160.940370370372</v>
      </c>
      <c r="C2499" s="1">
        <v>44161.953356481485</v>
      </c>
      <c r="D2499" s="2">
        <f>MAX((TimeEntries562572[[#This Row],[End time]]-TimeEntries562572[[#This Row],[Start time]])*24,0)</f>
        <v>24.311666666704696</v>
      </c>
      <c r="F2499" s="54" t="s">
        <v>184</v>
      </c>
      <c r="G2499" s="22" t="s">
        <v>185</v>
      </c>
      <c r="J2499" s="15"/>
      <c r="K2499" s="2"/>
      <c r="L2499" s="2">
        <f>SUM(TimeEntries562572[Time delta in h])</f>
        <v>24.311666666704696</v>
      </c>
      <c r="M2499" s="16">
        <f>Tabelle7367563573[[#This Row],[EBS self time]]/Tabelle7367563573[[#This Row],[Total time]]</f>
        <v>0</v>
      </c>
    </row>
    <row r="2500" spans="1:13">
      <c r="B2500" s="1"/>
      <c r="C2500" s="1"/>
      <c r="D2500" s="2"/>
    </row>
    <row r="2502" spans="1:13">
      <c r="A2502" t="s">
        <v>189</v>
      </c>
      <c r="B2502" t="s">
        <v>501</v>
      </c>
      <c r="C2502" t="s">
        <v>190</v>
      </c>
      <c r="D2502">
        <v>23</v>
      </c>
      <c r="E2502" t="s">
        <v>191</v>
      </c>
      <c r="F2502">
        <v>13</v>
      </c>
    </row>
    <row r="2503" spans="1:13">
      <c r="A2503" s="4" t="s">
        <v>24</v>
      </c>
      <c r="I2503" t="s">
        <v>135</v>
      </c>
      <c r="J2503" t="s">
        <v>136</v>
      </c>
    </row>
    <row r="2504" spans="1:13">
      <c r="A2504" t="s">
        <v>3</v>
      </c>
      <c r="B2504" t="s">
        <v>503</v>
      </c>
    </row>
    <row r="2505" spans="1:13">
      <c r="A2505" t="s">
        <v>77</v>
      </c>
      <c r="B2505" s="2">
        <v>13.618622779846191</v>
      </c>
      <c r="C2505" t="s">
        <v>4</v>
      </c>
    </row>
    <row r="2506" spans="1:13">
      <c r="A2506" t="s">
        <v>0</v>
      </c>
      <c r="B2506" s="2">
        <f>SUM(TimeEntries564574578588[Time delta in h])</f>
        <v>20.336388889001682</v>
      </c>
      <c r="C2506" t="s">
        <v>4</v>
      </c>
    </row>
    <row r="2507" spans="1:13">
      <c r="A2507" t="s">
        <v>13</v>
      </c>
      <c r="B2507" s="5" t="s">
        <v>92</v>
      </c>
    </row>
    <row r="2508" spans="1:13">
      <c r="A2508" t="s">
        <v>14</v>
      </c>
      <c r="B2508" s="5" t="s">
        <v>18</v>
      </c>
    </row>
    <row r="2509" spans="1:13">
      <c r="A2509" t="s">
        <v>1</v>
      </c>
      <c r="B2509" t="s">
        <v>91</v>
      </c>
    </row>
    <row r="2510" spans="1:13">
      <c r="A2510" t="s">
        <v>15</v>
      </c>
      <c r="B2510" s="5" t="s">
        <v>92</v>
      </c>
    </row>
    <row r="2511" spans="1:13">
      <c r="A2511" t="s">
        <v>2</v>
      </c>
    </row>
    <row r="2512" spans="1:13">
      <c r="A2512" t="s">
        <v>46</v>
      </c>
      <c r="B2512" t="s">
        <v>501</v>
      </c>
    </row>
    <row r="2513" spans="1:13">
      <c r="A2513" t="s">
        <v>5</v>
      </c>
      <c r="B2513" s="2">
        <f>B2505/SUM(TimeEntries564574578588[Time delta in h])</f>
        <v>0.66966770030698075</v>
      </c>
      <c r="C2513" t="s">
        <v>6</v>
      </c>
    </row>
    <row r="2514" spans="1:13">
      <c r="A2514" t="s">
        <v>93</v>
      </c>
    </row>
    <row r="2515" spans="1:13">
      <c r="A2515" t="s">
        <v>94</v>
      </c>
    </row>
    <row r="2516" spans="1:13">
      <c r="A2516" t="s">
        <v>129</v>
      </c>
      <c r="B2516" s="1">
        <v>44161.953368055554</v>
      </c>
    </row>
    <row r="2518" spans="1:13">
      <c r="A2518" t="s">
        <v>10</v>
      </c>
      <c r="B2518" t="s">
        <v>7</v>
      </c>
      <c r="C2518" t="s">
        <v>8</v>
      </c>
      <c r="D2518" t="s">
        <v>9</v>
      </c>
      <c r="E2518" t="s">
        <v>134</v>
      </c>
      <c r="F2518" t="s">
        <v>84</v>
      </c>
      <c r="G2518" t="s">
        <v>85</v>
      </c>
      <c r="I2518" t="s">
        <v>70</v>
      </c>
      <c r="J2518" s="15" t="s">
        <v>68</v>
      </c>
      <c r="K2518" s="2" t="s">
        <v>69</v>
      </c>
      <c r="L2518" t="s">
        <v>71</v>
      </c>
      <c r="M2518" t="s">
        <v>72</v>
      </c>
    </row>
    <row r="2519" spans="1:13">
      <c r="A2519" t="s">
        <v>126</v>
      </c>
      <c r="B2519" s="1">
        <v>44161.106064814812</v>
      </c>
      <c r="C2519" s="1">
        <v>44161.953414351854</v>
      </c>
      <c r="D2519" s="2">
        <f>MAX((TimeEntries564574578588[[#This Row],[End time]]-TimeEntries564574578588[[#This Row],[Start time]])*24,0)</f>
        <v>20.336388889001682</v>
      </c>
      <c r="F2519" s="54" t="s">
        <v>184</v>
      </c>
      <c r="G2519" s="22" t="s">
        <v>185</v>
      </c>
      <c r="I2519" t="s">
        <v>126</v>
      </c>
      <c r="J2519" s="15">
        <v>0.05</v>
      </c>
      <c r="K2519" s="2">
        <v>6.8093113899230957</v>
      </c>
      <c r="L2519" s="2">
        <f>SUM(TimeEntries564574578588[Time delta in h])</f>
        <v>20.336388889001682</v>
      </c>
      <c r="M2519" s="16">
        <f>Tabelle7367565575579589[[#This Row],[EBS self time]]/Tabelle7367565575579589[[#This Row],[Total time]]</f>
        <v>0.33483385015349038</v>
      </c>
    </row>
    <row r="2520" spans="1:13">
      <c r="B2520" s="1"/>
      <c r="C2520" s="1"/>
      <c r="D2520" s="2"/>
      <c r="I2520" t="s">
        <v>127</v>
      </c>
      <c r="J2520" s="15">
        <v>0.2</v>
      </c>
      <c r="K2520" s="2">
        <v>6.8093113899230957</v>
      </c>
      <c r="L2520" s="2">
        <f>SUM(TimeEntries564574578588[Time delta in h])</f>
        <v>20.336388889001682</v>
      </c>
      <c r="M2520" s="16">
        <f>Tabelle7367565575579589[[#This Row],[EBS self time]]/Tabelle7367565575579589[[#This Row],[Total time]]</f>
        <v>0.33483385015349038</v>
      </c>
    </row>
    <row r="2521" spans="1:13">
      <c r="I2521" t="s">
        <v>169</v>
      </c>
      <c r="J2521" s="15">
        <v>0.35</v>
      </c>
      <c r="K2521" s="2">
        <v>6.8093113899230957</v>
      </c>
      <c r="L2521" s="2">
        <f>SUM(TimeEntries564574578588[Time delta in h])</f>
        <v>20.336388889001682</v>
      </c>
      <c r="M2521" s="16">
        <f>Tabelle7367565575579589[[#This Row],[EBS self time]]/Tabelle7367565575579589[[#This Row],[Total time]]</f>
        <v>0.33483385015349038</v>
      </c>
    </row>
    <row r="2522" spans="1:13">
      <c r="I2522" t="s">
        <v>172</v>
      </c>
      <c r="J2522" s="15">
        <v>0.5</v>
      </c>
      <c r="K2522" s="2">
        <v>6.8093113899230957</v>
      </c>
      <c r="L2522" s="2">
        <f>SUM(TimeEntries564574578588[Time delta in h])</f>
        <v>20.336388889001682</v>
      </c>
      <c r="M2522" s="16">
        <f>Tabelle7367565575579589[[#This Row],[EBS self time]]/Tabelle7367565575579589[[#This Row],[Total time]]</f>
        <v>0.33483385015349038</v>
      </c>
    </row>
    <row r="2523" spans="1:13">
      <c r="I2523" t="s">
        <v>187</v>
      </c>
      <c r="J2523" s="15">
        <v>0.65</v>
      </c>
      <c r="K2523" s="2">
        <v>6.8093113899230957</v>
      </c>
      <c r="L2523" s="2">
        <f>SUM(TimeEntries564574578588[Time delta in h])</f>
        <v>20.336388889001682</v>
      </c>
      <c r="M2523" s="16">
        <f>Tabelle7367565575579589[[#This Row],[EBS self time]]/Tabelle7367565575579589[[#This Row],[Total time]]</f>
        <v>0.33483385015349038</v>
      </c>
    </row>
    <row r="2524" spans="1:13">
      <c r="I2524" t="s">
        <v>192</v>
      </c>
      <c r="J2524" s="15">
        <v>0.8</v>
      </c>
      <c r="K2524" s="2">
        <v>26.39267980590347</v>
      </c>
      <c r="L2524" s="2">
        <f>SUM(TimeEntries564574578588[Time delta in h])</f>
        <v>20.336388889001682</v>
      </c>
      <c r="M2524" s="16">
        <f>Tabelle7367565575579589[[#This Row],[EBS self time]]/Tabelle7367565575579589[[#This Row],[Total time]]</f>
        <v>1.2978056207499626</v>
      </c>
    </row>
    <row r="2525" spans="1:13">
      <c r="I2525" t="s">
        <v>193</v>
      </c>
      <c r="J2525" s="15">
        <v>0.95</v>
      </c>
      <c r="K2525" s="2">
        <v>26.39267980590347</v>
      </c>
      <c r="L2525" s="2">
        <f>SUM(TimeEntries564574578588[Time delta in h])</f>
        <v>20.336388889001682</v>
      </c>
      <c r="M2525" s="16">
        <f>Tabelle7367565575579589[[#This Row],[EBS self time]]/Tabelle7367565575579589[[#This Row],[Total time]]</f>
        <v>1.2978056207499626</v>
      </c>
    </row>
    <row r="2527" spans="1:13">
      <c r="A2527" t="s">
        <v>189</v>
      </c>
      <c r="B2527" t="s">
        <v>504</v>
      </c>
      <c r="C2527" t="s">
        <v>190</v>
      </c>
      <c r="D2527">
        <v>23</v>
      </c>
      <c r="E2527" t="s">
        <v>191</v>
      </c>
      <c r="F2527">
        <v>13</v>
      </c>
    </row>
    <row r="2528" spans="1:13">
      <c r="A2528" s="4" t="s">
        <v>24</v>
      </c>
      <c r="I2528" t="s">
        <v>135</v>
      </c>
      <c r="J2528" t="s">
        <v>136</v>
      </c>
    </row>
    <row r="2529" spans="1:13">
      <c r="A2529" t="s">
        <v>3</v>
      </c>
      <c r="B2529" t="s">
        <v>506</v>
      </c>
    </row>
    <row r="2530" spans="1:13">
      <c r="A2530" t="s">
        <v>77</v>
      </c>
      <c r="B2530" s="2">
        <v>0.26237297058105469</v>
      </c>
      <c r="C2530" t="s">
        <v>4</v>
      </c>
    </row>
    <row r="2531" spans="1:13">
      <c r="A2531" t="s">
        <v>0</v>
      </c>
      <c r="B2531" s="2">
        <f>SUM(TimeEntries580590[Time delta in h])</f>
        <v>4.4055555554805323</v>
      </c>
      <c r="C2531" t="s">
        <v>4</v>
      </c>
    </row>
    <row r="2532" spans="1:13">
      <c r="A2532" t="s">
        <v>13</v>
      </c>
      <c r="B2532" s="5" t="s">
        <v>92</v>
      </c>
    </row>
    <row r="2533" spans="1:13">
      <c r="A2533" t="s">
        <v>14</v>
      </c>
      <c r="B2533" s="5" t="s">
        <v>18</v>
      </c>
    </row>
    <row r="2534" spans="1:13">
      <c r="A2534" t="s">
        <v>1</v>
      </c>
      <c r="B2534" t="s">
        <v>131</v>
      </c>
    </row>
    <row r="2535" spans="1:13">
      <c r="A2535" t="s">
        <v>15</v>
      </c>
      <c r="B2535" s="5">
        <v>44161.953425925924</v>
      </c>
    </row>
    <row r="2536" spans="1:13">
      <c r="A2536" t="s">
        <v>2</v>
      </c>
    </row>
    <row r="2537" spans="1:13">
      <c r="A2537" t="s">
        <v>46</v>
      </c>
      <c r="B2537" t="s">
        <v>504</v>
      </c>
    </row>
    <row r="2538" spans="1:13">
      <c r="A2538" t="s">
        <v>5</v>
      </c>
      <c r="B2538" s="2">
        <f>B2530/SUM(TimeEntries580590[Time delta in h])</f>
        <v>5.9555024849172869E-2</v>
      </c>
      <c r="C2538" t="s">
        <v>6</v>
      </c>
    </row>
    <row r="2539" spans="1:13">
      <c r="A2539" t="s">
        <v>93</v>
      </c>
    </row>
    <row r="2540" spans="1:13">
      <c r="A2540" t="s">
        <v>94</v>
      </c>
    </row>
    <row r="2541" spans="1:13">
      <c r="A2541" t="s">
        <v>129</v>
      </c>
      <c r="B2541" s="1">
        <v>44161.953425925924</v>
      </c>
    </row>
    <row r="2543" spans="1:13">
      <c r="A2543" t="s">
        <v>10</v>
      </c>
      <c r="B2543" t="s">
        <v>7</v>
      </c>
      <c r="C2543" t="s">
        <v>8</v>
      </c>
      <c r="D2543" t="s">
        <v>9</v>
      </c>
      <c r="E2543" t="s">
        <v>134</v>
      </c>
      <c r="F2543" t="s">
        <v>84</v>
      </c>
      <c r="G2543" t="s">
        <v>85</v>
      </c>
      <c r="I2543" t="s">
        <v>70</v>
      </c>
      <c r="J2543" s="15" t="s">
        <v>68</v>
      </c>
      <c r="K2543" s="2" t="s">
        <v>69</v>
      </c>
      <c r="L2543" t="s">
        <v>71</v>
      </c>
      <c r="M2543" t="s">
        <v>72</v>
      </c>
    </row>
    <row r="2544" spans="1:13">
      <c r="A2544" t="s">
        <v>126</v>
      </c>
      <c r="B2544" s="1">
        <v>44161.769861111112</v>
      </c>
      <c r="C2544" s="1">
        <v>44161.953425925924</v>
      </c>
      <c r="D2544" s="2">
        <f>MAX((TimeEntries580590[[#This Row],[End time]]-TimeEntries580590[[#This Row],[Start time]])*24,0)</f>
        <v>4.4055555554805323</v>
      </c>
      <c r="F2544" s="54" t="s">
        <v>184</v>
      </c>
      <c r="G2544" s="22" t="s">
        <v>185</v>
      </c>
      <c r="I2544" t="s">
        <v>126</v>
      </c>
      <c r="J2544" s="15">
        <v>0.05</v>
      </c>
      <c r="K2544" s="2">
        <v>0.13118648529052734</v>
      </c>
      <c r="L2544" s="2">
        <f>SUM(TimeEntries580590[Time delta in h])</f>
        <v>4.4055555554805323</v>
      </c>
      <c r="M2544" s="16">
        <f>Tabelle7367581591[[#This Row],[EBS self time]]/Tabelle7367581591[[#This Row],[Total time]]</f>
        <v>2.9777512424586434E-2</v>
      </c>
    </row>
    <row r="2545" spans="1:13">
      <c r="B2545" s="1"/>
      <c r="C2545" s="1"/>
      <c r="D2545" s="2"/>
      <c r="I2545" t="s">
        <v>127</v>
      </c>
      <c r="J2545" s="15">
        <v>0.2</v>
      </c>
      <c r="K2545" s="2">
        <v>0.13118648529052734</v>
      </c>
      <c r="L2545" s="2">
        <f>SUM(TimeEntries580590[Time delta in h])</f>
        <v>4.4055555554805323</v>
      </c>
      <c r="M2545" s="16">
        <f>Tabelle7367581591[[#This Row],[EBS self time]]/Tabelle7367581591[[#This Row],[Total time]]</f>
        <v>2.9777512424586434E-2</v>
      </c>
    </row>
    <row r="2546" spans="1:13">
      <c r="I2546" t="s">
        <v>169</v>
      </c>
      <c r="J2546" s="15">
        <v>0.35</v>
      </c>
      <c r="K2546" s="2">
        <v>0.13118648529052734</v>
      </c>
      <c r="L2546" s="2">
        <f>SUM(TimeEntries580590[Time delta in h])</f>
        <v>4.4055555554805323</v>
      </c>
      <c r="M2546" s="16">
        <f>Tabelle7367581591[[#This Row],[EBS self time]]/Tabelle7367581591[[#This Row],[Total time]]</f>
        <v>2.9777512424586434E-2</v>
      </c>
    </row>
    <row r="2547" spans="1:13">
      <c r="I2547" t="s">
        <v>172</v>
      </c>
      <c r="J2547" s="15">
        <v>0.5</v>
      </c>
      <c r="K2547" s="2">
        <v>0.13118648529052734</v>
      </c>
      <c r="L2547" s="2">
        <f>SUM(TimeEntries580590[Time delta in h])</f>
        <v>4.4055555554805323</v>
      </c>
      <c r="M2547" s="16">
        <f>Tabelle7367581591[[#This Row],[EBS self time]]/Tabelle7367581591[[#This Row],[Total time]]</f>
        <v>2.9777512424586434E-2</v>
      </c>
    </row>
    <row r="2548" spans="1:13">
      <c r="I2548" t="s">
        <v>187</v>
      </c>
      <c r="J2548" s="15">
        <v>0.65</v>
      </c>
      <c r="K2548" s="2">
        <v>0.50847474918809044</v>
      </c>
      <c r="L2548" s="2">
        <f>SUM(TimeEntries580590[Time delta in h])</f>
        <v>4.4055555554805323</v>
      </c>
      <c r="M2548" s="16">
        <f>Tabelle7367581591[[#This Row],[EBS self time]]/Tabelle7367581591[[#This Row],[Total time]]</f>
        <v>0.11541671482397842</v>
      </c>
    </row>
    <row r="2549" spans="1:13">
      <c r="I2549" t="s">
        <v>192</v>
      </c>
      <c r="J2549" s="15">
        <v>0.8</v>
      </c>
      <c r="K2549" s="2">
        <v>0.50847474918809044</v>
      </c>
      <c r="L2549" s="2">
        <f>SUM(TimeEntries580590[Time delta in h])</f>
        <v>4.4055555554805323</v>
      </c>
      <c r="M2549" s="16">
        <f>Tabelle7367581591[[#This Row],[EBS self time]]/Tabelle7367581591[[#This Row],[Total time]]</f>
        <v>0.11541671482397842</v>
      </c>
    </row>
    <row r="2550" spans="1:13">
      <c r="I2550" t="s">
        <v>193</v>
      </c>
      <c r="J2550" s="15">
        <v>0.95</v>
      </c>
      <c r="K2550" s="2">
        <v>0.50847474918809044</v>
      </c>
      <c r="L2550" s="2">
        <f>SUM(TimeEntries580590[Time delta in h])</f>
        <v>4.4055555554805323</v>
      </c>
      <c r="M2550" s="16">
        <f>Tabelle7367581591[[#This Row],[EBS self time]]/Tabelle7367581591[[#This Row],[Total time]]</f>
        <v>0.11541671482397842</v>
      </c>
    </row>
    <row r="2552" spans="1:13">
      <c r="A2552" t="s">
        <v>189</v>
      </c>
      <c r="B2552" t="s">
        <v>507</v>
      </c>
      <c r="C2552" t="s">
        <v>190</v>
      </c>
      <c r="D2552">
        <v>23</v>
      </c>
      <c r="E2552" t="s">
        <v>191</v>
      </c>
      <c r="F2552">
        <v>13</v>
      </c>
    </row>
    <row r="2553" spans="1:13">
      <c r="A2553" s="4" t="s">
        <v>24</v>
      </c>
      <c r="I2553" t="s">
        <v>135</v>
      </c>
      <c r="J2553" t="s">
        <v>136</v>
      </c>
    </row>
    <row r="2554" spans="1:13">
      <c r="A2554" t="s">
        <v>3</v>
      </c>
      <c r="B2554" t="s">
        <v>509</v>
      </c>
    </row>
    <row r="2555" spans="1:13">
      <c r="A2555" t="s">
        <v>77</v>
      </c>
      <c r="B2555" s="2">
        <v>9.8354787826538086</v>
      </c>
      <c r="C2555" t="s">
        <v>4</v>
      </c>
    </row>
    <row r="2556" spans="1:13">
      <c r="A2556" t="s">
        <v>0</v>
      </c>
      <c r="B2556" s="2">
        <f>SUM(TimeEntries582592[Time delta in h])</f>
        <v>17.843888888892252</v>
      </c>
      <c r="C2556" t="s">
        <v>4</v>
      </c>
    </row>
    <row r="2557" spans="1:13">
      <c r="A2557" t="s">
        <v>13</v>
      </c>
      <c r="B2557" s="5" t="s">
        <v>92</v>
      </c>
    </row>
    <row r="2558" spans="1:13">
      <c r="A2558" t="s">
        <v>14</v>
      </c>
      <c r="B2558" s="5" t="s">
        <v>18</v>
      </c>
    </row>
    <row r="2559" spans="1:13">
      <c r="A2559" t="s">
        <v>1</v>
      </c>
      <c r="B2559" t="s">
        <v>91</v>
      </c>
    </row>
    <row r="2560" spans="1:13">
      <c r="A2560" t="s">
        <v>15</v>
      </c>
      <c r="B2560" s="5" t="s">
        <v>92</v>
      </c>
    </row>
    <row r="2561" spans="1:13">
      <c r="A2561" t="s">
        <v>2</v>
      </c>
    </row>
    <row r="2562" spans="1:13">
      <c r="A2562" t="s">
        <v>46</v>
      </c>
      <c r="B2562" t="s">
        <v>507</v>
      </c>
    </row>
    <row r="2563" spans="1:13">
      <c r="A2563" t="s">
        <v>5</v>
      </c>
      <c r="B2563" s="2">
        <f>B2555/SUM(TimeEntries582592[Time delta in h])</f>
        <v>0.55119592169038634</v>
      </c>
      <c r="C2563" t="s">
        <v>6</v>
      </c>
    </row>
    <row r="2564" spans="1:13">
      <c r="A2564" t="s">
        <v>93</v>
      </c>
    </row>
    <row r="2565" spans="1:13">
      <c r="A2565" t="s">
        <v>94</v>
      </c>
    </row>
    <row r="2566" spans="1:13">
      <c r="A2566" t="s">
        <v>129</v>
      </c>
      <c r="B2566" s="1">
        <v>44161.9534375</v>
      </c>
    </row>
    <row r="2568" spans="1:13">
      <c r="A2568" t="s">
        <v>10</v>
      </c>
      <c r="B2568" t="s">
        <v>7</v>
      </c>
      <c r="C2568" t="s">
        <v>8</v>
      </c>
      <c r="D2568" t="s">
        <v>9</v>
      </c>
      <c r="E2568" t="s">
        <v>134</v>
      </c>
      <c r="F2568" t="s">
        <v>84</v>
      </c>
      <c r="G2568" t="s">
        <v>85</v>
      </c>
      <c r="I2568" t="s">
        <v>70</v>
      </c>
      <c r="J2568" s="15" t="s">
        <v>68</v>
      </c>
      <c r="K2568" s="2" t="s">
        <v>69</v>
      </c>
      <c r="L2568" t="s">
        <v>71</v>
      </c>
      <c r="M2568" t="s">
        <v>72</v>
      </c>
    </row>
    <row r="2569" spans="1:13">
      <c r="A2569" t="s">
        <v>126</v>
      </c>
      <c r="B2569" s="1">
        <v>44161.20994212963</v>
      </c>
      <c r="C2569" s="1">
        <v>44161.9534375</v>
      </c>
      <c r="D2569" s="2">
        <f>MAX((TimeEntries582592[[#This Row],[End time]]-TimeEntries582592[[#This Row],[Start time]])*24,0)</f>
        <v>17.843888888892252</v>
      </c>
      <c r="F2569" s="54" t="s">
        <v>184</v>
      </c>
      <c r="G2569" s="22" t="s">
        <v>185</v>
      </c>
      <c r="I2569" t="s">
        <v>126</v>
      </c>
      <c r="J2569" s="15">
        <v>0.05</v>
      </c>
      <c r="K2569" s="2">
        <v>4.9177393913269043</v>
      </c>
      <c r="L2569" s="2">
        <f>SUM(TimeEntries582592[Time delta in h])</f>
        <v>17.843888888892252</v>
      </c>
      <c r="M2569" s="16">
        <f>Tabelle7367583593[[#This Row],[EBS self time]]/Tabelle7367583593[[#This Row],[Total time]]</f>
        <v>0.27559796084519317</v>
      </c>
    </row>
    <row r="2570" spans="1:13">
      <c r="B2570" s="1"/>
      <c r="C2570" s="1"/>
      <c r="D2570" s="2"/>
      <c r="I2570" t="s">
        <v>127</v>
      </c>
      <c r="J2570" s="15">
        <v>0.2</v>
      </c>
      <c r="K2570" s="2">
        <v>4.9177393913269043</v>
      </c>
      <c r="L2570" s="2">
        <f>SUM(TimeEntries582592[Time delta in h])</f>
        <v>17.843888888892252</v>
      </c>
      <c r="M2570" s="16">
        <f>Tabelle7367583593[[#This Row],[EBS self time]]/Tabelle7367583593[[#This Row],[Total time]]</f>
        <v>0.27559796084519317</v>
      </c>
    </row>
    <row r="2571" spans="1:13">
      <c r="I2571" t="s">
        <v>169</v>
      </c>
      <c r="J2571" s="15">
        <v>0.35</v>
      </c>
      <c r="K2571" s="2">
        <v>4.9177393913269043</v>
      </c>
      <c r="L2571" s="2">
        <f>SUM(TimeEntries582592[Time delta in h])</f>
        <v>17.843888888892252</v>
      </c>
      <c r="M2571" s="16">
        <f>Tabelle7367583593[[#This Row],[EBS self time]]/Tabelle7367583593[[#This Row],[Total time]]</f>
        <v>0.27559796084519317</v>
      </c>
    </row>
    <row r="2572" spans="1:13">
      <c r="I2572" t="s">
        <v>172</v>
      </c>
      <c r="J2572" s="15">
        <v>0.5</v>
      </c>
      <c r="K2572" s="2">
        <v>4.9177393913269043</v>
      </c>
      <c r="L2572" s="2">
        <f>SUM(TimeEntries582592[Time delta in h])</f>
        <v>17.843888888892252</v>
      </c>
      <c r="M2572" s="16">
        <f>Tabelle7367583593[[#This Row],[EBS self time]]/Tabelle7367583593[[#This Row],[Total time]]</f>
        <v>0.27559796084519317</v>
      </c>
    </row>
    <row r="2573" spans="1:13">
      <c r="I2573" t="s">
        <v>187</v>
      </c>
      <c r="J2573" s="15">
        <v>0.65</v>
      </c>
      <c r="K2573" s="2">
        <v>19.06100539273994</v>
      </c>
      <c r="L2573" s="2">
        <f>SUM(TimeEntries582592[Time delta in h])</f>
        <v>17.843888888892252</v>
      </c>
      <c r="M2573" s="16">
        <f>Tabelle7367583593[[#This Row],[EBS self time]]/Tabelle7367583593[[#This Row],[Total time]]</f>
        <v>1.0682091505627642</v>
      </c>
    </row>
    <row r="2574" spans="1:13">
      <c r="I2574" t="s">
        <v>192</v>
      </c>
      <c r="J2574" s="15">
        <v>0.8</v>
      </c>
      <c r="K2574" s="2">
        <v>19.06100539273994</v>
      </c>
      <c r="L2574" s="2">
        <f>SUM(TimeEntries582592[Time delta in h])</f>
        <v>17.843888888892252</v>
      </c>
      <c r="M2574" s="16">
        <f>Tabelle7367583593[[#This Row],[EBS self time]]/Tabelle7367583593[[#This Row],[Total time]]</f>
        <v>1.0682091505627642</v>
      </c>
    </row>
    <row r="2575" spans="1:13">
      <c r="I2575" t="s">
        <v>193</v>
      </c>
      <c r="J2575" s="15">
        <v>0.95</v>
      </c>
      <c r="K2575" s="2">
        <v>19.06100539273994</v>
      </c>
      <c r="L2575" s="2">
        <f>SUM(TimeEntries582592[Time delta in h])</f>
        <v>17.843888888892252</v>
      </c>
      <c r="M2575" s="16">
        <f>Tabelle7367583593[[#This Row],[EBS self time]]/Tabelle7367583593[[#This Row],[Total time]]</f>
        <v>1.0682091505627642</v>
      </c>
    </row>
    <row r="2577" spans="1:10">
      <c r="A2577" t="s">
        <v>189</v>
      </c>
      <c r="B2577" t="s">
        <v>510</v>
      </c>
      <c r="C2577" t="s">
        <v>190</v>
      </c>
      <c r="D2577">
        <v>23</v>
      </c>
      <c r="E2577" t="s">
        <v>191</v>
      </c>
      <c r="F2577">
        <v>13</v>
      </c>
    </row>
    <row r="2578" spans="1:10">
      <c r="A2578" s="4" t="s">
        <v>24</v>
      </c>
      <c r="I2578" t="s">
        <v>135</v>
      </c>
      <c r="J2578" t="s">
        <v>136</v>
      </c>
    </row>
    <row r="2579" spans="1:10">
      <c r="A2579" t="s">
        <v>3</v>
      </c>
      <c r="B2579" t="s">
        <v>512</v>
      </c>
    </row>
    <row r="2580" spans="1:10">
      <c r="A2580" t="s">
        <v>77</v>
      </c>
      <c r="B2580" s="2">
        <v>14.171268463134766</v>
      </c>
      <c r="C2580" t="s">
        <v>4</v>
      </c>
    </row>
    <row r="2581" spans="1:10">
      <c r="A2581" t="s">
        <v>0</v>
      </c>
      <c r="B2581" s="2">
        <f>SUM(TimeEntries584594[Time delta in h])</f>
        <v>28.807777777779847</v>
      </c>
      <c r="C2581" t="s">
        <v>4</v>
      </c>
    </row>
    <row r="2582" spans="1:10">
      <c r="A2582" t="s">
        <v>13</v>
      </c>
      <c r="B2582" s="5" t="s">
        <v>92</v>
      </c>
    </row>
    <row r="2583" spans="1:10">
      <c r="A2583" t="s">
        <v>14</v>
      </c>
      <c r="B2583" s="5" t="s">
        <v>18</v>
      </c>
    </row>
    <row r="2584" spans="1:10">
      <c r="A2584" t="s">
        <v>1</v>
      </c>
      <c r="B2584" t="s">
        <v>91</v>
      </c>
    </row>
    <row r="2585" spans="1:10">
      <c r="A2585" t="s">
        <v>15</v>
      </c>
      <c r="B2585" s="5" t="s">
        <v>92</v>
      </c>
    </row>
    <row r="2586" spans="1:10">
      <c r="A2586" t="s">
        <v>2</v>
      </c>
    </row>
    <row r="2587" spans="1:10">
      <c r="A2587" t="s">
        <v>46</v>
      </c>
      <c r="B2587" t="s">
        <v>510</v>
      </c>
    </row>
    <row r="2588" spans="1:10">
      <c r="A2588" t="s">
        <v>5</v>
      </c>
      <c r="B2588" s="2">
        <f>B2580/SUM(TimeEntries584594[Time delta in h])</f>
        <v>0.49192508260964912</v>
      </c>
      <c r="C2588" t="s">
        <v>6</v>
      </c>
    </row>
    <row r="2589" spans="1:10">
      <c r="A2589" t="s">
        <v>93</v>
      </c>
    </row>
    <row r="2590" spans="1:10">
      <c r="A2590" t="s">
        <v>94</v>
      </c>
    </row>
    <row r="2591" spans="1:10">
      <c r="A2591" t="s">
        <v>129</v>
      </c>
      <c r="B2591" s="1">
        <v>44161.953449074077</v>
      </c>
    </row>
    <row r="2593" spans="1:13">
      <c r="A2593" t="s">
        <v>10</v>
      </c>
      <c r="B2593" t="s">
        <v>7</v>
      </c>
      <c r="C2593" t="s">
        <v>8</v>
      </c>
      <c r="D2593" t="s">
        <v>9</v>
      </c>
      <c r="E2593" t="s">
        <v>134</v>
      </c>
      <c r="F2593" t="s">
        <v>84</v>
      </c>
      <c r="G2593" t="s">
        <v>85</v>
      </c>
      <c r="I2593" t="s">
        <v>70</v>
      </c>
      <c r="J2593" s="15" t="s">
        <v>68</v>
      </c>
      <c r="K2593" s="2" t="s">
        <v>69</v>
      </c>
      <c r="L2593" t="s">
        <v>71</v>
      </c>
      <c r="M2593" t="s">
        <v>72</v>
      </c>
    </row>
    <row r="2594" spans="1:13">
      <c r="A2594" t="s">
        <v>126</v>
      </c>
      <c r="B2594" s="1">
        <v>44160.753125000003</v>
      </c>
      <c r="C2594" s="1">
        <v>44161.953449074077</v>
      </c>
      <c r="D2594" s="2">
        <f>MAX((TimeEntries584594[[#This Row],[End time]]-TimeEntries584594[[#This Row],[Start time]])*24,0)</f>
        <v>28.807777777779847</v>
      </c>
      <c r="F2594" s="54" t="s">
        <v>184</v>
      </c>
      <c r="G2594" s="22" t="s">
        <v>185</v>
      </c>
      <c r="I2594" t="s">
        <v>126</v>
      </c>
      <c r="J2594" s="15">
        <v>0.05</v>
      </c>
      <c r="K2594" s="2">
        <v>7.0856342315673828</v>
      </c>
      <c r="L2594" s="2">
        <f>SUM(TimeEntries584594[Time delta in h])</f>
        <v>28.807777777779847</v>
      </c>
      <c r="M2594" s="16">
        <f>Tabelle7367585595[[#This Row],[EBS self time]]/Tabelle7367585595[[#This Row],[Total time]]</f>
        <v>0.24596254130482456</v>
      </c>
    </row>
    <row r="2595" spans="1:13">
      <c r="B2595" s="1"/>
      <c r="C2595" s="1"/>
      <c r="D2595" s="2"/>
      <c r="I2595" t="s">
        <v>127</v>
      </c>
      <c r="J2595" s="15">
        <v>0.2</v>
      </c>
      <c r="K2595" s="2">
        <v>7.0856342315673828</v>
      </c>
      <c r="L2595" s="2">
        <f>SUM(TimeEntries584594[Time delta in h])</f>
        <v>28.807777777779847</v>
      </c>
      <c r="M2595" s="16">
        <f>Tabelle7367585595[[#This Row],[EBS self time]]/Tabelle7367585595[[#This Row],[Total time]]</f>
        <v>0.24596254130482456</v>
      </c>
    </row>
    <row r="2596" spans="1:13">
      <c r="I2596" t="s">
        <v>169</v>
      </c>
      <c r="J2596" s="15">
        <v>0.35</v>
      </c>
      <c r="K2596" s="2">
        <v>7.0856342315673828</v>
      </c>
      <c r="L2596" s="2">
        <f>SUM(TimeEntries584594[Time delta in h])</f>
        <v>28.807777777779847</v>
      </c>
      <c r="M2596" s="16">
        <f>Tabelle7367585595[[#This Row],[EBS self time]]/Tabelle7367585595[[#This Row],[Total time]]</f>
        <v>0.24596254130482456</v>
      </c>
    </row>
    <row r="2597" spans="1:13">
      <c r="I2597" t="s">
        <v>172</v>
      </c>
      <c r="J2597" s="15">
        <v>0.5</v>
      </c>
      <c r="K2597" s="2">
        <v>7.0856342315673828</v>
      </c>
      <c r="L2597" s="2">
        <f>SUM(TimeEntries584594[Time delta in h])</f>
        <v>28.807777777779847</v>
      </c>
      <c r="M2597" s="16">
        <f>Tabelle7367585595[[#This Row],[EBS self time]]/Tabelle7367585595[[#This Row],[Total time]]</f>
        <v>0.24596254130482456</v>
      </c>
    </row>
    <row r="2598" spans="1:13">
      <c r="I2598" t="s">
        <v>187</v>
      </c>
      <c r="J2598" s="15">
        <v>0.65</v>
      </c>
      <c r="K2598" s="2">
        <v>27.463698571966599</v>
      </c>
      <c r="L2598" s="2">
        <f>SUM(TimeEntries584594[Time delta in h])</f>
        <v>28.807777777779847</v>
      </c>
      <c r="M2598" s="16">
        <f>Tabelle7367585595[[#This Row],[EBS self time]]/Tabelle7367585595[[#This Row],[Total time]]</f>
        <v>0.95334318335203316</v>
      </c>
    </row>
    <row r="2599" spans="1:13">
      <c r="I2599" t="s">
        <v>192</v>
      </c>
      <c r="J2599" s="15">
        <v>0.8</v>
      </c>
      <c r="K2599" s="2">
        <v>27.463698571966599</v>
      </c>
      <c r="L2599" s="2">
        <f>SUM(TimeEntries584594[Time delta in h])</f>
        <v>28.807777777779847</v>
      </c>
      <c r="M2599" s="16">
        <f>Tabelle7367585595[[#This Row],[EBS self time]]/Tabelle7367585595[[#This Row],[Total time]]</f>
        <v>0.95334318335203316</v>
      </c>
    </row>
    <row r="2600" spans="1:13">
      <c r="I2600" t="s">
        <v>193</v>
      </c>
      <c r="J2600" s="15">
        <v>0.95</v>
      </c>
      <c r="K2600" s="2">
        <v>27.463698571966599</v>
      </c>
      <c r="L2600" s="2">
        <f>SUM(TimeEntries584594[Time delta in h])</f>
        <v>28.807777777779847</v>
      </c>
      <c r="M2600" s="16">
        <f>Tabelle7367585595[[#This Row],[EBS self time]]/Tabelle7367585595[[#This Row],[Total time]]</f>
        <v>0.95334318335203316</v>
      </c>
    </row>
    <row r="2602" spans="1:13">
      <c r="A2602" t="s">
        <v>189</v>
      </c>
      <c r="B2602" t="s">
        <v>513</v>
      </c>
      <c r="C2602" t="s">
        <v>190</v>
      </c>
      <c r="D2602">
        <v>18</v>
      </c>
      <c r="E2602" t="s">
        <v>191</v>
      </c>
      <c r="F2602">
        <v>13</v>
      </c>
    </row>
    <row r="2603" spans="1:13">
      <c r="A2603" s="4" t="s">
        <v>24</v>
      </c>
      <c r="I2603" t="s">
        <v>135</v>
      </c>
      <c r="J2603" t="s">
        <v>136</v>
      </c>
    </row>
    <row r="2604" spans="1:13">
      <c r="A2604" t="s">
        <v>3</v>
      </c>
      <c r="B2604" t="s">
        <v>515</v>
      </c>
    </row>
    <row r="2605" spans="1:13">
      <c r="A2605" t="s">
        <v>77</v>
      </c>
      <c r="B2605" s="2" t="s">
        <v>92</v>
      </c>
      <c r="C2605" t="s">
        <v>4</v>
      </c>
    </row>
    <row r="2606" spans="1:13">
      <c r="A2606" t="s">
        <v>0</v>
      </c>
      <c r="B2606" s="2">
        <f>SUM(TimeEntries586596600610[Time delta in h])</f>
        <v>22.610000000044238</v>
      </c>
      <c r="C2606" t="s">
        <v>4</v>
      </c>
    </row>
    <row r="2607" spans="1:13">
      <c r="A2607" t="s">
        <v>13</v>
      </c>
      <c r="B2607" s="5" t="s">
        <v>92</v>
      </c>
    </row>
    <row r="2608" spans="1:13">
      <c r="A2608" t="s">
        <v>14</v>
      </c>
      <c r="B2608" s="5" t="s">
        <v>18</v>
      </c>
    </row>
    <row r="2609" spans="1:13">
      <c r="A2609" t="s">
        <v>1</v>
      </c>
      <c r="B2609" t="s">
        <v>91</v>
      </c>
    </row>
    <row r="2610" spans="1:13">
      <c r="A2610" t="s">
        <v>15</v>
      </c>
      <c r="B2610" s="5" t="s">
        <v>92</v>
      </c>
    </row>
    <row r="2611" spans="1:13">
      <c r="A2611" t="s">
        <v>2</v>
      </c>
    </row>
    <row r="2612" spans="1:13">
      <c r="A2612" t="s">
        <v>46</v>
      </c>
      <c r="B2612" t="s">
        <v>513</v>
      </c>
    </row>
    <row r="2613" spans="1:13">
      <c r="A2613" t="s">
        <v>5</v>
      </c>
      <c r="B2613" s="2" t="e">
        <f>B2605/SUM(TimeEntries586596600610[Time delta in h])</f>
        <v>#VALUE!</v>
      </c>
      <c r="C2613" t="s">
        <v>6</v>
      </c>
    </row>
    <row r="2614" spans="1:13">
      <c r="A2614" t="s">
        <v>93</v>
      </c>
    </row>
    <row r="2615" spans="1:13">
      <c r="A2615" t="s">
        <v>94</v>
      </c>
    </row>
    <row r="2616" spans="1:13">
      <c r="A2616" t="s">
        <v>129</v>
      </c>
      <c r="B2616" s="1">
        <v>44161.953460648147</v>
      </c>
    </row>
    <row r="2618" spans="1:13">
      <c r="A2618" t="s">
        <v>10</v>
      </c>
      <c r="B2618" t="s">
        <v>7</v>
      </c>
      <c r="C2618" t="s">
        <v>8</v>
      </c>
      <c r="D2618" t="s">
        <v>9</v>
      </c>
      <c r="E2618" t="s">
        <v>134</v>
      </c>
      <c r="F2618" t="s">
        <v>84</v>
      </c>
      <c r="G2618" t="s">
        <v>85</v>
      </c>
      <c r="I2618" t="s">
        <v>70</v>
      </c>
      <c r="J2618" s="15" t="s">
        <v>68</v>
      </c>
      <c r="K2618" s="2" t="s">
        <v>69</v>
      </c>
      <c r="L2618" t="s">
        <v>71</v>
      </c>
      <c r="M2618" t="s">
        <v>72</v>
      </c>
    </row>
    <row r="2619" spans="1:13">
      <c r="A2619" t="s">
        <v>126</v>
      </c>
      <c r="B2619" s="1">
        <v>44161.011458333334</v>
      </c>
      <c r="C2619" s="1">
        <v>44161.953541666669</v>
      </c>
      <c r="D2619" s="2">
        <f>MAX((TimeEntries586596600610[[#This Row],[End time]]-TimeEntries586596600610[[#This Row],[Start time]])*24,0)</f>
        <v>22.610000000044238</v>
      </c>
      <c r="F2619" s="54" t="s">
        <v>184</v>
      </c>
      <c r="G2619" s="22" t="s">
        <v>185</v>
      </c>
      <c r="J2619" s="15"/>
      <c r="K2619" s="2"/>
      <c r="L2619" s="2">
        <f>SUM(TimeEntries586596600610[Time delta in h])</f>
        <v>22.610000000044238</v>
      </c>
      <c r="M2619" s="16">
        <f>Tabelle7367587597601611[[#This Row],[EBS self time]]/Tabelle7367587597601611[[#This Row],[Total time]]</f>
        <v>0</v>
      </c>
    </row>
    <row r="2620" spans="1:13">
      <c r="B2620" s="1"/>
      <c r="C2620" s="1"/>
      <c r="D2620" s="2"/>
    </row>
    <row r="2622" spans="1:13">
      <c r="A2622" t="s">
        <v>189</v>
      </c>
      <c r="B2622" t="s">
        <v>516</v>
      </c>
      <c r="C2622" t="s">
        <v>190</v>
      </c>
      <c r="D2622">
        <v>18</v>
      </c>
      <c r="E2622" t="s">
        <v>191</v>
      </c>
      <c r="F2622">
        <v>13</v>
      </c>
    </row>
    <row r="2623" spans="1:13">
      <c r="A2623" s="4" t="s">
        <v>24</v>
      </c>
      <c r="I2623" t="s">
        <v>135</v>
      </c>
      <c r="J2623" t="s">
        <v>136</v>
      </c>
    </row>
    <row r="2624" spans="1:13">
      <c r="A2624" t="s">
        <v>3</v>
      </c>
      <c r="B2624" t="s">
        <v>518</v>
      </c>
    </row>
    <row r="2625" spans="1:13">
      <c r="A2625" t="s">
        <v>77</v>
      </c>
      <c r="B2625" s="2" t="s">
        <v>92</v>
      </c>
      <c r="C2625" t="s">
        <v>4</v>
      </c>
    </row>
    <row r="2626" spans="1:13">
      <c r="A2626" t="s">
        <v>0</v>
      </c>
      <c r="B2626" s="2">
        <f>SUM(TimeEntries602612[Time delta in h])</f>
        <v>23.004444444319233</v>
      </c>
      <c r="C2626" t="s">
        <v>4</v>
      </c>
    </row>
    <row r="2627" spans="1:13">
      <c r="A2627" t="s">
        <v>13</v>
      </c>
      <c r="B2627" s="5" t="s">
        <v>92</v>
      </c>
    </row>
    <row r="2628" spans="1:13">
      <c r="A2628" t="s">
        <v>14</v>
      </c>
      <c r="B2628" s="5" t="s">
        <v>18</v>
      </c>
    </row>
    <row r="2629" spans="1:13">
      <c r="A2629" t="s">
        <v>1</v>
      </c>
      <c r="B2629" t="s">
        <v>91</v>
      </c>
    </row>
    <row r="2630" spans="1:13">
      <c r="A2630" t="s">
        <v>15</v>
      </c>
      <c r="B2630" s="5" t="s">
        <v>92</v>
      </c>
    </row>
    <row r="2631" spans="1:13">
      <c r="A2631" t="s">
        <v>2</v>
      </c>
    </row>
    <row r="2632" spans="1:13">
      <c r="A2632" t="s">
        <v>46</v>
      </c>
      <c r="B2632" t="s">
        <v>516</v>
      </c>
    </row>
    <row r="2633" spans="1:13">
      <c r="A2633" t="s">
        <v>5</v>
      </c>
      <c r="B2633" s="2" t="e">
        <f>B2625/SUM(TimeEntries602612[Time delta in h])</f>
        <v>#VALUE!</v>
      </c>
      <c r="C2633" t="s">
        <v>6</v>
      </c>
    </row>
    <row r="2634" spans="1:13">
      <c r="A2634" t="s">
        <v>93</v>
      </c>
    </row>
    <row r="2635" spans="1:13">
      <c r="A2635" t="s">
        <v>94</v>
      </c>
    </row>
    <row r="2636" spans="1:13">
      <c r="A2636" t="s">
        <v>129</v>
      </c>
      <c r="B2636" s="1">
        <v>44161.953541666669</v>
      </c>
    </row>
    <row r="2638" spans="1:13">
      <c r="A2638" t="s">
        <v>10</v>
      </c>
      <c r="B2638" t="s">
        <v>7</v>
      </c>
      <c r="C2638" t="s">
        <v>8</v>
      </c>
      <c r="D2638" t="s">
        <v>9</v>
      </c>
      <c r="E2638" t="s">
        <v>134</v>
      </c>
      <c r="F2638" t="s">
        <v>84</v>
      </c>
      <c r="G2638" t="s">
        <v>85</v>
      </c>
      <c r="I2638" t="s">
        <v>70</v>
      </c>
      <c r="J2638" s="15" t="s">
        <v>68</v>
      </c>
      <c r="K2638" s="2" t="s">
        <v>69</v>
      </c>
      <c r="L2638" t="s">
        <v>71</v>
      </c>
      <c r="M2638" t="s">
        <v>72</v>
      </c>
    </row>
    <row r="2639" spans="1:13">
      <c r="A2639" t="s">
        <v>126</v>
      </c>
      <c r="B2639" s="1">
        <v>44160.995034722226</v>
      </c>
      <c r="C2639" s="1">
        <v>44161.953553240739</v>
      </c>
      <c r="D2639" s="2">
        <f>MAX((TimeEntries602612[[#This Row],[End time]]-TimeEntries602612[[#This Row],[Start time]])*24,0)</f>
        <v>23.004444444319233</v>
      </c>
      <c r="F2639" s="54" t="s">
        <v>184</v>
      </c>
      <c r="G2639" s="22" t="s">
        <v>185</v>
      </c>
      <c r="J2639" s="15"/>
      <c r="K2639" s="2"/>
      <c r="L2639" s="2">
        <f>SUM(TimeEntries602612[Time delta in h])</f>
        <v>23.004444444319233</v>
      </c>
      <c r="M2639" s="16">
        <f>Tabelle7367603613[[#This Row],[EBS self time]]/Tabelle7367603613[[#This Row],[Total time]]</f>
        <v>0</v>
      </c>
    </row>
    <row r="2640" spans="1:13">
      <c r="B2640" s="1"/>
      <c r="C2640" s="1"/>
      <c r="D2640" s="2"/>
    </row>
    <row r="2642" spans="1:10">
      <c r="A2642" t="s">
        <v>189</v>
      </c>
      <c r="B2642" t="s">
        <v>519</v>
      </c>
      <c r="C2642" t="s">
        <v>190</v>
      </c>
      <c r="D2642">
        <v>23</v>
      </c>
      <c r="E2642" t="s">
        <v>191</v>
      </c>
      <c r="F2642">
        <v>13</v>
      </c>
    </row>
    <row r="2643" spans="1:10">
      <c r="A2643" s="4" t="s">
        <v>24</v>
      </c>
      <c r="I2643" t="s">
        <v>135</v>
      </c>
      <c r="J2643" t="s">
        <v>136</v>
      </c>
    </row>
    <row r="2644" spans="1:10">
      <c r="A2644" t="s">
        <v>3</v>
      </c>
      <c r="B2644" t="s">
        <v>521</v>
      </c>
    </row>
    <row r="2645" spans="1:10">
      <c r="A2645" t="s">
        <v>77</v>
      </c>
      <c r="B2645" s="2">
        <v>13.537678718566895</v>
      </c>
      <c r="C2645" t="s">
        <v>4</v>
      </c>
    </row>
    <row r="2646" spans="1:10">
      <c r="A2646" t="s">
        <v>0</v>
      </c>
      <c r="B2646" s="2">
        <f>SUM(TimeEntries604614[Time delta in h])</f>
        <v>7.1736111111240461</v>
      </c>
      <c r="C2646" t="s">
        <v>4</v>
      </c>
    </row>
    <row r="2647" spans="1:10">
      <c r="A2647" t="s">
        <v>13</v>
      </c>
      <c r="B2647" s="5" t="s">
        <v>92</v>
      </c>
    </row>
    <row r="2648" spans="1:10">
      <c r="A2648" t="s">
        <v>14</v>
      </c>
      <c r="B2648" s="5" t="s">
        <v>18</v>
      </c>
    </row>
    <row r="2649" spans="1:10">
      <c r="A2649" t="s">
        <v>1</v>
      </c>
      <c r="B2649" t="s">
        <v>91</v>
      </c>
    </row>
    <row r="2650" spans="1:10">
      <c r="A2650" t="s">
        <v>15</v>
      </c>
      <c r="B2650" s="5" t="s">
        <v>92</v>
      </c>
    </row>
    <row r="2651" spans="1:10">
      <c r="A2651" t="s">
        <v>2</v>
      </c>
    </row>
    <row r="2652" spans="1:10">
      <c r="A2652" t="s">
        <v>46</v>
      </c>
      <c r="B2652" t="s">
        <v>519</v>
      </c>
    </row>
    <row r="2653" spans="1:10">
      <c r="A2653" t="s">
        <v>5</v>
      </c>
      <c r="B2653" s="2">
        <f>B2645/SUM(TimeEntries604614[Time delta in h])</f>
        <v>1.8871497923234442</v>
      </c>
      <c r="C2653" t="s">
        <v>6</v>
      </c>
    </row>
    <row r="2654" spans="1:10">
      <c r="A2654" t="s">
        <v>93</v>
      </c>
    </row>
    <row r="2655" spans="1:10">
      <c r="A2655" t="s">
        <v>94</v>
      </c>
    </row>
    <row r="2656" spans="1:10">
      <c r="A2656" t="s">
        <v>129</v>
      </c>
      <c r="B2656" s="1">
        <v>44161.953553240739</v>
      </c>
    </row>
    <row r="2658" spans="1:13">
      <c r="A2658" t="s">
        <v>10</v>
      </c>
      <c r="B2658" t="s">
        <v>7</v>
      </c>
      <c r="C2658" t="s">
        <v>8</v>
      </c>
      <c r="D2658" t="s">
        <v>9</v>
      </c>
      <c r="E2658" t="s">
        <v>134</v>
      </c>
      <c r="F2658" t="s">
        <v>84</v>
      </c>
      <c r="G2658" t="s">
        <v>85</v>
      </c>
      <c r="I2658" t="s">
        <v>70</v>
      </c>
      <c r="J2658" s="15" t="s">
        <v>68</v>
      </c>
      <c r="K2658" s="2" t="s">
        <v>69</v>
      </c>
      <c r="L2658" t="s">
        <v>71</v>
      </c>
      <c r="M2658" t="s">
        <v>72</v>
      </c>
    </row>
    <row r="2659" spans="1:13">
      <c r="A2659" t="s">
        <v>126</v>
      </c>
      <c r="B2659" s="1">
        <v>44161.654664351852</v>
      </c>
      <c r="C2659" s="1">
        <v>44161.953564814816</v>
      </c>
      <c r="D2659" s="2">
        <f>MAX((TimeEntries604614[[#This Row],[End time]]-TimeEntries604614[[#This Row],[Start time]])*24,0)</f>
        <v>7.1736111111240461</v>
      </c>
      <c r="F2659" s="54" t="s">
        <v>184</v>
      </c>
      <c r="G2659" s="22" t="s">
        <v>185</v>
      </c>
      <c r="I2659" t="s">
        <v>126</v>
      </c>
      <c r="J2659" s="15">
        <v>0.05</v>
      </c>
      <c r="K2659" s="2">
        <v>6.7688393592834473</v>
      </c>
      <c r="L2659" s="2">
        <f>SUM(TimeEntries604614[Time delta in h])</f>
        <v>7.1736111111240461</v>
      </c>
      <c r="M2659" s="16">
        <f>Tabelle7367605615[[#This Row],[EBS self time]]/Tabelle7367605615[[#This Row],[Total time]]</f>
        <v>0.94357489616172208</v>
      </c>
    </row>
    <row r="2660" spans="1:13">
      <c r="B2660" s="1"/>
      <c r="C2660" s="1"/>
      <c r="D2660" s="2"/>
      <c r="I2660" t="s">
        <v>127</v>
      </c>
      <c r="J2660" s="15">
        <v>0.2</v>
      </c>
      <c r="K2660" s="2">
        <v>6.7688393592834473</v>
      </c>
      <c r="L2660" s="2">
        <f>SUM(TimeEntries604614[Time delta in h])</f>
        <v>7.1736111111240461</v>
      </c>
      <c r="M2660" s="16">
        <f>Tabelle7367605615[[#This Row],[EBS self time]]/Tabelle7367605615[[#This Row],[Total time]]</f>
        <v>0.94357489616172208</v>
      </c>
    </row>
    <row r="2661" spans="1:13">
      <c r="I2661" t="s">
        <v>169</v>
      </c>
      <c r="J2661" s="15">
        <v>0.35</v>
      </c>
      <c r="K2661" s="2">
        <v>6.7688393592834473</v>
      </c>
      <c r="L2661" s="2">
        <f>SUM(TimeEntries604614[Time delta in h])</f>
        <v>7.1736111111240461</v>
      </c>
      <c r="M2661" s="16">
        <f>Tabelle7367605615[[#This Row],[EBS self time]]/Tabelle7367605615[[#This Row],[Total time]]</f>
        <v>0.94357489616172208</v>
      </c>
    </row>
    <row r="2662" spans="1:13">
      <c r="I2662" t="s">
        <v>172</v>
      </c>
      <c r="J2662" s="15">
        <v>0.5</v>
      </c>
      <c r="K2662" s="2">
        <v>6.7688393592834473</v>
      </c>
      <c r="L2662" s="2">
        <f>SUM(TimeEntries604614[Time delta in h])</f>
        <v>7.1736111111240461</v>
      </c>
      <c r="M2662" s="16">
        <f>Tabelle7367605615[[#This Row],[EBS self time]]/Tabelle7367605615[[#This Row],[Total time]]</f>
        <v>0.94357489616172208</v>
      </c>
    </row>
    <row r="2663" spans="1:13">
      <c r="I2663" t="s">
        <v>187</v>
      </c>
      <c r="J2663" s="15">
        <v>0.65</v>
      </c>
      <c r="K2663" s="2">
        <v>6.7688393592834473</v>
      </c>
      <c r="L2663" s="2">
        <f>SUM(TimeEntries604614[Time delta in h])</f>
        <v>7.1736111111240461</v>
      </c>
      <c r="M2663" s="16">
        <f>Tabelle7367605615[[#This Row],[EBS self time]]/Tabelle7367605615[[#This Row],[Total time]]</f>
        <v>0.94357489616172208</v>
      </c>
    </row>
    <row r="2664" spans="1:13">
      <c r="I2664" t="s">
        <v>192</v>
      </c>
      <c r="J2664" s="15">
        <v>0.8</v>
      </c>
      <c r="K2664" s="2">
        <v>26.23581147009088</v>
      </c>
      <c r="L2664" s="2">
        <f>SUM(TimeEntries604614[Time delta in h])</f>
        <v>7.1736111111240461</v>
      </c>
      <c r="M2664" s="16">
        <f>Tabelle7367605615[[#This Row],[EBS self time]]/Tabelle7367605615[[#This Row],[Total time]]</f>
        <v>3.6572670393865194</v>
      </c>
    </row>
    <row r="2665" spans="1:13">
      <c r="I2665" t="s">
        <v>193</v>
      </c>
      <c r="J2665" s="15">
        <v>0.95</v>
      </c>
      <c r="K2665" s="2">
        <v>26.23581147009088</v>
      </c>
      <c r="L2665" s="2">
        <f>SUM(TimeEntries604614[Time delta in h])</f>
        <v>7.1736111111240461</v>
      </c>
      <c r="M2665" s="16">
        <f>Tabelle7367605615[[#This Row],[EBS self time]]/Tabelle7367605615[[#This Row],[Total time]]</f>
        <v>3.6572670393865194</v>
      </c>
    </row>
    <row r="2667" spans="1:13">
      <c r="A2667" t="s">
        <v>189</v>
      </c>
      <c r="B2667" t="s">
        <v>522</v>
      </c>
      <c r="C2667" t="s">
        <v>190</v>
      </c>
      <c r="D2667">
        <v>23</v>
      </c>
      <c r="E2667" t="s">
        <v>191</v>
      </c>
      <c r="F2667">
        <v>13</v>
      </c>
    </row>
    <row r="2668" spans="1:13">
      <c r="A2668" s="4" t="s">
        <v>24</v>
      </c>
      <c r="I2668" t="s">
        <v>135</v>
      </c>
      <c r="J2668" t="s">
        <v>136</v>
      </c>
    </row>
    <row r="2669" spans="1:13">
      <c r="A2669" t="s">
        <v>3</v>
      </c>
      <c r="B2669" t="s">
        <v>524</v>
      </c>
    </row>
    <row r="2670" spans="1:13">
      <c r="A2670" t="s">
        <v>77</v>
      </c>
      <c r="B2670" s="2">
        <v>9.9835681915283203</v>
      </c>
      <c r="C2670" t="s">
        <v>4</v>
      </c>
    </row>
    <row r="2671" spans="1:13">
      <c r="A2671" t="s">
        <v>0</v>
      </c>
      <c r="B2671" s="2">
        <f>SUM(TimeEntries606616[Time delta in h])</f>
        <v>29.711388888827059</v>
      </c>
      <c r="C2671" t="s">
        <v>4</v>
      </c>
    </row>
    <row r="2672" spans="1:13">
      <c r="A2672" t="s">
        <v>13</v>
      </c>
      <c r="B2672" s="5" t="s">
        <v>92</v>
      </c>
    </row>
    <row r="2673" spans="1:13">
      <c r="A2673" t="s">
        <v>14</v>
      </c>
      <c r="B2673" s="5" t="s">
        <v>18</v>
      </c>
    </row>
    <row r="2674" spans="1:13">
      <c r="A2674" t="s">
        <v>1</v>
      </c>
      <c r="B2674" t="s">
        <v>131</v>
      </c>
    </row>
    <row r="2675" spans="1:13">
      <c r="A2675" t="s">
        <v>15</v>
      </c>
      <c r="B2675" s="5">
        <v>44161.953576388885</v>
      </c>
    </row>
    <row r="2676" spans="1:13">
      <c r="A2676" t="s">
        <v>2</v>
      </c>
    </row>
    <row r="2677" spans="1:13">
      <c r="A2677" t="s">
        <v>46</v>
      </c>
      <c r="B2677" t="s">
        <v>522</v>
      </c>
    </row>
    <row r="2678" spans="1:13">
      <c r="A2678" t="s">
        <v>5</v>
      </c>
      <c r="B2678" s="2">
        <f>B2670/SUM(TimeEntries606616[Time delta in h])</f>
        <v>0.33601822617193883</v>
      </c>
      <c r="C2678" t="s">
        <v>6</v>
      </c>
    </row>
    <row r="2679" spans="1:13">
      <c r="A2679" t="s">
        <v>93</v>
      </c>
    </row>
    <row r="2680" spans="1:13">
      <c r="A2680" t="s">
        <v>94</v>
      </c>
    </row>
    <row r="2681" spans="1:13">
      <c r="A2681" t="s">
        <v>129</v>
      </c>
      <c r="B2681" s="1">
        <v>44161.953564814816</v>
      </c>
    </row>
    <row r="2683" spans="1:13">
      <c r="A2683" t="s">
        <v>10</v>
      </c>
      <c r="B2683" t="s">
        <v>7</v>
      </c>
      <c r="C2683" t="s">
        <v>8</v>
      </c>
      <c r="D2683" t="s">
        <v>9</v>
      </c>
      <c r="E2683" t="s">
        <v>134</v>
      </c>
      <c r="F2683" t="s">
        <v>84</v>
      </c>
      <c r="G2683" t="s">
        <v>85</v>
      </c>
      <c r="I2683" t="s">
        <v>70</v>
      </c>
      <c r="J2683" s="15" t="s">
        <v>68</v>
      </c>
      <c r="K2683" s="2" t="s">
        <v>69</v>
      </c>
      <c r="L2683" t="s">
        <v>71</v>
      </c>
      <c r="M2683" t="s">
        <v>72</v>
      </c>
    </row>
    <row r="2684" spans="1:13">
      <c r="A2684" t="s">
        <v>126</v>
      </c>
      <c r="B2684" s="1">
        <v>44160.715601851851</v>
      </c>
      <c r="C2684" s="1">
        <v>44161.953576388885</v>
      </c>
      <c r="D2684" s="2">
        <f>MAX((TimeEntries606616[[#This Row],[End time]]-TimeEntries606616[[#This Row],[Start time]])*24,0)</f>
        <v>29.711388888827059</v>
      </c>
      <c r="F2684" s="54" t="s">
        <v>184</v>
      </c>
      <c r="G2684" s="22" t="s">
        <v>185</v>
      </c>
      <c r="I2684" t="s">
        <v>126</v>
      </c>
      <c r="J2684" s="15">
        <v>0.05</v>
      </c>
      <c r="K2684" s="2">
        <v>4.9917840957641602</v>
      </c>
      <c r="L2684" s="2">
        <f>SUM(TimeEntries606616[Time delta in h])</f>
        <v>29.711388888827059</v>
      </c>
      <c r="M2684" s="16">
        <f>Tabelle7367607617[[#This Row],[EBS self time]]/Tabelle7367607617[[#This Row],[Total time]]</f>
        <v>0.16800911308596941</v>
      </c>
    </row>
    <row r="2685" spans="1:13">
      <c r="B2685" s="1"/>
      <c r="C2685" s="1"/>
      <c r="D2685" s="2"/>
      <c r="I2685" t="s">
        <v>127</v>
      </c>
      <c r="J2685" s="15">
        <v>0.2</v>
      </c>
      <c r="K2685" s="2">
        <v>4.9917840957641602</v>
      </c>
      <c r="L2685" s="2">
        <f>SUM(TimeEntries606616[Time delta in h])</f>
        <v>29.711388888827059</v>
      </c>
      <c r="M2685" s="16">
        <f>Tabelle7367607617[[#This Row],[EBS self time]]/Tabelle7367607617[[#This Row],[Total time]]</f>
        <v>0.16800911308596941</v>
      </c>
    </row>
    <row r="2686" spans="1:13">
      <c r="I2686" t="s">
        <v>169</v>
      </c>
      <c r="J2686" s="15">
        <v>0.35</v>
      </c>
      <c r="K2686" s="2">
        <v>4.9917840957641602</v>
      </c>
      <c r="L2686" s="2">
        <f>SUM(TimeEntries606616[Time delta in h])</f>
        <v>29.711388888827059</v>
      </c>
      <c r="M2686" s="16">
        <f>Tabelle7367607617[[#This Row],[EBS self time]]/Tabelle7367607617[[#This Row],[Total time]]</f>
        <v>0.16800911308596941</v>
      </c>
    </row>
    <row r="2687" spans="1:13">
      <c r="I2687" t="s">
        <v>172</v>
      </c>
      <c r="J2687" s="15">
        <v>0.5</v>
      </c>
      <c r="K2687" s="2">
        <v>4.9917840957641602</v>
      </c>
      <c r="L2687" s="2">
        <f>SUM(TimeEntries606616[Time delta in h])</f>
        <v>29.711388888827059</v>
      </c>
      <c r="M2687" s="16">
        <f>Tabelle7367607617[[#This Row],[EBS self time]]/Tabelle7367607617[[#This Row],[Total time]]</f>
        <v>0.16800911308596941</v>
      </c>
    </row>
    <row r="2688" spans="1:13">
      <c r="I2688" t="s">
        <v>187</v>
      </c>
      <c r="J2688" s="15">
        <v>0.65</v>
      </c>
      <c r="K2688" s="2">
        <v>4.9917840957641602</v>
      </c>
      <c r="L2688" s="2">
        <f>SUM(TimeEntries606616[Time delta in h])</f>
        <v>29.711388888827059</v>
      </c>
      <c r="M2688" s="16">
        <f>Tabelle7367607617[[#This Row],[EBS self time]]/Tabelle7367607617[[#This Row],[Total time]]</f>
        <v>0.16800911308596941</v>
      </c>
    </row>
    <row r="2689" spans="1:13">
      <c r="I2689" t="s">
        <v>192</v>
      </c>
      <c r="J2689" s="15">
        <v>0.8</v>
      </c>
      <c r="K2689" s="2">
        <v>19.348000371178916</v>
      </c>
      <c r="L2689" s="2">
        <f>SUM(TimeEntries606616[Time delta in h])</f>
        <v>29.711388888827059</v>
      </c>
      <c r="M2689" s="16">
        <f>Tabelle7367607617[[#This Row],[EBS self time]]/Tabelle7367607617[[#This Row],[Total time]]</f>
        <v>0.65119811273631556</v>
      </c>
    </row>
    <row r="2690" spans="1:13">
      <c r="I2690" t="s">
        <v>193</v>
      </c>
      <c r="J2690" s="15">
        <v>0.95</v>
      </c>
      <c r="K2690" s="2">
        <v>19.348000371178916</v>
      </c>
      <c r="L2690" s="2">
        <f>SUM(TimeEntries606616[Time delta in h])</f>
        <v>29.711388888827059</v>
      </c>
      <c r="M2690" s="16">
        <f>Tabelle7367607617[[#This Row],[EBS self time]]/Tabelle7367607617[[#This Row],[Total time]]</f>
        <v>0.65119811273631556</v>
      </c>
    </row>
    <row r="2692" spans="1:13">
      <c r="A2692" t="s">
        <v>189</v>
      </c>
      <c r="B2692" t="s">
        <v>525</v>
      </c>
      <c r="C2692" t="s">
        <v>190</v>
      </c>
      <c r="D2692">
        <v>18</v>
      </c>
      <c r="E2692" t="s">
        <v>191</v>
      </c>
      <c r="F2692">
        <v>13</v>
      </c>
    </row>
    <row r="2693" spans="1:13">
      <c r="A2693" s="4" t="s">
        <v>24</v>
      </c>
      <c r="I2693" t="s">
        <v>135</v>
      </c>
      <c r="J2693" t="s">
        <v>136</v>
      </c>
    </row>
    <row r="2694" spans="1:13">
      <c r="A2694" t="s">
        <v>3</v>
      </c>
      <c r="B2694" t="s">
        <v>527</v>
      </c>
    </row>
    <row r="2695" spans="1:13">
      <c r="A2695" t="s">
        <v>77</v>
      </c>
      <c r="B2695" s="2" t="s">
        <v>92</v>
      </c>
      <c r="C2695" t="s">
        <v>4</v>
      </c>
    </row>
    <row r="2696" spans="1:13">
      <c r="A2696" t="s">
        <v>0</v>
      </c>
      <c r="B2696" s="2">
        <f>SUM(TimeEntries608618622632[Time delta in h])</f>
        <v>24.032777777756564</v>
      </c>
      <c r="C2696" t="s">
        <v>4</v>
      </c>
    </row>
    <row r="2697" spans="1:13">
      <c r="A2697" t="s">
        <v>13</v>
      </c>
      <c r="B2697" s="5" t="s">
        <v>92</v>
      </c>
    </row>
    <row r="2698" spans="1:13">
      <c r="A2698" t="s">
        <v>14</v>
      </c>
      <c r="B2698" s="5" t="s">
        <v>18</v>
      </c>
    </row>
    <row r="2699" spans="1:13">
      <c r="A2699" t="s">
        <v>1</v>
      </c>
      <c r="B2699" t="s">
        <v>91</v>
      </c>
    </row>
    <row r="2700" spans="1:13">
      <c r="A2700" t="s">
        <v>15</v>
      </c>
      <c r="B2700" s="5" t="s">
        <v>92</v>
      </c>
    </row>
    <row r="2701" spans="1:13">
      <c r="A2701" t="s">
        <v>2</v>
      </c>
    </row>
    <row r="2702" spans="1:13">
      <c r="A2702" t="s">
        <v>46</v>
      </c>
      <c r="B2702" t="s">
        <v>525</v>
      </c>
    </row>
    <row r="2703" spans="1:13">
      <c r="A2703" t="s">
        <v>5</v>
      </c>
      <c r="B2703" s="2" t="e">
        <f>B2695/SUM(TimeEntries608618622632[Time delta in h])</f>
        <v>#VALUE!</v>
      </c>
      <c r="C2703" t="s">
        <v>6</v>
      </c>
    </row>
    <row r="2704" spans="1:13">
      <c r="A2704" t="s">
        <v>93</v>
      </c>
    </row>
    <row r="2705" spans="1:13">
      <c r="A2705" t="s">
        <v>94</v>
      </c>
    </row>
    <row r="2706" spans="1:13">
      <c r="A2706" t="s">
        <v>129</v>
      </c>
      <c r="B2706" s="1">
        <v>44161.953587962962</v>
      </c>
    </row>
    <row r="2708" spans="1:13">
      <c r="A2708" t="s">
        <v>10</v>
      </c>
      <c r="B2708" t="s">
        <v>7</v>
      </c>
      <c r="C2708" t="s">
        <v>8</v>
      </c>
      <c r="D2708" t="s">
        <v>9</v>
      </c>
      <c r="E2708" t="s">
        <v>134</v>
      </c>
      <c r="F2708" t="s">
        <v>84</v>
      </c>
      <c r="G2708" t="s">
        <v>85</v>
      </c>
      <c r="I2708" t="s">
        <v>70</v>
      </c>
      <c r="J2708" s="15" t="s">
        <v>68</v>
      </c>
      <c r="K2708" s="2" t="s">
        <v>69</v>
      </c>
      <c r="L2708" t="s">
        <v>71</v>
      </c>
      <c r="M2708" t="s">
        <v>72</v>
      </c>
    </row>
    <row r="2709" spans="1:13">
      <c r="A2709" t="s">
        <v>126</v>
      </c>
      <c r="B2709" s="1">
        <v>44160.952291666668</v>
      </c>
      <c r="C2709" s="1">
        <v>44161.953657407408</v>
      </c>
      <c r="D2709" s="2">
        <f>MAX((TimeEntries608618622632[[#This Row],[End time]]-TimeEntries608618622632[[#This Row],[Start time]])*24,0)</f>
        <v>24.032777777756564</v>
      </c>
      <c r="F2709" s="54" t="s">
        <v>184</v>
      </c>
      <c r="G2709" s="22" t="s">
        <v>185</v>
      </c>
      <c r="J2709" s="15"/>
      <c r="K2709" s="2"/>
      <c r="L2709" s="2">
        <f>SUM(TimeEntries608618622632[Time delta in h])</f>
        <v>24.032777777756564</v>
      </c>
      <c r="M2709" s="16">
        <f>Tabelle7367609619623633[[#This Row],[EBS self time]]/Tabelle7367609619623633[[#This Row],[Total time]]</f>
        <v>0</v>
      </c>
    </row>
    <row r="2710" spans="1:13">
      <c r="B2710" s="1"/>
      <c r="C2710" s="1"/>
      <c r="D2710" s="2"/>
    </row>
    <row r="2712" spans="1:13">
      <c r="A2712" t="s">
        <v>189</v>
      </c>
      <c r="B2712" t="s">
        <v>528</v>
      </c>
      <c r="C2712" t="s">
        <v>190</v>
      </c>
      <c r="D2712">
        <v>18</v>
      </c>
      <c r="E2712" t="s">
        <v>191</v>
      </c>
      <c r="F2712">
        <v>13</v>
      </c>
    </row>
    <row r="2713" spans="1:13">
      <c r="A2713" s="4" t="s">
        <v>24</v>
      </c>
      <c r="I2713" t="s">
        <v>135</v>
      </c>
      <c r="J2713" t="s">
        <v>136</v>
      </c>
    </row>
    <row r="2714" spans="1:13">
      <c r="A2714" t="s">
        <v>3</v>
      </c>
      <c r="B2714" t="s">
        <v>530</v>
      </c>
    </row>
    <row r="2715" spans="1:13">
      <c r="A2715" t="s">
        <v>77</v>
      </c>
      <c r="B2715" s="2" t="s">
        <v>92</v>
      </c>
      <c r="C2715" t="s">
        <v>4</v>
      </c>
    </row>
    <row r="2716" spans="1:13">
      <c r="A2716" t="s">
        <v>0</v>
      </c>
      <c r="B2716" s="2">
        <f>SUM(TimeEntries624634[Time delta in h])</f>
        <v>25.290833333332557</v>
      </c>
      <c r="C2716" t="s">
        <v>4</v>
      </c>
    </row>
    <row r="2717" spans="1:13">
      <c r="A2717" t="s">
        <v>13</v>
      </c>
      <c r="B2717" s="5" t="s">
        <v>92</v>
      </c>
    </row>
    <row r="2718" spans="1:13">
      <c r="A2718" t="s">
        <v>14</v>
      </c>
      <c r="B2718" s="5" t="s">
        <v>18</v>
      </c>
    </row>
    <row r="2719" spans="1:13">
      <c r="A2719" t="s">
        <v>1</v>
      </c>
      <c r="B2719" t="s">
        <v>131</v>
      </c>
    </row>
    <row r="2720" spans="1:13">
      <c r="A2720" t="s">
        <v>15</v>
      </c>
      <c r="B2720" s="5">
        <v>44161.953668981485</v>
      </c>
    </row>
    <row r="2721" spans="1:13">
      <c r="A2721" t="s">
        <v>2</v>
      </c>
    </row>
    <row r="2722" spans="1:13">
      <c r="A2722" t="s">
        <v>46</v>
      </c>
      <c r="B2722" t="s">
        <v>528</v>
      </c>
    </row>
    <row r="2723" spans="1:13">
      <c r="A2723" t="s">
        <v>5</v>
      </c>
      <c r="B2723" s="2" t="e">
        <f>B2715/SUM(TimeEntries624634[Time delta in h])</f>
        <v>#VALUE!</v>
      </c>
      <c r="C2723" t="s">
        <v>6</v>
      </c>
    </row>
    <row r="2724" spans="1:13">
      <c r="A2724" t="s">
        <v>93</v>
      </c>
    </row>
    <row r="2725" spans="1:13">
      <c r="A2725" t="s">
        <v>94</v>
      </c>
    </row>
    <row r="2726" spans="1:13">
      <c r="A2726" t="s">
        <v>129</v>
      </c>
      <c r="B2726" s="1">
        <v>44161.953668981485</v>
      </c>
    </row>
    <row r="2728" spans="1:13">
      <c r="A2728" t="s">
        <v>10</v>
      </c>
      <c r="B2728" t="s">
        <v>7</v>
      </c>
      <c r="C2728" t="s">
        <v>8</v>
      </c>
      <c r="D2728" t="s">
        <v>9</v>
      </c>
      <c r="E2728" t="s">
        <v>134</v>
      </c>
      <c r="F2728" t="s">
        <v>84</v>
      </c>
      <c r="G2728" t="s">
        <v>85</v>
      </c>
      <c r="I2728" t="s">
        <v>70</v>
      </c>
      <c r="J2728" s="15" t="s">
        <v>68</v>
      </c>
      <c r="K2728" s="2" t="s">
        <v>69</v>
      </c>
      <c r="L2728" t="s">
        <v>71</v>
      </c>
      <c r="M2728" t="s">
        <v>72</v>
      </c>
    </row>
    <row r="2729" spans="1:13">
      <c r="A2729" t="s">
        <v>126</v>
      </c>
      <c r="B2729" s="1">
        <v>44160.899884259263</v>
      </c>
      <c r="C2729" s="1">
        <v>44161.953668981485</v>
      </c>
      <c r="D2729" s="2">
        <f>MAX((TimeEntries624634[[#This Row],[End time]]-TimeEntries624634[[#This Row],[Start time]])*24,0)</f>
        <v>25.290833333332557</v>
      </c>
      <c r="F2729" s="54" t="s">
        <v>184</v>
      </c>
      <c r="G2729" s="22" t="s">
        <v>185</v>
      </c>
      <c r="J2729" s="15"/>
      <c r="K2729" s="2"/>
      <c r="L2729" s="2">
        <f>SUM(TimeEntries624634[Time delta in h])</f>
        <v>25.290833333332557</v>
      </c>
      <c r="M2729" s="16">
        <f>Tabelle7367625635[[#This Row],[EBS self time]]/Tabelle7367625635[[#This Row],[Total time]]</f>
        <v>0</v>
      </c>
    </row>
    <row r="2730" spans="1:13">
      <c r="B2730" s="1"/>
      <c r="C2730" s="1"/>
      <c r="D2730" s="2"/>
    </row>
    <row r="2732" spans="1:13">
      <c r="A2732" t="s">
        <v>189</v>
      </c>
      <c r="B2732" t="s">
        <v>531</v>
      </c>
      <c r="C2732" t="s">
        <v>190</v>
      </c>
      <c r="D2732">
        <v>18</v>
      </c>
      <c r="E2732" t="s">
        <v>191</v>
      </c>
      <c r="F2732">
        <v>13</v>
      </c>
    </row>
    <row r="2733" spans="1:13">
      <c r="A2733" s="4" t="s">
        <v>24</v>
      </c>
      <c r="I2733" t="s">
        <v>135</v>
      </c>
      <c r="J2733" t="s">
        <v>136</v>
      </c>
    </row>
    <row r="2734" spans="1:13">
      <c r="A2734" t="s">
        <v>3</v>
      </c>
      <c r="B2734" t="s">
        <v>533</v>
      </c>
    </row>
    <row r="2735" spans="1:13">
      <c r="A2735" t="s">
        <v>77</v>
      </c>
      <c r="B2735" s="2" t="s">
        <v>92</v>
      </c>
      <c r="C2735" t="s">
        <v>4</v>
      </c>
    </row>
    <row r="2736" spans="1:13">
      <c r="A2736" t="s">
        <v>0</v>
      </c>
      <c r="B2736" s="2">
        <f>SUM(TimeEntries626636[Time delta in h])</f>
        <v>6.9319444445427507</v>
      </c>
      <c r="C2736" t="s">
        <v>4</v>
      </c>
    </row>
    <row r="2737" spans="1:13">
      <c r="A2737" t="s">
        <v>13</v>
      </c>
      <c r="B2737" s="5" t="s">
        <v>92</v>
      </c>
    </row>
    <row r="2738" spans="1:13">
      <c r="A2738" t="s">
        <v>14</v>
      </c>
      <c r="B2738" s="5" t="s">
        <v>18</v>
      </c>
    </row>
    <row r="2739" spans="1:13">
      <c r="A2739" t="s">
        <v>1</v>
      </c>
      <c r="B2739" t="s">
        <v>131</v>
      </c>
    </row>
    <row r="2740" spans="1:13">
      <c r="A2740" t="s">
        <v>15</v>
      </c>
      <c r="B2740" s="5">
        <v>44161.953692129631</v>
      </c>
    </row>
    <row r="2741" spans="1:13">
      <c r="A2741" t="s">
        <v>2</v>
      </c>
    </row>
    <row r="2742" spans="1:13">
      <c r="A2742" t="s">
        <v>46</v>
      </c>
      <c r="B2742" t="s">
        <v>531</v>
      </c>
    </row>
    <row r="2743" spans="1:13">
      <c r="A2743" t="s">
        <v>5</v>
      </c>
      <c r="B2743" s="2" t="e">
        <f>B2735/SUM(TimeEntries626636[Time delta in h])</f>
        <v>#VALUE!</v>
      </c>
      <c r="C2743" t="s">
        <v>6</v>
      </c>
    </row>
    <row r="2744" spans="1:13">
      <c r="A2744" t="s">
        <v>93</v>
      </c>
    </row>
    <row r="2745" spans="1:13">
      <c r="A2745" t="s">
        <v>94</v>
      </c>
    </row>
    <row r="2746" spans="1:13">
      <c r="A2746" t="s">
        <v>129</v>
      </c>
      <c r="B2746" s="1">
        <v>44161.953680555554</v>
      </c>
    </row>
    <row r="2748" spans="1:13">
      <c r="A2748" t="s">
        <v>10</v>
      </c>
      <c r="B2748" t="s">
        <v>7</v>
      </c>
      <c r="C2748" t="s">
        <v>8</v>
      </c>
      <c r="D2748" t="s">
        <v>9</v>
      </c>
      <c r="E2748" t="s">
        <v>134</v>
      </c>
      <c r="F2748" t="s">
        <v>84</v>
      </c>
      <c r="G2748" t="s">
        <v>85</v>
      </c>
      <c r="I2748" t="s">
        <v>70</v>
      </c>
      <c r="J2748" s="15" t="s">
        <v>68</v>
      </c>
      <c r="K2748" s="2" t="s">
        <v>69</v>
      </c>
      <c r="L2748" t="s">
        <v>71</v>
      </c>
      <c r="M2748" t="s">
        <v>72</v>
      </c>
    </row>
    <row r="2749" spans="1:13">
      <c r="A2749" t="s">
        <v>126</v>
      </c>
      <c r="B2749" s="1">
        <v>44161.664861111109</v>
      </c>
      <c r="C2749" s="1">
        <v>44161.953692129631</v>
      </c>
      <c r="D2749" s="2">
        <f>MAX((TimeEntries626636[[#This Row],[End time]]-TimeEntries626636[[#This Row],[Start time]])*24,0)</f>
        <v>6.9319444445427507</v>
      </c>
      <c r="F2749" s="54" t="s">
        <v>184</v>
      </c>
      <c r="G2749" s="22" t="s">
        <v>185</v>
      </c>
      <c r="J2749" s="15"/>
      <c r="K2749" s="2"/>
      <c r="L2749" s="2">
        <f>SUM(TimeEntries626636[Time delta in h])</f>
        <v>6.9319444445427507</v>
      </c>
      <c r="M2749" s="16">
        <f>Tabelle7367627637[[#This Row],[EBS self time]]/Tabelle7367627637[[#This Row],[Total time]]</f>
        <v>0</v>
      </c>
    </row>
    <row r="2750" spans="1:13">
      <c r="B2750" s="1"/>
      <c r="C2750" s="1"/>
      <c r="D2750" s="2"/>
    </row>
    <row r="2752" spans="1:13">
      <c r="A2752" t="s">
        <v>189</v>
      </c>
      <c r="B2752" t="s">
        <v>534</v>
      </c>
      <c r="C2752" t="s">
        <v>190</v>
      </c>
      <c r="D2752">
        <v>18</v>
      </c>
      <c r="E2752" t="s">
        <v>191</v>
      </c>
      <c r="F2752">
        <v>13</v>
      </c>
    </row>
    <row r="2753" spans="1:13">
      <c r="A2753" s="4" t="s">
        <v>24</v>
      </c>
      <c r="I2753" t="s">
        <v>135</v>
      </c>
      <c r="J2753" t="s">
        <v>136</v>
      </c>
    </row>
    <row r="2754" spans="1:13">
      <c r="A2754" t="s">
        <v>3</v>
      </c>
      <c r="B2754" t="s">
        <v>536</v>
      </c>
    </row>
    <row r="2755" spans="1:13">
      <c r="A2755" t="s">
        <v>77</v>
      </c>
      <c r="B2755" s="2" t="s">
        <v>92</v>
      </c>
      <c r="C2755" t="s">
        <v>4</v>
      </c>
    </row>
    <row r="2756" spans="1:13">
      <c r="A2756" t="s">
        <v>0</v>
      </c>
      <c r="B2756" s="2">
        <f>SUM(TimeEntries628638[Time delta in h])</f>
        <v>2.8197222221642733</v>
      </c>
      <c r="C2756" t="s">
        <v>4</v>
      </c>
    </row>
    <row r="2757" spans="1:13">
      <c r="A2757" t="s">
        <v>13</v>
      </c>
      <c r="B2757" s="5" t="s">
        <v>92</v>
      </c>
    </row>
    <row r="2758" spans="1:13">
      <c r="A2758" t="s">
        <v>14</v>
      </c>
      <c r="B2758" s="5" t="s">
        <v>18</v>
      </c>
    </row>
    <row r="2759" spans="1:13">
      <c r="A2759" t="s">
        <v>1</v>
      </c>
      <c r="B2759" t="s">
        <v>91</v>
      </c>
    </row>
    <row r="2760" spans="1:13">
      <c r="A2760" t="s">
        <v>15</v>
      </c>
      <c r="B2760" s="5" t="s">
        <v>92</v>
      </c>
    </row>
    <row r="2761" spans="1:13">
      <c r="A2761" t="s">
        <v>2</v>
      </c>
    </row>
    <row r="2762" spans="1:13">
      <c r="A2762" t="s">
        <v>46</v>
      </c>
      <c r="B2762" t="s">
        <v>534</v>
      </c>
    </row>
    <row r="2763" spans="1:13">
      <c r="A2763" t="s">
        <v>5</v>
      </c>
      <c r="B2763" s="2" t="e">
        <f>B2755/SUM(TimeEntries628638[Time delta in h])</f>
        <v>#VALUE!</v>
      </c>
      <c r="C2763" t="s">
        <v>6</v>
      </c>
    </row>
    <row r="2764" spans="1:13">
      <c r="A2764" t="s">
        <v>93</v>
      </c>
    </row>
    <row r="2765" spans="1:13">
      <c r="A2765" t="s">
        <v>94</v>
      </c>
    </row>
    <row r="2766" spans="1:13">
      <c r="A2766" t="s">
        <v>129</v>
      </c>
      <c r="B2766" s="1">
        <v>44161.953692129631</v>
      </c>
    </row>
    <row r="2768" spans="1:13">
      <c r="A2768" t="s">
        <v>10</v>
      </c>
      <c r="B2768" t="s">
        <v>7</v>
      </c>
      <c r="C2768" t="s">
        <v>8</v>
      </c>
      <c r="D2768" t="s">
        <v>9</v>
      </c>
      <c r="E2768" t="s">
        <v>134</v>
      </c>
      <c r="F2768" t="s">
        <v>84</v>
      </c>
      <c r="G2768" t="s">
        <v>85</v>
      </c>
      <c r="I2768" t="s">
        <v>70</v>
      </c>
      <c r="J2768" s="15" t="s">
        <v>68</v>
      </c>
      <c r="K2768" s="2" t="s">
        <v>69</v>
      </c>
      <c r="L2768" t="s">
        <v>71</v>
      </c>
      <c r="M2768" t="s">
        <v>72</v>
      </c>
    </row>
    <row r="2769" spans="1:13">
      <c r="A2769" t="s">
        <v>126</v>
      </c>
      <c r="B2769" s="1">
        <v>44161.836215277777</v>
      </c>
      <c r="C2769" s="1">
        <v>44161.953703703701</v>
      </c>
      <c r="D2769" s="2">
        <f>MAX((TimeEntries628638[[#This Row],[End time]]-TimeEntries628638[[#This Row],[Start time]])*24,0)</f>
        <v>2.8197222221642733</v>
      </c>
      <c r="F2769" s="54" t="s">
        <v>184</v>
      </c>
      <c r="G2769" s="22" t="s">
        <v>185</v>
      </c>
      <c r="J2769" s="15"/>
      <c r="K2769" s="2"/>
      <c r="L2769" s="2">
        <f>SUM(TimeEntries628638[Time delta in h])</f>
        <v>2.8197222221642733</v>
      </c>
      <c r="M2769" s="16">
        <f>Tabelle7367629639[[#This Row],[EBS self time]]/Tabelle7367629639[[#This Row],[Total time]]</f>
        <v>0</v>
      </c>
    </row>
    <row r="2770" spans="1:13">
      <c r="B2770" s="1"/>
      <c r="C2770" s="1"/>
      <c r="D2770" s="2"/>
    </row>
    <row r="2772" spans="1:13">
      <c r="A2772" t="s">
        <v>189</v>
      </c>
      <c r="B2772" t="s">
        <v>537</v>
      </c>
      <c r="C2772" t="s">
        <v>190</v>
      </c>
      <c r="D2772">
        <v>23</v>
      </c>
      <c r="E2772" t="s">
        <v>191</v>
      </c>
      <c r="F2772">
        <v>13</v>
      </c>
    </row>
    <row r="2773" spans="1:13">
      <c r="A2773" s="4" t="s">
        <v>24</v>
      </c>
      <c r="I2773" t="s">
        <v>135</v>
      </c>
      <c r="J2773" t="s">
        <v>136</v>
      </c>
    </row>
    <row r="2774" spans="1:13">
      <c r="A2774" t="s">
        <v>3</v>
      </c>
      <c r="B2774" t="s">
        <v>539</v>
      </c>
    </row>
    <row r="2775" spans="1:13">
      <c r="A2775" t="s">
        <v>77</v>
      </c>
      <c r="B2775" s="2">
        <v>11.659487724304199</v>
      </c>
      <c r="C2775" t="s">
        <v>4</v>
      </c>
    </row>
    <row r="2776" spans="1:13">
      <c r="A2776" t="s">
        <v>0</v>
      </c>
      <c r="B2776" s="2">
        <f>SUM(TimeEntries630640644654[Time delta in h])</f>
        <v>10.095277777814772</v>
      </c>
      <c r="C2776" t="s">
        <v>4</v>
      </c>
    </row>
    <row r="2777" spans="1:13">
      <c r="A2777" t="s">
        <v>13</v>
      </c>
      <c r="B2777" s="5" t="s">
        <v>92</v>
      </c>
    </row>
    <row r="2778" spans="1:13">
      <c r="A2778" t="s">
        <v>14</v>
      </c>
      <c r="B2778" s="5" t="s">
        <v>18</v>
      </c>
    </row>
    <row r="2779" spans="1:13">
      <c r="A2779" t="s">
        <v>1</v>
      </c>
      <c r="B2779" t="s">
        <v>91</v>
      </c>
    </row>
    <row r="2780" spans="1:13">
      <c r="A2780" t="s">
        <v>15</v>
      </c>
      <c r="B2780" s="5" t="s">
        <v>92</v>
      </c>
    </row>
    <row r="2781" spans="1:13">
      <c r="A2781" t="s">
        <v>2</v>
      </c>
    </row>
    <row r="2782" spans="1:13">
      <c r="A2782" t="s">
        <v>46</v>
      </c>
      <c r="B2782" t="s">
        <v>537</v>
      </c>
    </row>
    <row r="2783" spans="1:13">
      <c r="A2783" t="s">
        <v>5</v>
      </c>
      <c r="B2783" s="2">
        <f>B2775/SUM(TimeEntries630640644654[Time delta in h])</f>
        <v>1.1549447158281183</v>
      </c>
      <c r="C2783" t="s">
        <v>6</v>
      </c>
    </row>
    <row r="2784" spans="1:13">
      <c r="A2784" t="s">
        <v>93</v>
      </c>
    </row>
    <row r="2785" spans="1:13">
      <c r="A2785" t="s">
        <v>94</v>
      </c>
    </row>
    <row r="2786" spans="1:13">
      <c r="A2786" t="s">
        <v>129</v>
      </c>
      <c r="B2786" s="1">
        <v>44161.953715277778</v>
      </c>
    </row>
    <row r="2788" spans="1:13">
      <c r="A2788" t="s">
        <v>10</v>
      </c>
      <c r="B2788" t="s">
        <v>7</v>
      </c>
      <c r="C2788" t="s">
        <v>8</v>
      </c>
      <c r="D2788" t="s">
        <v>9</v>
      </c>
      <c r="E2788" t="s">
        <v>134</v>
      </c>
      <c r="F2788" t="s">
        <v>84</v>
      </c>
      <c r="G2788" t="s">
        <v>85</v>
      </c>
      <c r="I2788" t="s">
        <v>70</v>
      </c>
      <c r="J2788" s="15" t="s">
        <v>68</v>
      </c>
      <c r="K2788" s="2" t="s">
        <v>69</v>
      </c>
      <c r="L2788" t="s">
        <v>71</v>
      </c>
      <c r="M2788" t="s">
        <v>72</v>
      </c>
    </row>
    <row r="2789" spans="1:13">
      <c r="A2789" t="s">
        <v>126</v>
      </c>
      <c r="B2789" s="1">
        <v>44161.533125000002</v>
      </c>
      <c r="C2789" s="1">
        <v>44161.953761574077</v>
      </c>
      <c r="D2789" s="2">
        <f>MAX((TimeEntries630640644654[[#This Row],[End time]]-TimeEntries630640644654[[#This Row],[Start time]])*24,0)</f>
        <v>10.095277777814772</v>
      </c>
      <c r="F2789" s="54" t="s">
        <v>184</v>
      </c>
      <c r="G2789" s="22" t="s">
        <v>185</v>
      </c>
      <c r="I2789" t="s">
        <v>126</v>
      </c>
      <c r="J2789" s="15">
        <v>0.05</v>
      </c>
      <c r="K2789" s="2">
        <v>5.8297438621520996</v>
      </c>
      <c r="L2789" s="2">
        <f>SUM(TimeEntries630640644654[Time delta in h])</f>
        <v>10.095277777814772</v>
      </c>
      <c r="M2789" s="16">
        <f>Tabelle7367631641645655[[#This Row],[EBS self time]]/Tabelle7367631641645655[[#This Row],[Total time]]</f>
        <v>0.57747235791405915</v>
      </c>
    </row>
    <row r="2790" spans="1:13">
      <c r="B2790" s="1"/>
      <c r="C2790" s="1"/>
      <c r="D2790" s="2"/>
      <c r="I2790" t="s">
        <v>127</v>
      </c>
      <c r="J2790" s="15">
        <v>0.2</v>
      </c>
      <c r="K2790" s="2">
        <v>5.8297438621520996</v>
      </c>
      <c r="L2790" s="2">
        <f>SUM(TimeEntries630640644654[Time delta in h])</f>
        <v>10.095277777814772</v>
      </c>
      <c r="M2790" s="16">
        <f>Tabelle7367631641645655[[#This Row],[EBS self time]]/Tabelle7367631641645655[[#This Row],[Total time]]</f>
        <v>0.57747235791405915</v>
      </c>
    </row>
    <row r="2791" spans="1:13">
      <c r="I2791" t="s">
        <v>169</v>
      </c>
      <c r="J2791" s="15">
        <v>0.35</v>
      </c>
      <c r="K2791" s="2">
        <v>5.8297438621520996</v>
      </c>
      <c r="L2791" s="2">
        <f>SUM(TimeEntries630640644654[Time delta in h])</f>
        <v>10.095277777814772</v>
      </c>
      <c r="M2791" s="16">
        <f>Tabelle7367631641645655[[#This Row],[EBS self time]]/Tabelle7367631641645655[[#This Row],[Total time]]</f>
        <v>0.57747235791405915</v>
      </c>
    </row>
    <row r="2792" spans="1:13">
      <c r="I2792" t="s">
        <v>172</v>
      </c>
      <c r="J2792" s="15">
        <v>0.5</v>
      </c>
      <c r="K2792" s="2">
        <v>5.8297438621520996</v>
      </c>
      <c r="L2792" s="2">
        <f>SUM(TimeEntries630640644654[Time delta in h])</f>
        <v>10.095277777814772</v>
      </c>
      <c r="M2792" s="16">
        <f>Tabelle7367631641645655[[#This Row],[EBS self time]]/Tabelle7367631641645655[[#This Row],[Total time]]</f>
        <v>0.57747235791405915</v>
      </c>
    </row>
    <row r="2793" spans="1:13">
      <c r="I2793" t="s">
        <v>187</v>
      </c>
      <c r="J2793" s="15">
        <v>0.65</v>
      </c>
      <c r="K2793" s="2">
        <v>22.595906442449998</v>
      </c>
      <c r="L2793" s="2">
        <f>SUM(TimeEntries630640644654[Time delta in h])</f>
        <v>10.095277777814772</v>
      </c>
      <c r="M2793" s="16">
        <f>Tabelle7367631641645655[[#This Row],[EBS self time]]/Tabelle7367631641645655[[#This Row],[Total time]]</f>
        <v>2.2382649531552681</v>
      </c>
    </row>
    <row r="2794" spans="1:13">
      <c r="I2794" t="s">
        <v>192</v>
      </c>
      <c r="J2794" s="15">
        <v>0.8</v>
      </c>
      <c r="K2794" s="2">
        <v>22.595906442449998</v>
      </c>
      <c r="L2794" s="2">
        <f>SUM(TimeEntries630640644654[Time delta in h])</f>
        <v>10.095277777814772</v>
      </c>
      <c r="M2794" s="16">
        <f>Tabelle7367631641645655[[#This Row],[EBS self time]]/Tabelle7367631641645655[[#This Row],[Total time]]</f>
        <v>2.2382649531552681</v>
      </c>
    </row>
    <row r="2795" spans="1:13">
      <c r="I2795" t="s">
        <v>193</v>
      </c>
      <c r="J2795" s="15">
        <v>0.95</v>
      </c>
      <c r="K2795" s="2">
        <v>22.595906442449998</v>
      </c>
      <c r="L2795" s="2">
        <f>SUM(TimeEntries630640644654[Time delta in h])</f>
        <v>10.095277777814772</v>
      </c>
      <c r="M2795" s="16">
        <f>Tabelle7367631641645655[[#This Row],[EBS self time]]/Tabelle7367631641645655[[#This Row],[Total time]]</f>
        <v>2.2382649531552681</v>
      </c>
    </row>
    <row r="2797" spans="1:13">
      <c r="A2797" t="s">
        <v>189</v>
      </c>
      <c r="B2797" t="s">
        <v>540</v>
      </c>
      <c r="C2797" t="s">
        <v>190</v>
      </c>
      <c r="D2797">
        <v>18</v>
      </c>
      <c r="E2797" t="s">
        <v>191</v>
      </c>
      <c r="F2797">
        <v>13</v>
      </c>
    </row>
    <row r="2798" spans="1:13">
      <c r="A2798" s="4" t="s">
        <v>24</v>
      </c>
      <c r="I2798" t="s">
        <v>135</v>
      </c>
      <c r="J2798" t="s">
        <v>136</v>
      </c>
    </row>
    <row r="2799" spans="1:13">
      <c r="A2799" t="s">
        <v>3</v>
      </c>
      <c r="B2799" t="s">
        <v>542</v>
      </c>
    </row>
    <row r="2800" spans="1:13">
      <c r="A2800" t="s">
        <v>77</v>
      </c>
      <c r="B2800" s="2" t="s">
        <v>92</v>
      </c>
      <c r="C2800" t="s">
        <v>4</v>
      </c>
    </row>
    <row r="2801" spans="1:13">
      <c r="A2801" t="s">
        <v>0</v>
      </c>
      <c r="B2801" s="2">
        <f>SUM(TimeEntries646656[Time delta in h])</f>
        <v>23.459444444510154</v>
      </c>
      <c r="C2801" t="s">
        <v>4</v>
      </c>
    </row>
    <row r="2802" spans="1:13">
      <c r="A2802" t="s">
        <v>13</v>
      </c>
      <c r="B2802" s="5" t="s">
        <v>92</v>
      </c>
    </row>
    <row r="2803" spans="1:13">
      <c r="A2803" t="s">
        <v>14</v>
      </c>
      <c r="B2803" s="5" t="s">
        <v>18</v>
      </c>
    </row>
    <row r="2804" spans="1:13">
      <c r="A2804" t="s">
        <v>1</v>
      </c>
      <c r="B2804" t="s">
        <v>91</v>
      </c>
    </row>
    <row r="2805" spans="1:13">
      <c r="A2805" t="s">
        <v>15</v>
      </c>
      <c r="B2805" s="5" t="s">
        <v>92</v>
      </c>
    </row>
    <row r="2806" spans="1:13">
      <c r="A2806" t="s">
        <v>2</v>
      </c>
    </row>
    <row r="2807" spans="1:13">
      <c r="A2807" t="s">
        <v>46</v>
      </c>
      <c r="B2807" t="s">
        <v>540</v>
      </c>
    </row>
    <row r="2808" spans="1:13">
      <c r="A2808" t="s">
        <v>5</v>
      </c>
      <c r="B2808" s="2" t="e">
        <f>B2800/SUM(TimeEntries646656[Time delta in h])</f>
        <v>#VALUE!</v>
      </c>
      <c r="C2808" t="s">
        <v>6</v>
      </c>
    </row>
    <row r="2809" spans="1:13">
      <c r="A2809" t="s">
        <v>93</v>
      </c>
    </row>
    <row r="2810" spans="1:13">
      <c r="A2810" t="s">
        <v>94</v>
      </c>
    </row>
    <row r="2811" spans="1:13">
      <c r="A2811" t="s">
        <v>129</v>
      </c>
      <c r="B2811" s="1">
        <v>44161.953773148147</v>
      </c>
    </row>
    <row r="2813" spans="1:13">
      <c r="A2813" t="s">
        <v>10</v>
      </c>
      <c r="B2813" t="s">
        <v>7</v>
      </c>
      <c r="C2813" t="s">
        <v>8</v>
      </c>
      <c r="D2813" t="s">
        <v>9</v>
      </c>
      <c r="E2813" t="s">
        <v>134</v>
      </c>
      <c r="F2813" t="s">
        <v>84</v>
      </c>
      <c r="G2813" t="s">
        <v>85</v>
      </c>
      <c r="I2813" t="s">
        <v>70</v>
      </c>
      <c r="J2813" s="15" t="s">
        <v>68</v>
      </c>
      <c r="K2813" s="2" t="s">
        <v>69</v>
      </c>
      <c r="L2813" t="s">
        <v>71</v>
      </c>
      <c r="M2813" t="s">
        <v>72</v>
      </c>
    </row>
    <row r="2814" spans="1:13">
      <c r="A2814" t="s">
        <v>126</v>
      </c>
      <c r="B2814" s="1">
        <v>44160.976307870369</v>
      </c>
      <c r="C2814" s="1">
        <v>44161.953784722224</v>
      </c>
      <c r="D2814" s="2">
        <f>MAX((TimeEntries646656[[#This Row],[End time]]-TimeEntries646656[[#This Row],[Start time]])*24,0)</f>
        <v>23.459444444510154</v>
      </c>
      <c r="F2814" s="54" t="s">
        <v>184</v>
      </c>
      <c r="G2814" s="22" t="s">
        <v>185</v>
      </c>
      <c r="J2814" s="15"/>
      <c r="K2814" s="2"/>
      <c r="L2814" s="2">
        <f>SUM(TimeEntries646656[Time delta in h])</f>
        <v>23.459444444510154</v>
      </c>
      <c r="M2814" s="16">
        <f>Tabelle7367647657[[#This Row],[EBS self time]]/Tabelle7367647657[[#This Row],[Total time]]</f>
        <v>0</v>
      </c>
    </row>
    <row r="2815" spans="1:13">
      <c r="B2815" s="1"/>
      <c r="C2815" s="1"/>
      <c r="D2815" s="2"/>
    </row>
    <row r="2817" spans="1:10">
      <c r="A2817" t="s">
        <v>189</v>
      </c>
      <c r="B2817" t="s">
        <v>543</v>
      </c>
      <c r="C2817" t="s">
        <v>190</v>
      </c>
      <c r="D2817">
        <v>18</v>
      </c>
      <c r="E2817" t="s">
        <v>191</v>
      </c>
      <c r="F2817">
        <v>13</v>
      </c>
    </row>
    <row r="2818" spans="1:10">
      <c r="A2818" s="4" t="s">
        <v>24</v>
      </c>
      <c r="I2818" t="s">
        <v>135</v>
      </c>
      <c r="J2818" t="s">
        <v>136</v>
      </c>
    </row>
    <row r="2819" spans="1:10">
      <c r="A2819" t="s">
        <v>3</v>
      </c>
      <c r="B2819" t="s">
        <v>545</v>
      </c>
    </row>
    <row r="2820" spans="1:10">
      <c r="A2820" t="s">
        <v>77</v>
      </c>
      <c r="B2820" s="2" t="s">
        <v>92</v>
      </c>
      <c r="C2820" t="s">
        <v>4</v>
      </c>
    </row>
    <row r="2821" spans="1:10">
      <c r="A2821" t="s">
        <v>0</v>
      </c>
      <c r="B2821" s="2">
        <f>SUM(TimeEntries648658[Time delta in h])</f>
        <v>21.42111111106351</v>
      </c>
      <c r="C2821" t="s">
        <v>4</v>
      </c>
    </row>
    <row r="2822" spans="1:10">
      <c r="A2822" t="s">
        <v>13</v>
      </c>
      <c r="B2822" s="5" t="s">
        <v>92</v>
      </c>
    </row>
    <row r="2823" spans="1:10">
      <c r="A2823" t="s">
        <v>14</v>
      </c>
      <c r="B2823" s="5" t="s">
        <v>18</v>
      </c>
    </row>
    <row r="2824" spans="1:10">
      <c r="A2824" t="s">
        <v>1</v>
      </c>
      <c r="B2824" t="s">
        <v>91</v>
      </c>
    </row>
    <row r="2825" spans="1:10">
      <c r="A2825" t="s">
        <v>15</v>
      </c>
      <c r="B2825" s="5" t="s">
        <v>92</v>
      </c>
    </row>
    <row r="2826" spans="1:10">
      <c r="A2826" t="s">
        <v>2</v>
      </c>
    </row>
    <row r="2827" spans="1:10">
      <c r="A2827" t="s">
        <v>46</v>
      </c>
      <c r="B2827" t="s">
        <v>543</v>
      </c>
    </row>
    <row r="2828" spans="1:10">
      <c r="A2828" t="s">
        <v>5</v>
      </c>
      <c r="B2828" s="2" t="e">
        <f>B2820/SUM(TimeEntries648658[Time delta in h])</f>
        <v>#VALUE!</v>
      </c>
      <c r="C2828" t="s">
        <v>6</v>
      </c>
    </row>
    <row r="2829" spans="1:10">
      <c r="A2829" t="s">
        <v>93</v>
      </c>
    </row>
    <row r="2830" spans="1:10">
      <c r="A2830" t="s">
        <v>94</v>
      </c>
    </row>
    <row r="2831" spans="1:10">
      <c r="A2831" t="s">
        <v>129</v>
      </c>
      <c r="B2831" s="1">
        <v>44161.953796296293</v>
      </c>
    </row>
    <row r="2833" spans="1:13">
      <c r="A2833" t="s">
        <v>10</v>
      </c>
      <c r="B2833" t="s">
        <v>7</v>
      </c>
      <c r="C2833" t="s">
        <v>8</v>
      </c>
      <c r="D2833" t="s">
        <v>9</v>
      </c>
      <c r="E2833" t="s">
        <v>134</v>
      </c>
      <c r="F2833" t="s">
        <v>84</v>
      </c>
      <c r="G2833" t="s">
        <v>85</v>
      </c>
      <c r="I2833" t="s">
        <v>70</v>
      </c>
      <c r="J2833" s="15" t="s">
        <v>68</v>
      </c>
      <c r="K2833" s="2" t="s">
        <v>69</v>
      </c>
      <c r="L2833" t="s">
        <v>71</v>
      </c>
      <c r="M2833" t="s">
        <v>72</v>
      </c>
    </row>
    <row r="2834" spans="1:13">
      <c r="A2834" t="s">
        <v>126</v>
      </c>
      <c r="B2834" s="1">
        <v>44161.061249999999</v>
      </c>
      <c r="C2834" s="1">
        <v>44161.953796296293</v>
      </c>
      <c r="D2834" s="2">
        <f>MAX((TimeEntries648658[[#This Row],[End time]]-TimeEntries648658[[#This Row],[Start time]])*24,0)</f>
        <v>21.42111111106351</v>
      </c>
      <c r="F2834" s="54" t="s">
        <v>184</v>
      </c>
      <c r="G2834" s="22" t="s">
        <v>185</v>
      </c>
      <c r="J2834" s="15"/>
      <c r="K2834" s="2"/>
      <c r="L2834" s="2">
        <f>SUM(TimeEntries648658[Time delta in h])</f>
        <v>21.42111111106351</v>
      </c>
      <c r="M2834" s="16">
        <f>Tabelle7367649659[[#This Row],[EBS self time]]/Tabelle7367649659[[#This Row],[Total time]]</f>
        <v>0</v>
      </c>
    </row>
    <row r="2835" spans="1:13">
      <c r="B2835" s="1"/>
      <c r="C2835" s="1"/>
      <c r="D2835" s="2"/>
    </row>
    <row r="2837" spans="1:13">
      <c r="A2837" t="s">
        <v>189</v>
      </c>
      <c r="B2837" t="s">
        <v>546</v>
      </c>
      <c r="C2837" t="s">
        <v>190</v>
      </c>
      <c r="D2837">
        <v>18</v>
      </c>
      <c r="E2837" t="s">
        <v>191</v>
      </c>
      <c r="F2837">
        <v>13</v>
      </c>
    </row>
    <row r="2838" spans="1:13">
      <c r="A2838" s="4" t="s">
        <v>24</v>
      </c>
      <c r="I2838" t="s">
        <v>135</v>
      </c>
      <c r="J2838" t="s">
        <v>136</v>
      </c>
    </row>
    <row r="2839" spans="1:13">
      <c r="A2839" t="s">
        <v>3</v>
      </c>
      <c r="B2839" t="s">
        <v>548</v>
      </c>
    </row>
    <row r="2840" spans="1:13">
      <c r="A2840" t="s">
        <v>77</v>
      </c>
      <c r="B2840" s="2" t="s">
        <v>92</v>
      </c>
      <c r="C2840" t="s">
        <v>4</v>
      </c>
    </row>
    <row r="2841" spans="1:13">
      <c r="A2841" t="s">
        <v>0</v>
      </c>
      <c r="B2841" s="2">
        <f>SUM(TimeEntries650660[Time delta in h])</f>
        <v>20.152222222241107</v>
      </c>
      <c r="C2841" t="s">
        <v>4</v>
      </c>
    </row>
    <row r="2842" spans="1:13">
      <c r="A2842" t="s">
        <v>13</v>
      </c>
      <c r="B2842" s="5" t="s">
        <v>92</v>
      </c>
    </row>
    <row r="2843" spans="1:13">
      <c r="A2843" t="s">
        <v>14</v>
      </c>
      <c r="B2843" s="5" t="s">
        <v>18</v>
      </c>
    </row>
    <row r="2844" spans="1:13">
      <c r="A2844" t="s">
        <v>1</v>
      </c>
      <c r="B2844" t="s">
        <v>91</v>
      </c>
    </row>
    <row r="2845" spans="1:13">
      <c r="A2845" t="s">
        <v>15</v>
      </c>
      <c r="B2845" s="5" t="s">
        <v>92</v>
      </c>
    </row>
    <row r="2846" spans="1:13">
      <c r="A2846" t="s">
        <v>2</v>
      </c>
    </row>
    <row r="2847" spans="1:13">
      <c r="A2847" t="s">
        <v>46</v>
      </c>
      <c r="B2847" t="s">
        <v>546</v>
      </c>
    </row>
    <row r="2848" spans="1:13">
      <c r="A2848" t="s">
        <v>5</v>
      </c>
      <c r="B2848" s="2" t="e">
        <f>B2840/SUM(TimeEntries650660[Time delta in h])</f>
        <v>#VALUE!</v>
      </c>
      <c r="C2848" t="s">
        <v>6</v>
      </c>
    </row>
    <row r="2849" spans="1:13">
      <c r="A2849" t="s">
        <v>93</v>
      </c>
    </row>
    <row r="2850" spans="1:13">
      <c r="A2850" t="s">
        <v>94</v>
      </c>
    </row>
    <row r="2851" spans="1:13">
      <c r="A2851" t="s">
        <v>129</v>
      </c>
      <c r="B2851" s="1">
        <v>44161.95380787037</v>
      </c>
    </row>
    <row r="2853" spans="1:13">
      <c r="A2853" t="s">
        <v>10</v>
      </c>
      <c r="B2853" t="s">
        <v>7</v>
      </c>
      <c r="C2853" t="s">
        <v>8</v>
      </c>
      <c r="D2853" t="s">
        <v>9</v>
      </c>
      <c r="E2853" t="s">
        <v>134</v>
      </c>
      <c r="F2853" t="s">
        <v>84</v>
      </c>
      <c r="G2853" t="s">
        <v>85</v>
      </c>
      <c r="I2853" t="s">
        <v>70</v>
      </c>
      <c r="J2853" s="15" t="s">
        <v>68</v>
      </c>
      <c r="K2853" s="2" t="s">
        <v>69</v>
      </c>
      <c r="L2853" t="s">
        <v>71</v>
      </c>
      <c r="M2853" t="s">
        <v>72</v>
      </c>
    </row>
    <row r="2854" spans="1:13">
      <c r="A2854" t="s">
        <v>126</v>
      </c>
      <c r="B2854" s="1">
        <v>44161.114131944443</v>
      </c>
      <c r="C2854" s="1">
        <v>44161.95380787037</v>
      </c>
      <c r="D2854" s="2">
        <f>MAX((TimeEntries650660[[#This Row],[End time]]-TimeEntries650660[[#This Row],[Start time]])*24,0)</f>
        <v>20.152222222241107</v>
      </c>
      <c r="F2854" s="54" t="s">
        <v>184</v>
      </c>
      <c r="G2854" s="22" t="s">
        <v>185</v>
      </c>
      <c r="J2854" s="15"/>
      <c r="K2854" s="2"/>
      <c r="L2854" s="2">
        <f>SUM(TimeEntries650660[Time delta in h])</f>
        <v>20.152222222241107</v>
      </c>
      <c r="M2854" s="16">
        <f>Tabelle7367651661[[#This Row],[EBS self time]]/Tabelle7367651661[[#This Row],[Total time]]</f>
        <v>0</v>
      </c>
    </row>
    <row r="2855" spans="1:13">
      <c r="B2855" s="1"/>
      <c r="C2855" s="1"/>
      <c r="D2855" s="2"/>
    </row>
    <row r="2857" spans="1:13">
      <c r="A2857" t="s">
        <v>189</v>
      </c>
      <c r="B2857" t="s">
        <v>549</v>
      </c>
      <c r="C2857" t="s">
        <v>190</v>
      </c>
      <c r="D2857">
        <v>18</v>
      </c>
      <c r="E2857" t="s">
        <v>191</v>
      </c>
      <c r="F2857">
        <v>13</v>
      </c>
    </row>
    <row r="2858" spans="1:13">
      <c r="A2858" s="4" t="s">
        <v>24</v>
      </c>
      <c r="I2858" t="s">
        <v>135</v>
      </c>
      <c r="J2858" t="s">
        <v>136</v>
      </c>
    </row>
    <row r="2859" spans="1:13">
      <c r="A2859" t="s">
        <v>3</v>
      </c>
      <c r="B2859" t="s">
        <v>551</v>
      </c>
    </row>
    <row r="2860" spans="1:13">
      <c r="A2860" t="s">
        <v>77</v>
      </c>
      <c r="B2860" s="2" t="s">
        <v>92</v>
      </c>
      <c r="C2860" t="s">
        <v>4</v>
      </c>
    </row>
    <row r="2861" spans="1:13">
      <c r="A2861" t="s">
        <v>0</v>
      </c>
      <c r="B2861" s="2">
        <f>SUM(TimeEntries652662666676[Time delta in h])</f>
        <v>16.557499999995343</v>
      </c>
      <c r="C2861" t="s">
        <v>4</v>
      </c>
    </row>
    <row r="2862" spans="1:13">
      <c r="A2862" t="s">
        <v>13</v>
      </c>
      <c r="B2862" s="5" t="s">
        <v>92</v>
      </c>
    </row>
    <row r="2863" spans="1:13">
      <c r="A2863" t="s">
        <v>14</v>
      </c>
      <c r="B2863" s="5" t="s">
        <v>18</v>
      </c>
    </row>
    <row r="2864" spans="1:13">
      <c r="A2864" t="s">
        <v>1</v>
      </c>
      <c r="B2864" t="s">
        <v>91</v>
      </c>
    </row>
    <row r="2865" spans="1:13">
      <c r="A2865" t="s">
        <v>15</v>
      </c>
      <c r="B2865" s="5" t="s">
        <v>92</v>
      </c>
    </row>
    <row r="2866" spans="1:13">
      <c r="A2866" t="s">
        <v>2</v>
      </c>
    </row>
    <row r="2867" spans="1:13">
      <c r="A2867" t="s">
        <v>46</v>
      </c>
      <c r="B2867" t="s">
        <v>549</v>
      </c>
    </row>
    <row r="2868" spans="1:13">
      <c r="A2868" t="s">
        <v>5</v>
      </c>
      <c r="B2868" s="2" t="e">
        <f>B2860/SUM(TimeEntries652662666676[Time delta in h])</f>
        <v>#VALUE!</v>
      </c>
      <c r="C2868" t="s">
        <v>6</v>
      </c>
    </row>
    <row r="2869" spans="1:13">
      <c r="A2869" t="s">
        <v>93</v>
      </c>
    </row>
    <row r="2870" spans="1:13">
      <c r="A2870" t="s">
        <v>94</v>
      </c>
    </row>
    <row r="2871" spans="1:13">
      <c r="A2871" t="s">
        <v>129</v>
      </c>
      <c r="B2871" s="1">
        <v>44161.953819444447</v>
      </c>
    </row>
    <row r="2873" spans="1:13">
      <c r="A2873" t="s">
        <v>10</v>
      </c>
      <c r="B2873" t="s">
        <v>7</v>
      </c>
      <c r="C2873" t="s">
        <v>8</v>
      </c>
      <c r="D2873" t="s">
        <v>9</v>
      </c>
      <c r="E2873" t="s">
        <v>134</v>
      </c>
      <c r="F2873" t="s">
        <v>84</v>
      </c>
      <c r="G2873" t="s">
        <v>85</v>
      </c>
      <c r="I2873" t="s">
        <v>70</v>
      </c>
      <c r="J2873" s="15" t="s">
        <v>68</v>
      </c>
      <c r="K2873" s="2" t="s">
        <v>69</v>
      </c>
      <c r="L2873" t="s">
        <v>71</v>
      </c>
      <c r="M2873" t="s">
        <v>72</v>
      </c>
    </row>
    <row r="2874" spans="1:13">
      <c r="A2874" t="s">
        <v>126</v>
      </c>
      <c r="B2874" s="1">
        <v>44161.264004629629</v>
      </c>
      <c r="C2874" s="1">
        <v>44161.953900462962</v>
      </c>
      <c r="D2874" s="2">
        <f>MAX((TimeEntries652662666676[[#This Row],[End time]]-TimeEntries652662666676[[#This Row],[Start time]])*24,0)</f>
        <v>16.557499999995343</v>
      </c>
      <c r="F2874" s="54" t="s">
        <v>184</v>
      </c>
      <c r="G2874" s="22" t="s">
        <v>185</v>
      </c>
      <c r="J2874" s="15"/>
      <c r="K2874" s="2"/>
      <c r="L2874" s="2">
        <f>SUM(TimeEntries652662666676[Time delta in h])</f>
        <v>16.557499999995343</v>
      </c>
      <c r="M2874" s="16">
        <f>Tabelle7367653663667677[[#This Row],[EBS self time]]/Tabelle7367653663667677[[#This Row],[Total time]]</f>
        <v>0</v>
      </c>
    </row>
    <row r="2875" spans="1:13">
      <c r="B2875" s="1"/>
      <c r="C2875" s="1"/>
      <c r="D2875" s="2"/>
    </row>
    <row r="2877" spans="1:13">
      <c r="A2877" t="s">
        <v>189</v>
      </c>
      <c r="B2877" t="s">
        <v>552</v>
      </c>
      <c r="C2877" t="s">
        <v>190</v>
      </c>
      <c r="D2877">
        <v>23</v>
      </c>
      <c r="E2877" t="s">
        <v>191</v>
      </c>
      <c r="F2877">
        <v>13</v>
      </c>
    </row>
    <row r="2878" spans="1:13">
      <c r="A2878" s="4" t="s">
        <v>24</v>
      </c>
      <c r="I2878" t="s">
        <v>135</v>
      </c>
      <c r="J2878" t="s">
        <v>136</v>
      </c>
    </row>
    <row r="2879" spans="1:13">
      <c r="A2879" t="s">
        <v>3</v>
      </c>
      <c r="B2879" t="s">
        <v>554</v>
      </c>
    </row>
    <row r="2880" spans="1:13">
      <c r="A2880" t="s">
        <v>77</v>
      </c>
      <c r="B2880" s="2">
        <v>8.4395828247070313</v>
      </c>
      <c r="C2880" t="s">
        <v>4</v>
      </c>
    </row>
    <row r="2881" spans="1:13">
      <c r="A2881" t="s">
        <v>0</v>
      </c>
      <c r="B2881" s="2">
        <f>SUM(TimeEntries668678[Time delta in h])</f>
        <v>27.330555555643514</v>
      </c>
      <c r="C2881" t="s">
        <v>4</v>
      </c>
    </row>
    <row r="2882" spans="1:13">
      <c r="A2882" t="s">
        <v>13</v>
      </c>
      <c r="B2882" s="5" t="s">
        <v>92</v>
      </c>
    </row>
    <row r="2883" spans="1:13">
      <c r="A2883" t="s">
        <v>14</v>
      </c>
      <c r="B2883" s="5" t="s">
        <v>18</v>
      </c>
    </row>
    <row r="2884" spans="1:13">
      <c r="A2884" t="s">
        <v>1</v>
      </c>
      <c r="B2884" t="s">
        <v>91</v>
      </c>
    </row>
    <row r="2885" spans="1:13">
      <c r="A2885" t="s">
        <v>15</v>
      </c>
      <c r="B2885" s="5" t="s">
        <v>92</v>
      </c>
    </row>
    <row r="2886" spans="1:13">
      <c r="A2886" t="s">
        <v>2</v>
      </c>
    </row>
    <row r="2887" spans="1:13">
      <c r="A2887" t="s">
        <v>46</v>
      </c>
      <c r="B2887" t="s">
        <v>552</v>
      </c>
    </row>
    <row r="2888" spans="1:13">
      <c r="A2888" t="s">
        <v>5</v>
      </c>
      <c r="B2888" s="2">
        <f>B2880/SUM(TimeEntries668678[Time delta in h])</f>
        <v>0.30879660706217638</v>
      </c>
      <c r="C2888" t="s">
        <v>6</v>
      </c>
    </row>
    <row r="2889" spans="1:13">
      <c r="A2889" t="s">
        <v>93</v>
      </c>
    </row>
    <row r="2890" spans="1:13">
      <c r="A2890" t="s">
        <v>94</v>
      </c>
    </row>
    <row r="2891" spans="1:13">
      <c r="A2891" t="s">
        <v>129</v>
      </c>
      <c r="B2891" s="1">
        <v>44161.953912037039</v>
      </c>
    </row>
    <row r="2893" spans="1:13">
      <c r="A2893" t="s">
        <v>10</v>
      </c>
      <c r="B2893" t="s">
        <v>7</v>
      </c>
      <c r="C2893" t="s">
        <v>8</v>
      </c>
      <c r="D2893" t="s">
        <v>9</v>
      </c>
      <c r="E2893" t="s">
        <v>134</v>
      </c>
      <c r="F2893" t="s">
        <v>84</v>
      </c>
      <c r="G2893" t="s">
        <v>85</v>
      </c>
      <c r="I2893" t="s">
        <v>70</v>
      </c>
      <c r="J2893" s="15" t="s">
        <v>68</v>
      </c>
      <c r="K2893" s="2" t="s">
        <v>69</v>
      </c>
      <c r="L2893" t="s">
        <v>71</v>
      </c>
      <c r="M2893" t="s">
        <v>72</v>
      </c>
    </row>
    <row r="2894" spans="1:13">
      <c r="A2894" t="s">
        <v>126</v>
      </c>
      <c r="B2894" s="1">
        <v>44160.815138888887</v>
      </c>
      <c r="C2894" s="1">
        <v>44161.953912037039</v>
      </c>
      <c r="D2894" s="2">
        <f>MAX((TimeEntries668678[[#This Row],[End time]]-TimeEntries668678[[#This Row],[Start time]])*24,0)</f>
        <v>27.330555555643514</v>
      </c>
      <c r="F2894" s="54" t="s">
        <v>184</v>
      </c>
      <c r="G2894" s="22" t="s">
        <v>185</v>
      </c>
      <c r="I2894" t="s">
        <v>126</v>
      </c>
      <c r="J2894" s="15">
        <v>0.05</v>
      </c>
      <c r="K2894" s="2">
        <v>4.2197914123535156</v>
      </c>
      <c r="L2894" s="2">
        <f>SUM(TimeEntries668678[Time delta in h])</f>
        <v>27.330555555643514</v>
      </c>
      <c r="M2894" s="16">
        <f>Tabelle7367669679[[#This Row],[EBS self time]]/Tabelle7367669679[[#This Row],[Total time]]</f>
        <v>0.15439830353108819</v>
      </c>
    </row>
    <row r="2895" spans="1:13">
      <c r="B2895" s="1"/>
      <c r="C2895" s="1"/>
      <c r="D2895" s="2"/>
      <c r="I2895" t="s">
        <v>127</v>
      </c>
      <c r="J2895" s="15">
        <v>0.2</v>
      </c>
      <c r="K2895" s="2">
        <v>4.2197914123535156</v>
      </c>
      <c r="L2895" s="2">
        <f>SUM(TimeEntries668678[Time delta in h])</f>
        <v>27.330555555643514</v>
      </c>
      <c r="M2895" s="16">
        <f>Tabelle7367669679[[#This Row],[EBS self time]]/Tabelle7367669679[[#This Row],[Total time]]</f>
        <v>0.15439830353108819</v>
      </c>
    </row>
    <row r="2896" spans="1:13">
      <c r="I2896" t="s">
        <v>169</v>
      </c>
      <c r="J2896" s="15">
        <v>0.35</v>
      </c>
      <c r="K2896" s="2">
        <v>4.2197914123535156</v>
      </c>
      <c r="L2896" s="2">
        <f>SUM(TimeEntries668678[Time delta in h])</f>
        <v>27.330555555643514</v>
      </c>
      <c r="M2896" s="16">
        <f>Tabelle7367669679[[#This Row],[EBS self time]]/Tabelle7367669679[[#This Row],[Total time]]</f>
        <v>0.15439830353108819</v>
      </c>
    </row>
    <row r="2897" spans="1:13">
      <c r="I2897" t="s">
        <v>172</v>
      </c>
      <c r="J2897" s="15">
        <v>0.5</v>
      </c>
      <c r="K2897" s="2">
        <v>4.2197914123535156</v>
      </c>
      <c r="L2897" s="2">
        <f>SUM(TimeEntries668678[Time delta in h])</f>
        <v>27.330555555643514</v>
      </c>
      <c r="M2897" s="16">
        <f>Tabelle7367669679[[#This Row],[EBS self time]]/Tabelle7367669679[[#This Row],[Total time]]</f>
        <v>0.15439830353108819</v>
      </c>
    </row>
    <row r="2898" spans="1:13">
      <c r="I2898" t="s">
        <v>187</v>
      </c>
      <c r="J2898" s="15">
        <v>0.65</v>
      </c>
      <c r="K2898" s="2">
        <v>16.355780668036882</v>
      </c>
      <c r="L2898" s="2">
        <f>SUM(TimeEntries668678[Time delta in h])</f>
        <v>27.330555555643514</v>
      </c>
      <c r="M2898" s="16">
        <f>Tabelle7367669679[[#This Row],[EBS self time]]/Tabelle7367669679[[#This Row],[Total time]]</f>
        <v>0.59844303694220224</v>
      </c>
    </row>
    <row r="2899" spans="1:13">
      <c r="I2899" t="s">
        <v>192</v>
      </c>
      <c r="J2899" s="15">
        <v>0.8</v>
      </c>
      <c r="K2899" s="2">
        <v>16.355780668036882</v>
      </c>
      <c r="L2899" s="2">
        <f>SUM(TimeEntries668678[Time delta in h])</f>
        <v>27.330555555643514</v>
      </c>
      <c r="M2899" s="16">
        <f>Tabelle7367669679[[#This Row],[EBS self time]]/Tabelle7367669679[[#This Row],[Total time]]</f>
        <v>0.59844303694220224</v>
      </c>
    </row>
    <row r="2900" spans="1:13">
      <c r="I2900" t="s">
        <v>193</v>
      </c>
      <c r="J2900" s="15">
        <v>0.95</v>
      </c>
      <c r="K2900" s="2">
        <v>16.355780668036882</v>
      </c>
      <c r="L2900" s="2">
        <f>SUM(TimeEntries668678[Time delta in h])</f>
        <v>27.330555555643514</v>
      </c>
      <c r="M2900" s="16">
        <f>Tabelle7367669679[[#This Row],[EBS self time]]/Tabelle7367669679[[#This Row],[Total time]]</f>
        <v>0.59844303694220224</v>
      </c>
    </row>
    <row r="2902" spans="1:13">
      <c r="A2902" t="s">
        <v>189</v>
      </c>
      <c r="B2902" t="s">
        <v>555</v>
      </c>
      <c r="C2902" t="s">
        <v>190</v>
      </c>
      <c r="D2902">
        <v>23</v>
      </c>
      <c r="E2902" t="s">
        <v>191</v>
      </c>
      <c r="F2902">
        <v>13</v>
      </c>
    </row>
    <row r="2903" spans="1:13">
      <c r="A2903" s="4" t="s">
        <v>24</v>
      </c>
      <c r="I2903" t="s">
        <v>135</v>
      </c>
      <c r="J2903" t="s">
        <v>136</v>
      </c>
    </row>
    <row r="2904" spans="1:13">
      <c r="A2904" t="s">
        <v>3</v>
      </c>
      <c r="B2904" t="s">
        <v>557</v>
      </c>
    </row>
    <row r="2905" spans="1:13">
      <c r="A2905" t="s">
        <v>77</v>
      </c>
      <c r="B2905" s="2">
        <v>15.845520973205566</v>
      </c>
      <c r="C2905" t="s">
        <v>4</v>
      </c>
    </row>
    <row r="2906" spans="1:13">
      <c r="A2906" t="s">
        <v>0</v>
      </c>
      <c r="B2906" s="2">
        <f>SUM(TimeEntries670680[Time delta in h])</f>
        <v>30.662499999976717</v>
      </c>
      <c r="C2906" t="s">
        <v>4</v>
      </c>
    </row>
    <row r="2907" spans="1:13">
      <c r="A2907" t="s">
        <v>13</v>
      </c>
      <c r="B2907" s="5" t="s">
        <v>92</v>
      </c>
    </row>
    <row r="2908" spans="1:13">
      <c r="A2908" t="s">
        <v>14</v>
      </c>
      <c r="B2908" s="5" t="s">
        <v>18</v>
      </c>
    </row>
    <row r="2909" spans="1:13">
      <c r="A2909" t="s">
        <v>1</v>
      </c>
      <c r="B2909" t="s">
        <v>91</v>
      </c>
    </row>
    <row r="2910" spans="1:13">
      <c r="A2910" t="s">
        <v>15</v>
      </c>
      <c r="B2910" s="5" t="s">
        <v>92</v>
      </c>
    </row>
    <row r="2911" spans="1:13">
      <c r="A2911" t="s">
        <v>2</v>
      </c>
    </row>
    <row r="2912" spans="1:13">
      <c r="A2912" t="s">
        <v>46</v>
      </c>
      <c r="B2912" t="s">
        <v>555</v>
      </c>
    </row>
    <row r="2913" spans="1:13">
      <c r="A2913" t="s">
        <v>5</v>
      </c>
      <c r="B2913" s="2">
        <f>B2905/SUM(TimeEntries670680[Time delta in h])</f>
        <v>0.5167719844506351</v>
      </c>
      <c r="C2913" t="s">
        <v>6</v>
      </c>
    </row>
    <row r="2914" spans="1:13">
      <c r="A2914" t="s">
        <v>93</v>
      </c>
    </row>
    <row r="2915" spans="1:13">
      <c r="A2915" t="s">
        <v>94</v>
      </c>
    </row>
    <row r="2916" spans="1:13">
      <c r="A2916" t="s">
        <v>129</v>
      </c>
      <c r="B2916" s="1">
        <v>44161.953923611109</v>
      </c>
    </row>
    <row r="2918" spans="1:13">
      <c r="A2918" t="s">
        <v>10</v>
      </c>
      <c r="B2918" t="s">
        <v>7</v>
      </c>
      <c r="C2918" t="s">
        <v>8</v>
      </c>
      <c r="D2918" t="s">
        <v>9</v>
      </c>
      <c r="E2918" t="s">
        <v>134</v>
      </c>
      <c r="F2918" t="s">
        <v>84</v>
      </c>
      <c r="G2918" t="s">
        <v>85</v>
      </c>
      <c r="I2918" t="s">
        <v>70</v>
      </c>
      <c r="J2918" s="15" t="s">
        <v>68</v>
      </c>
      <c r="K2918" s="2" t="s">
        <v>69</v>
      </c>
      <c r="L2918" t="s">
        <v>71</v>
      </c>
      <c r="M2918" t="s">
        <v>72</v>
      </c>
    </row>
    <row r="2919" spans="1:13">
      <c r="A2919" t="s">
        <v>126</v>
      </c>
      <c r="B2919" s="1">
        <v>44160.676319444443</v>
      </c>
      <c r="C2919" s="1">
        <v>44161.953923611109</v>
      </c>
      <c r="D2919" s="2">
        <f>MAX((TimeEntries670680[[#This Row],[End time]]-TimeEntries670680[[#This Row],[Start time]])*24,0)</f>
        <v>30.662499999976717</v>
      </c>
      <c r="F2919" s="54" t="s">
        <v>184</v>
      </c>
      <c r="G2919" s="22" t="s">
        <v>185</v>
      </c>
      <c r="I2919" t="s">
        <v>126</v>
      </c>
      <c r="J2919" s="15">
        <v>0.05</v>
      </c>
      <c r="K2919" s="2">
        <v>7.9227604866027832</v>
      </c>
      <c r="L2919" s="2">
        <f>SUM(TimeEntries670680[Time delta in h])</f>
        <v>30.662499999976717</v>
      </c>
      <c r="M2919" s="16">
        <f>Tabelle7367671681[[#This Row],[EBS self time]]/Tabelle7367671681[[#This Row],[Total time]]</f>
        <v>0.25838599222531755</v>
      </c>
    </row>
    <row r="2920" spans="1:13">
      <c r="B2920" s="1"/>
      <c r="C2920" s="1"/>
      <c r="D2920" s="2"/>
      <c r="I2920" t="s">
        <v>127</v>
      </c>
      <c r="J2920" s="15">
        <v>0.2</v>
      </c>
      <c r="K2920" s="2">
        <v>7.9227604866027832</v>
      </c>
      <c r="L2920" s="2">
        <f>SUM(TimeEntries670680[Time delta in h])</f>
        <v>30.662499999976717</v>
      </c>
      <c r="M2920" s="16">
        <f>Tabelle7367671681[[#This Row],[EBS self time]]/Tabelle7367671681[[#This Row],[Total time]]</f>
        <v>0.25838599222531755</v>
      </c>
    </row>
    <row r="2921" spans="1:13">
      <c r="I2921" t="s">
        <v>169</v>
      </c>
      <c r="J2921" s="15">
        <v>0.35</v>
      </c>
      <c r="K2921" s="2">
        <v>7.9227604866027832</v>
      </c>
      <c r="L2921" s="2">
        <f>SUM(TimeEntries670680[Time delta in h])</f>
        <v>30.662499999976717</v>
      </c>
      <c r="M2921" s="16">
        <f>Tabelle7367671681[[#This Row],[EBS self time]]/Tabelle7367671681[[#This Row],[Total time]]</f>
        <v>0.25838599222531755</v>
      </c>
    </row>
    <row r="2922" spans="1:13">
      <c r="I2922" t="s">
        <v>172</v>
      </c>
      <c r="J2922" s="15">
        <v>0.5</v>
      </c>
      <c r="K2922" s="2">
        <v>7.9227604866027832</v>
      </c>
      <c r="L2922" s="2">
        <f>SUM(TimeEntries670680[Time delta in h])</f>
        <v>30.662499999976717</v>
      </c>
      <c r="M2922" s="16">
        <f>Tabelle7367671681[[#This Row],[EBS self time]]/Tabelle7367671681[[#This Row],[Total time]]</f>
        <v>0.25838599222531755</v>
      </c>
    </row>
    <row r="2923" spans="1:13">
      <c r="I2923" t="s">
        <v>187</v>
      </c>
      <c r="J2923" s="15">
        <v>0.65</v>
      </c>
      <c r="K2923" s="2">
        <v>30.708373979080555</v>
      </c>
      <c r="L2923" s="2">
        <f>SUM(TimeEntries670680[Time delta in h])</f>
        <v>30.662499999976717</v>
      </c>
      <c r="M2923" s="16">
        <f>Tabelle7367671681[[#This Row],[EBS self time]]/Tabelle7367671681[[#This Row],[Total time]]</f>
        <v>1.0014960938965796</v>
      </c>
    </row>
    <row r="2924" spans="1:13">
      <c r="I2924" t="s">
        <v>192</v>
      </c>
      <c r="J2924" s="15">
        <v>0.8</v>
      </c>
      <c r="K2924" s="2">
        <v>30.708373979080555</v>
      </c>
      <c r="L2924" s="2">
        <f>SUM(TimeEntries670680[Time delta in h])</f>
        <v>30.662499999976717</v>
      </c>
      <c r="M2924" s="16">
        <f>Tabelle7367671681[[#This Row],[EBS self time]]/Tabelle7367671681[[#This Row],[Total time]]</f>
        <v>1.0014960938965796</v>
      </c>
    </row>
    <row r="2925" spans="1:13">
      <c r="I2925" t="s">
        <v>193</v>
      </c>
      <c r="J2925" s="15">
        <v>0.95</v>
      </c>
      <c r="K2925" s="2">
        <v>30.708373979080555</v>
      </c>
      <c r="L2925" s="2">
        <f>SUM(TimeEntries670680[Time delta in h])</f>
        <v>30.662499999976717</v>
      </c>
      <c r="M2925" s="16">
        <f>Tabelle7367671681[[#This Row],[EBS self time]]/Tabelle7367671681[[#This Row],[Total time]]</f>
        <v>1.0014960938965796</v>
      </c>
    </row>
    <row r="2927" spans="1:13">
      <c r="A2927" t="s">
        <v>189</v>
      </c>
      <c r="B2927" t="s">
        <v>558</v>
      </c>
      <c r="C2927" t="s">
        <v>190</v>
      </c>
      <c r="D2927">
        <v>23</v>
      </c>
      <c r="E2927" t="s">
        <v>191</v>
      </c>
      <c r="F2927">
        <v>13</v>
      </c>
    </row>
    <row r="2928" spans="1:13">
      <c r="A2928" s="4" t="s">
        <v>24</v>
      </c>
      <c r="I2928" t="s">
        <v>135</v>
      </c>
      <c r="J2928" t="s">
        <v>136</v>
      </c>
    </row>
    <row r="2929" spans="1:13">
      <c r="A2929" t="s">
        <v>3</v>
      </c>
      <c r="B2929" t="s">
        <v>560</v>
      </c>
    </row>
    <row r="2930" spans="1:13">
      <c r="A2930" t="s">
        <v>77</v>
      </c>
      <c r="B2930" s="2">
        <v>6.5255260467529297</v>
      </c>
      <c r="C2930" t="s">
        <v>4</v>
      </c>
    </row>
    <row r="2931" spans="1:13">
      <c r="A2931" t="s">
        <v>0</v>
      </c>
      <c r="B2931" s="2">
        <f>SUM(TimeEntries672682[Time delta in h])</f>
        <v>20.764166666718666</v>
      </c>
      <c r="C2931" t="s">
        <v>4</v>
      </c>
    </row>
    <row r="2932" spans="1:13">
      <c r="A2932" t="s">
        <v>13</v>
      </c>
      <c r="B2932" s="5" t="s">
        <v>92</v>
      </c>
    </row>
    <row r="2933" spans="1:13">
      <c r="A2933" t="s">
        <v>14</v>
      </c>
      <c r="B2933" s="5" t="s">
        <v>18</v>
      </c>
    </row>
    <row r="2934" spans="1:13">
      <c r="A2934" t="s">
        <v>1</v>
      </c>
      <c r="B2934" t="s">
        <v>91</v>
      </c>
    </row>
    <row r="2935" spans="1:13">
      <c r="A2935" t="s">
        <v>15</v>
      </c>
      <c r="B2935" s="5" t="s">
        <v>92</v>
      </c>
    </row>
    <row r="2936" spans="1:13">
      <c r="A2936" t="s">
        <v>2</v>
      </c>
    </row>
    <row r="2937" spans="1:13">
      <c r="A2937" t="s">
        <v>46</v>
      </c>
      <c r="B2937" t="s">
        <v>558</v>
      </c>
    </row>
    <row r="2938" spans="1:13">
      <c r="A2938" t="s">
        <v>5</v>
      </c>
      <c r="B2938" s="2">
        <f>B2930/SUM(TimeEntries672682[Time delta in h])</f>
        <v>0.31426862206862405</v>
      </c>
      <c r="C2938" t="s">
        <v>6</v>
      </c>
    </row>
    <row r="2939" spans="1:13">
      <c r="A2939" t="s">
        <v>93</v>
      </c>
    </row>
    <row r="2940" spans="1:13">
      <c r="A2940" t="s">
        <v>94</v>
      </c>
    </row>
    <row r="2941" spans="1:13">
      <c r="A2941" t="s">
        <v>129</v>
      </c>
      <c r="B2941" s="1">
        <v>44161.953946759262</v>
      </c>
    </row>
    <row r="2943" spans="1:13">
      <c r="A2943" t="s">
        <v>10</v>
      </c>
      <c r="B2943" t="s">
        <v>7</v>
      </c>
      <c r="C2943" t="s">
        <v>8</v>
      </c>
      <c r="D2943" t="s">
        <v>9</v>
      </c>
      <c r="E2943" t="s">
        <v>134</v>
      </c>
      <c r="F2943" t="s">
        <v>84</v>
      </c>
      <c r="G2943" t="s">
        <v>85</v>
      </c>
      <c r="I2943" t="s">
        <v>70</v>
      </c>
      <c r="J2943" s="15" t="s">
        <v>68</v>
      </c>
      <c r="K2943" s="2" t="s">
        <v>69</v>
      </c>
      <c r="L2943" t="s">
        <v>71</v>
      </c>
      <c r="M2943" t="s">
        <v>72</v>
      </c>
    </row>
    <row r="2944" spans="1:13">
      <c r="A2944" t="s">
        <v>126</v>
      </c>
      <c r="B2944" s="1">
        <v>44161.088773148149</v>
      </c>
      <c r="C2944" s="1">
        <v>44161.953946759262</v>
      </c>
      <c r="D2944" s="2">
        <f>MAX((TimeEntries672682[[#This Row],[End time]]-TimeEntries672682[[#This Row],[Start time]])*24,0)</f>
        <v>20.764166666718666</v>
      </c>
      <c r="F2944" s="54" t="s">
        <v>184</v>
      </c>
      <c r="G2944" s="22" t="s">
        <v>185</v>
      </c>
      <c r="I2944" t="s">
        <v>126</v>
      </c>
      <c r="J2944" s="15">
        <v>0.05</v>
      </c>
      <c r="K2944" s="2">
        <v>3.2627630233764648</v>
      </c>
      <c r="L2944" s="2">
        <f>SUM(TimeEntries672682[Time delta in h])</f>
        <v>20.764166666718666</v>
      </c>
      <c r="M2944" s="16">
        <f>Tabelle7367673683[[#This Row],[EBS self time]]/Tabelle7367673683[[#This Row],[Total time]]</f>
        <v>0.15713431103431202</v>
      </c>
    </row>
    <row r="2945" spans="1:13">
      <c r="B2945" s="1"/>
      <c r="C2945" s="1"/>
      <c r="D2945" s="2"/>
      <c r="I2945" t="s">
        <v>127</v>
      </c>
      <c r="J2945" s="15">
        <v>0.2</v>
      </c>
      <c r="K2945" s="2">
        <v>3.2627630233764648</v>
      </c>
      <c r="L2945" s="2">
        <f>SUM(TimeEntries672682[Time delta in h])</f>
        <v>20.764166666718666</v>
      </c>
      <c r="M2945" s="16">
        <f>Tabelle7367673683[[#This Row],[EBS self time]]/Tabelle7367673683[[#This Row],[Total time]]</f>
        <v>0.15713431103431202</v>
      </c>
    </row>
    <row r="2946" spans="1:13">
      <c r="I2946" t="s">
        <v>169</v>
      </c>
      <c r="J2946" s="15">
        <v>0.35</v>
      </c>
      <c r="K2946" s="2">
        <v>3.2627630233764648</v>
      </c>
      <c r="L2946" s="2">
        <f>SUM(TimeEntries672682[Time delta in h])</f>
        <v>20.764166666718666</v>
      </c>
      <c r="M2946" s="16">
        <f>Tabelle7367673683[[#This Row],[EBS self time]]/Tabelle7367673683[[#This Row],[Total time]]</f>
        <v>0.15713431103431202</v>
      </c>
    </row>
    <row r="2947" spans="1:13">
      <c r="I2947" t="s">
        <v>172</v>
      </c>
      <c r="J2947" s="15">
        <v>0.5</v>
      </c>
      <c r="K2947" s="2">
        <v>3.2627630233764648</v>
      </c>
      <c r="L2947" s="2">
        <f>SUM(TimeEntries672682[Time delta in h])</f>
        <v>20.764166666718666</v>
      </c>
      <c r="M2947" s="16">
        <f>Tabelle7367673683[[#This Row],[EBS self time]]/Tabelle7367673683[[#This Row],[Total time]]</f>
        <v>0.15713431103431202</v>
      </c>
    </row>
    <row r="2948" spans="1:13">
      <c r="I2948" t="s">
        <v>187</v>
      </c>
      <c r="J2948" s="15">
        <v>0.65</v>
      </c>
      <c r="K2948" s="2">
        <v>12.646368307660715</v>
      </c>
      <c r="L2948" s="2">
        <f>SUM(TimeEntries672682[Time delta in h])</f>
        <v>20.764166666718666</v>
      </c>
      <c r="M2948" s="16">
        <f>Tabelle7367673683[[#This Row],[EBS self time]]/Tabelle7367673683[[#This Row],[Total time]]</f>
        <v>0.60904771718725592</v>
      </c>
    </row>
    <row r="2949" spans="1:13">
      <c r="I2949" t="s">
        <v>192</v>
      </c>
      <c r="J2949" s="15">
        <v>0.8</v>
      </c>
      <c r="K2949" s="2">
        <v>12.646368307660715</v>
      </c>
      <c r="L2949" s="2">
        <f>SUM(TimeEntries672682[Time delta in h])</f>
        <v>20.764166666718666</v>
      </c>
      <c r="M2949" s="16">
        <f>Tabelle7367673683[[#This Row],[EBS self time]]/Tabelle7367673683[[#This Row],[Total time]]</f>
        <v>0.60904771718725592</v>
      </c>
    </row>
    <row r="2950" spans="1:13">
      <c r="I2950" t="s">
        <v>193</v>
      </c>
      <c r="J2950" s="15">
        <v>0.95</v>
      </c>
      <c r="K2950" s="2">
        <v>12.646368307660715</v>
      </c>
      <c r="L2950" s="2">
        <f>SUM(TimeEntries672682[Time delta in h])</f>
        <v>20.764166666718666</v>
      </c>
      <c r="M2950" s="16">
        <f>Tabelle7367673683[[#This Row],[EBS self time]]/Tabelle7367673683[[#This Row],[Total time]]</f>
        <v>0.60904771718725592</v>
      </c>
    </row>
    <row r="2952" spans="1:13">
      <c r="A2952" t="s">
        <v>189</v>
      </c>
      <c r="B2952" t="s">
        <v>561</v>
      </c>
      <c r="C2952" t="s">
        <v>190</v>
      </c>
      <c r="D2952">
        <v>18</v>
      </c>
      <c r="E2952" t="s">
        <v>191</v>
      </c>
      <c r="F2952">
        <v>13</v>
      </c>
    </row>
    <row r="2953" spans="1:13">
      <c r="A2953" s="4" t="s">
        <v>24</v>
      </c>
      <c r="I2953" t="s">
        <v>135</v>
      </c>
      <c r="J2953" t="s">
        <v>136</v>
      </c>
    </row>
    <row r="2954" spans="1:13">
      <c r="A2954" t="s">
        <v>3</v>
      </c>
      <c r="B2954" t="s">
        <v>563</v>
      </c>
    </row>
    <row r="2955" spans="1:13">
      <c r="A2955" t="s">
        <v>77</v>
      </c>
      <c r="B2955" s="2" t="s">
        <v>92</v>
      </c>
      <c r="C2955" t="s">
        <v>4</v>
      </c>
    </row>
    <row r="2956" spans="1:13">
      <c r="A2956" t="s">
        <v>0</v>
      </c>
      <c r="B2956" s="2">
        <f>SUM(TimeEntries674684688698[Time delta in h])</f>
        <v>13.0075000001234</v>
      </c>
      <c r="C2956" t="s">
        <v>4</v>
      </c>
    </row>
    <row r="2957" spans="1:13">
      <c r="A2957" t="s">
        <v>13</v>
      </c>
      <c r="B2957" s="5" t="s">
        <v>92</v>
      </c>
    </row>
    <row r="2958" spans="1:13">
      <c r="A2958" t="s">
        <v>14</v>
      </c>
      <c r="B2958" s="5" t="s">
        <v>18</v>
      </c>
    </row>
    <row r="2959" spans="1:13">
      <c r="A2959" t="s">
        <v>1</v>
      </c>
      <c r="B2959" t="s">
        <v>91</v>
      </c>
    </row>
    <row r="2960" spans="1:13">
      <c r="A2960" t="s">
        <v>15</v>
      </c>
      <c r="B2960" s="5" t="s">
        <v>92</v>
      </c>
    </row>
    <row r="2961" spans="1:13">
      <c r="A2961" t="s">
        <v>2</v>
      </c>
    </row>
    <row r="2962" spans="1:13">
      <c r="A2962" t="s">
        <v>46</v>
      </c>
      <c r="B2962" t="s">
        <v>561</v>
      </c>
    </row>
    <row r="2963" spans="1:13">
      <c r="A2963" t="s">
        <v>5</v>
      </c>
      <c r="B2963" s="2" t="e">
        <f>B2955/SUM(TimeEntries674684688698[Time delta in h])</f>
        <v>#VALUE!</v>
      </c>
      <c r="C2963" t="s">
        <v>6</v>
      </c>
    </row>
    <row r="2964" spans="1:13">
      <c r="A2964" t="s">
        <v>93</v>
      </c>
    </row>
    <row r="2965" spans="1:13">
      <c r="A2965" t="s">
        <v>94</v>
      </c>
    </row>
    <row r="2966" spans="1:13">
      <c r="A2966" t="s">
        <v>129</v>
      </c>
      <c r="B2966" s="1">
        <v>44161.953958333332</v>
      </c>
    </row>
    <row r="2968" spans="1:13">
      <c r="A2968" t="s">
        <v>10</v>
      </c>
      <c r="B2968" t="s">
        <v>7</v>
      </c>
      <c r="C2968" t="s">
        <v>8</v>
      </c>
      <c r="D2968" t="s">
        <v>9</v>
      </c>
      <c r="E2968" t="s">
        <v>134</v>
      </c>
      <c r="F2968" t="s">
        <v>84</v>
      </c>
      <c r="G2968" t="s">
        <v>85</v>
      </c>
      <c r="I2968" t="s">
        <v>70</v>
      </c>
      <c r="J2968" s="15" t="s">
        <v>68</v>
      </c>
      <c r="K2968" s="2" t="s">
        <v>69</v>
      </c>
      <c r="L2968" t="s">
        <v>71</v>
      </c>
      <c r="M2968" t="s">
        <v>72</v>
      </c>
    </row>
    <row r="2969" spans="1:13">
      <c r="A2969" t="s">
        <v>126</v>
      </c>
      <c r="B2969" s="1">
        <v>44161.412060185183</v>
      </c>
      <c r="C2969" s="1">
        <v>44161.954039351855</v>
      </c>
      <c r="D2969" s="2">
        <f>MAX((TimeEntries674684688698[[#This Row],[End time]]-TimeEntries674684688698[[#This Row],[Start time]])*24,0)</f>
        <v>13.0075000001234</v>
      </c>
      <c r="F2969" s="54" t="s">
        <v>184</v>
      </c>
      <c r="G2969" s="22" t="s">
        <v>185</v>
      </c>
      <c r="J2969" s="15"/>
      <c r="K2969" s="2"/>
      <c r="L2969" s="2">
        <f>SUM(TimeEntries674684688698[Time delta in h])</f>
        <v>13.0075000001234</v>
      </c>
      <c r="M2969" s="16">
        <f>Tabelle7367675685689699[[#This Row],[EBS self time]]/Tabelle7367675685689699[[#This Row],[Total time]]</f>
        <v>0</v>
      </c>
    </row>
    <row r="2970" spans="1:13">
      <c r="B2970" s="1"/>
      <c r="C2970" s="1"/>
      <c r="D2970" s="2"/>
    </row>
    <row r="2972" spans="1:13">
      <c r="A2972" t="s">
        <v>189</v>
      </c>
      <c r="B2972" t="s">
        <v>564</v>
      </c>
      <c r="C2972" t="s">
        <v>190</v>
      </c>
      <c r="D2972">
        <v>23</v>
      </c>
      <c r="E2972" t="s">
        <v>191</v>
      </c>
      <c r="F2972">
        <v>13</v>
      </c>
    </row>
    <row r="2973" spans="1:13">
      <c r="A2973" s="4" t="s">
        <v>24</v>
      </c>
      <c r="I2973" t="s">
        <v>135</v>
      </c>
      <c r="J2973" t="s">
        <v>136</v>
      </c>
    </row>
    <row r="2974" spans="1:13">
      <c r="A2974" t="s">
        <v>3</v>
      </c>
      <c r="B2974" t="s">
        <v>566</v>
      </c>
    </row>
    <row r="2975" spans="1:13">
      <c r="A2975" t="s">
        <v>77</v>
      </c>
      <c r="B2975" s="2">
        <v>5.1830930709838867</v>
      </c>
      <c r="C2975" t="s">
        <v>4</v>
      </c>
    </row>
    <row r="2976" spans="1:13">
      <c r="A2976" t="s">
        <v>0</v>
      </c>
      <c r="B2976" s="2">
        <f>SUM(TimeEntries690700[Time delta in h])</f>
        <v>4.7972222222015262</v>
      </c>
      <c r="C2976" t="s">
        <v>4</v>
      </c>
    </row>
    <row r="2977" spans="1:13">
      <c r="A2977" t="s">
        <v>13</v>
      </c>
      <c r="B2977" s="5" t="s">
        <v>92</v>
      </c>
    </row>
    <row r="2978" spans="1:13">
      <c r="A2978" t="s">
        <v>14</v>
      </c>
      <c r="B2978" s="5" t="s">
        <v>18</v>
      </c>
    </row>
    <row r="2979" spans="1:13">
      <c r="A2979" t="s">
        <v>1</v>
      </c>
      <c r="B2979" t="s">
        <v>131</v>
      </c>
    </row>
    <row r="2980" spans="1:13">
      <c r="A2980" t="s">
        <v>15</v>
      </c>
      <c r="B2980" s="5">
        <v>44161.954050925924</v>
      </c>
    </row>
    <row r="2981" spans="1:13">
      <c r="A2981" t="s">
        <v>2</v>
      </c>
    </row>
    <row r="2982" spans="1:13">
      <c r="A2982" t="s">
        <v>46</v>
      </c>
      <c r="B2982" t="s">
        <v>564</v>
      </c>
    </row>
    <row r="2983" spans="1:13">
      <c r="A2983" t="s">
        <v>5</v>
      </c>
      <c r="B2983" s="2">
        <f>B2975/SUM(TimeEntries690700[Time delta in h])</f>
        <v>1.0804363089532421</v>
      </c>
      <c r="C2983" t="s">
        <v>6</v>
      </c>
    </row>
    <row r="2984" spans="1:13">
      <c r="A2984" t="s">
        <v>93</v>
      </c>
    </row>
    <row r="2985" spans="1:13">
      <c r="A2985" t="s">
        <v>94</v>
      </c>
    </row>
    <row r="2986" spans="1:13">
      <c r="A2986" t="s">
        <v>129</v>
      </c>
      <c r="B2986" s="1">
        <v>44161.954050925924</v>
      </c>
    </row>
    <row r="2988" spans="1:13">
      <c r="A2988" t="s">
        <v>10</v>
      </c>
      <c r="B2988" t="s">
        <v>7</v>
      </c>
      <c r="C2988" t="s">
        <v>8</v>
      </c>
      <c r="D2988" t="s">
        <v>9</v>
      </c>
      <c r="E2988" t="s">
        <v>134</v>
      </c>
      <c r="F2988" t="s">
        <v>84</v>
      </c>
      <c r="G2988" t="s">
        <v>85</v>
      </c>
      <c r="I2988" t="s">
        <v>70</v>
      </c>
      <c r="J2988" s="15" t="s">
        <v>68</v>
      </c>
      <c r="K2988" s="2" t="s">
        <v>69</v>
      </c>
      <c r="L2988" t="s">
        <v>71</v>
      </c>
      <c r="M2988" t="s">
        <v>72</v>
      </c>
    </row>
    <row r="2989" spans="1:13">
      <c r="A2989" t="s">
        <v>126</v>
      </c>
      <c r="B2989" s="1">
        <v>44161.754166666666</v>
      </c>
      <c r="C2989" s="1">
        <v>44161.954050925924</v>
      </c>
      <c r="D2989" s="2">
        <f>MAX((TimeEntries690700[[#This Row],[End time]]-TimeEntries690700[[#This Row],[Start time]])*24,0)</f>
        <v>4.7972222222015262</v>
      </c>
      <c r="F2989" s="54" t="s">
        <v>184</v>
      </c>
      <c r="G2989" s="22" t="s">
        <v>185</v>
      </c>
      <c r="I2989" t="s">
        <v>126</v>
      </c>
      <c r="J2989" s="15">
        <v>0.05</v>
      </c>
      <c r="K2989" s="2">
        <v>2.5915465354919434</v>
      </c>
      <c r="L2989" s="2">
        <f>SUM(TimeEntries690700[Time delta in h])</f>
        <v>4.7972222222015262</v>
      </c>
      <c r="M2989" s="16">
        <f>Tabelle7367691701[[#This Row],[EBS self time]]/Tabelle7367691701[[#This Row],[Total time]]</f>
        <v>0.54021815447662103</v>
      </c>
    </row>
    <row r="2990" spans="1:13">
      <c r="B2990" s="1"/>
      <c r="C2990" s="1"/>
      <c r="D2990" s="2"/>
      <c r="I2990" t="s">
        <v>127</v>
      </c>
      <c r="J2990" s="15">
        <v>0.2</v>
      </c>
      <c r="K2990" s="2">
        <v>2.5915465354919434</v>
      </c>
      <c r="L2990" s="2">
        <f>SUM(TimeEntries690700[Time delta in h])</f>
        <v>4.7972222222015262</v>
      </c>
      <c r="M2990" s="16">
        <f>Tabelle7367691701[[#This Row],[EBS self time]]/Tabelle7367691701[[#This Row],[Total time]]</f>
        <v>0.54021815447662103</v>
      </c>
    </row>
    <row r="2991" spans="1:13">
      <c r="I2991" t="s">
        <v>169</v>
      </c>
      <c r="J2991" s="15">
        <v>0.35</v>
      </c>
      <c r="K2991" s="2">
        <v>2.5915465354919434</v>
      </c>
      <c r="L2991" s="2">
        <f>SUM(TimeEntries690700[Time delta in h])</f>
        <v>4.7972222222015262</v>
      </c>
      <c r="M2991" s="16">
        <f>Tabelle7367691701[[#This Row],[EBS self time]]/Tabelle7367691701[[#This Row],[Total time]]</f>
        <v>0.54021815447662103</v>
      </c>
    </row>
    <row r="2992" spans="1:13">
      <c r="I2992" t="s">
        <v>172</v>
      </c>
      <c r="J2992" s="15">
        <v>0.5</v>
      </c>
      <c r="K2992" s="2">
        <v>2.5915465354919434</v>
      </c>
      <c r="L2992" s="2">
        <f>SUM(TimeEntries690700[Time delta in h])</f>
        <v>4.7972222222015262</v>
      </c>
      <c r="M2992" s="16">
        <f>Tabelle7367691701[[#This Row],[EBS self time]]/Tabelle7367691701[[#This Row],[Total time]]</f>
        <v>0.54021815447662103</v>
      </c>
    </row>
    <row r="2993" spans="1:13">
      <c r="I2993" t="s">
        <v>187</v>
      </c>
      <c r="J2993" s="15">
        <v>0.65</v>
      </c>
      <c r="K2993" s="2">
        <v>10.044754013534664</v>
      </c>
      <c r="L2993" s="2">
        <f>SUM(TimeEntries690700[Time delta in h])</f>
        <v>4.7972222222015262</v>
      </c>
      <c r="M2993" s="16">
        <f>Tabelle7367691701[[#This Row],[EBS self time]]/Tabelle7367691701[[#This Row],[Total time]]</f>
        <v>2.0938688158008567</v>
      </c>
    </row>
    <row r="2994" spans="1:13">
      <c r="I2994" t="s">
        <v>192</v>
      </c>
      <c r="J2994" s="15">
        <v>0.8</v>
      </c>
      <c r="K2994" s="2">
        <v>10.044754013534664</v>
      </c>
      <c r="L2994" s="2">
        <f>SUM(TimeEntries690700[Time delta in h])</f>
        <v>4.7972222222015262</v>
      </c>
      <c r="M2994" s="16">
        <f>Tabelle7367691701[[#This Row],[EBS self time]]/Tabelle7367691701[[#This Row],[Total time]]</f>
        <v>2.0938688158008567</v>
      </c>
    </row>
    <row r="2995" spans="1:13">
      <c r="I2995" t="s">
        <v>193</v>
      </c>
      <c r="J2995" s="15">
        <v>0.95</v>
      </c>
      <c r="K2995" s="2">
        <v>10.044754013534664</v>
      </c>
      <c r="L2995" s="2">
        <f>SUM(TimeEntries690700[Time delta in h])</f>
        <v>4.7972222222015262</v>
      </c>
      <c r="M2995" s="16">
        <f>Tabelle7367691701[[#This Row],[EBS self time]]/Tabelle7367691701[[#This Row],[Total time]]</f>
        <v>2.0938688158008567</v>
      </c>
    </row>
    <row r="2997" spans="1:13">
      <c r="A2997" t="s">
        <v>189</v>
      </c>
      <c r="B2997" t="s">
        <v>567</v>
      </c>
      <c r="C2997" t="s">
        <v>190</v>
      </c>
      <c r="D2997">
        <v>23</v>
      </c>
      <c r="E2997" t="s">
        <v>191</v>
      </c>
      <c r="F2997">
        <v>13</v>
      </c>
    </row>
    <row r="2998" spans="1:13">
      <c r="A2998" s="4" t="s">
        <v>24</v>
      </c>
      <c r="I2998" t="s">
        <v>135</v>
      </c>
      <c r="J2998" t="s">
        <v>136</v>
      </c>
    </row>
    <row r="2999" spans="1:13">
      <c r="A2999" t="s">
        <v>3</v>
      </c>
      <c r="B2999" t="s">
        <v>569</v>
      </c>
    </row>
    <row r="3000" spans="1:13">
      <c r="A3000" t="s">
        <v>77</v>
      </c>
      <c r="B3000" s="2">
        <v>12.574073791503906</v>
      </c>
      <c r="C3000" t="s">
        <v>4</v>
      </c>
    </row>
    <row r="3001" spans="1:13">
      <c r="A3001" t="s">
        <v>0</v>
      </c>
      <c r="B3001" s="2">
        <f>SUM(TimeEntries692702[Time delta in h])</f>
        <v>24.961111111217178</v>
      </c>
      <c r="C3001" t="s">
        <v>4</v>
      </c>
    </row>
    <row r="3002" spans="1:13">
      <c r="A3002" t="s">
        <v>13</v>
      </c>
      <c r="B3002" s="5" t="s">
        <v>92</v>
      </c>
    </row>
    <row r="3003" spans="1:13">
      <c r="A3003" t="s">
        <v>14</v>
      </c>
      <c r="B3003" s="5" t="s">
        <v>18</v>
      </c>
    </row>
    <row r="3004" spans="1:13">
      <c r="A3004" t="s">
        <v>1</v>
      </c>
      <c r="B3004" t="s">
        <v>131</v>
      </c>
    </row>
    <row r="3005" spans="1:13">
      <c r="A3005" t="s">
        <v>15</v>
      </c>
      <c r="B3005" s="5">
        <v>44161.954074074078</v>
      </c>
    </row>
    <row r="3006" spans="1:13">
      <c r="A3006" t="s">
        <v>2</v>
      </c>
    </row>
    <row r="3007" spans="1:13">
      <c r="A3007" t="s">
        <v>46</v>
      </c>
      <c r="B3007" t="s">
        <v>567</v>
      </c>
    </row>
    <row r="3008" spans="1:13">
      <c r="A3008" t="s">
        <v>5</v>
      </c>
      <c r="B3008" s="2">
        <f>B3000/SUM(TimeEntries692702[Time delta in h])</f>
        <v>0.50374655741399632</v>
      </c>
      <c r="C3008" t="s">
        <v>6</v>
      </c>
    </row>
    <row r="3009" spans="1:13">
      <c r="A3009" t="s">
        <v>93</v>
      </c>
    </row>
    <row r="3010" spans="1:13">
      <c r="A3010" t="s">
        <v>94</v>
      </c>
    </row>
    <row r="3011" spans="1:13">
      <c r="A3011" t="s">
        <v>129</v>
      </c>
      <c r="B3011" s="1">
        <v>44161.954062500001</v>
      </c>
    </row>
    <row r="3013" spans="1:13">
      <c r="A3013" t="s">
        <v>10</v>
      </c>
      <c r="B3013" t="s">
        <v>7</v>
      </c>
      <c r="C3013" t="s">
        <v>8</v>
      </c>
      <c r="D3013" t="s">
        <v>9</v>
      </c>
      <c r="E3013" t="s">
        <v>134</v>
      </c>
      <c r="F3013" t="s">
        <v>84</v>
      </c>
      <c r="G3013" t="s">
        <v>85</v>
      </c>
      <c r="I3013" t="s">
        <v>70</v>
      </c>
      <c r="J3013" s="15" t="s">
        <v>68</v>
      </c>
      <c r="K3013" s="2" t="s">
        <v>69</v>
      </c>
      <c r="L3013" t="s">
        <v>71</v>
      </c>
      <c r="M3013" t="s">
        <v>72</v>
      </c>
    </row>
    <row r="3014" spans="1:13">
      <c r="A3014" t="s">
        <v>126</v>
      </c>
      <c r="B3014" s="1">
        <v>44160.914027777777</v>
      </c>
      <c r="C3014" s="1">
        <v>44161.954074074078</v>
      </c>
      <c r="D3014" s="2">
        <f>MAX((TimeEntries692702[[#This Row],[End time]]-TimeEntries692702[[#This Row],[Start time]])*24,0)</f>
        <v>24.961111111217178</v>
      </c>
      <c r="F3014" s="54" t="s">
        <v>184</v>
      </c>
      <c r="G3014" s="22" t="s">
        <v>185</v>
      </c>
      <c r="I3014" t="s">
        <v>126</v>
      </c>
      <c r="J3014" s="15">
        <v>0.05</v>
      </c>
      <c r="K3014" s="2">
        <v>6.2870368957519531</v>
      </c>
      <c r="L3014" s="2">
        <f>SUM(TimeEntries692702[Time delta in h])</f>
        <v>24.961111111217178</v>
      </c>
      <c r="M3014" s="16">
        <f>Tabelle7367693703[[#This Row],[EBS self time]]/Tabelle7367693703[[#This Row],[Total time]]</f>
        <v>0.25187327870699816</v>
      </c>
    </row>
    <row r="3015" spans="1:13">
      <c r="B3015" s="1"/>
      <c r="C3015" s="1"/>
      <c r="D3015" s="2"/>
      <c r="I3015" t="s">
        <v>127</v>
      </c>
      <c r="J3015" s="15">
        <v>0.2</v>
      </c>
      <c r="K3015" s="2">
        <v>6.2870368957519531</v>
      </c>
      <c r="L3015" s="2">
        <f>SUM(TimeEntries692702[Time delta in h])</f>
        <v>24.961111111217178</v>
      </c>
      <c r="M3015" s="16">
        <f>Tabelle7367693703[[#This Row],[EBS self time]]/Tabelle7367693703[[#This Row],[Total time]]</f>
        <v>0.25187327870699816</v>
      </c>
    </row>
    <row r="3016" spans="1:13">
      <c r="I3016" t="s">
        <v>169</v>
      </c>
      <c r="J3016" s="15">
        <v>0.35</v>
      </c>
      <c r="K3016" s="2">
        <v>6.2870368957519531</v>
      </c>
      <c r="L3016" s="2">
        <f>SUM(TimeEntries692702[Time delta in h])</f>
        <v>24.961111111217178</v>
      </c>
      <c r="M3016" s="16">
        <f>Tabelle7367693703[[#This Row],[EBS self time]]/Tabelle7367693703[[#This Row],[Total time]]</f>
        <v>0.25187327870699816</v>
      </c>
    </row>
    <row r="3017" spans="1:13">
      <c r="I3017" t="s">
        <v>172</v>
      </c>
      <c r="J3017" s="15">
        <v>0.5</v>
      </c>
      <c r="K3017" s="2">
        <v>6.2870368957519531</v>
      </c>
      <c r="L3017" s="2">
        <f>SUM(TimeEntries692702[Time delta in h])</f>
        <v>24.961111111217178</v>
      </c>
      <c r="M3017" s="16">
        <f>Tabelle7367693703[[#This Row],[EBS self time]]/Tabelle7367693703[[#This Row],[Total time]]</f>
        <v>0.25187327870699816</v>
      </c>
    </row>
    <row r="3018" spans="1:13">
      <c r="I3018" t="s">
        <v>187</v>
      </c>
      <c r="J3018" s="15">
        <v>0.65</v>
      </c>
      <c r="K3018" s="2">
        <v>24.36836006105408</v>
      </c>
      <c r="L3018" s="2">
        <f>SUM(TimeEntries692702[Time delta in h])</f>
        <v>24.961111111217178</v>
      </c>
      <c r="M3018" s="16">
        <f>Tabelle7367693703[[#This Row],[EBS self time]]/Tabelle7367693703[[#This Row],[Total time]]</f>
        <v>0.97625301824417887</v>
      </c>
    </row>
    <row r="3019" spans="1:13">
      <c r="I3019" t="s">
        <v>192</v>
      </c>
      <c r="J3019" s="15">
        <v>0.8</v>
      </c>
      <c r="K3019" s="2">
        <v>24.36836006105408</v>
      </c>
      <c r="L3019" s="2">
        <f>SUM(TimeEntries692702[Time delta in h])</f>
        <v>24.961111111217178</v>
      </c>
      <c r="M3019" s="16">
        <f>Tabelle7367693703[[#This Row],[EBS self time]]/Tabelle7367693703[[#This Row],[Total time]]</f>
        <v>0.97625301824417887</v>
      </c>
    </row>
    <row r="3020" spans="1:13">
      <c r="I3020" t="s">
        <v>193</v>
      </c>
      <c r="J3020" s="15">
        <v>0.95</v>
      </c>
      <c r="K3020" s="2">
        <v>24.36836006105408</v>
      </c>
      <c r="L3020" s="2">
        <f>SUM(TimeEntries692702[Time delta in h])</f>
        <v>24.961111111217178</v>
      </c>
      <c r="M3020" s="16">
        <f>Tabelle7367693703[[#This Row],[EBS self time]]/Tabelle7367693703[[#This Row],[Total time]]</f>
        <v>0.97625301824417887</v>
      </c>
    </row>
    <row r="3022" spans="1:13">
      <c r="A3022" t="s">
        <v>189</v>
      </c>
      <c r="B3022" t="s">
        <v>570</v>
      </c>
      <c r="C3022" t="s">
        <v>190</v>
      </c>
      <c r="D3022">
        <v>23</v>
      </c>
      <c r="E3022" t="s">
        <v>191</v>
      </c>
      <c r="F3022">
        <v>13</v>
      </c>
    </row>
    <row r="3023" spans="1:13">
      <c r="A3023" s="4" t="s">
        <v>24</v>
      </c>
      <c r="I3023" t="s">
        <v>135</v>
      </c>
      <c r="J3023" t="s">
        <v>136</v>
      </c>
    </row>
    <row r="3024" spans="1:13">
      <c r="A3024" t="s">
        <v>3</v>
      </c>
      <c r="B3024" t="s">
        <v>572</v>
      </c>
    </row>
    <row r="3025" spans="1:13">
      <c r="A3025" t="s">
        <v>77</v>
      </c>
      <c r="B3025" s="2">
        <v>15.708405494689941</v>
      </c>
      <c r="C3025" t="s">
        <v>4</v>
      </c>
    </row>
    <row r="3026" spans="1:13">
      <c r="A3026" t="s">
        <v>0</v>
      </c>
      <c r="B3026" s="2">
        <f>SUM(TimeEntries694704[Time delta in h])</f>
        <v>21.672777777712326</v>
      </c>
      <c r="C3026" t="s">
        <v>4</v>
      </c>
    </row>
    <row r="3027" spans="1:13">
      <c r="A3027" t="s">
        <v>13</v>
      </c>
      <c r="B3027" s="5" t="s">
        <v>92</v>
      </c>
    </row>
    <row r="3028" spans="1:13">
      <c r="A3028" t="s">
        <v>14</v>
      </c>
      <c r="B3028" s="5" t="s">
        <v>18</v>
      </c>
    </row>
    <row r="3029" spans="1:13">
      <c r="A3029" t="s">
        <v>1</v>
      </c>
      <c r="B3029" t="s">
        <v>91</v>
      </c>
    </row>
    <row r="3030" spans="1:13">
      <c r="A3030" t="s">
        <v>15</v>
      </c>
      <c r="B3030" s="5" t="s">
        <v>92</v>
      </c>
    </row>
    <row r="3031" spans="1:13">
      <c r="A3031" t="s">
        <v>2</v>
      </c>
    </row>
    <row r="3032" spans="1:13">
      <c r="A3032" t="s">
        <v>46</v>
      </c>
      <c r="B3032" t="s">
        <v>570</v>
      </c>
    </row>
    <row r="3033" spans="1:13">
      <c r="A3033" t="s">
        <v>5</v>
      </c>
      <c r="B3033" s="2">
        <f>B3025/SUM(TimeEntries694704[Time delta in h])</f>
        <v>0.72479890006734726</v>
      </c>
      <c r="C3033" t="s">
        <v>6</v>
      </c>
    </row>
    <row r="3034" spans="1:13">
      <c r="A3034" t="s">
        <v>93</v>
      </c>
    </row>
    <row r="3035" spans="1:13">
      <c r="A3035" t="s">
        <v>94</v>
      </c>
    </row>
    <row r="3036" spans="1:13">
      <c r="A3036" t="s">
        <v>129</v>
      </c>
      <c r="B3036" s="1">
        <v>44161.954085648147</v>
      </c>
    </row>
    <row r="3038" spans="1:13">
      <c r="A3038" t="s">
        <v>10</v>
      </c>
      <c r="B3038" t="s">
        <v>7</v>
      </c>
      <c r="C3038" t="s">
        <v>8</v>
      </c>
      <c r="D3038" t="s">
        <v>9</v>
      </c>
      <c r="E3038" t="s">
        <v>134</v>
      </c>
      <c r="F3038" t="s">
        <v>84</v>
      </c>
      <c r="G3038" t="s">
        <v>85</v>
      </c>
      <c r="I3038" t="s">
        <v>70</v>
      </c>
      <c r="J3038" s="15" t="s">
        <v>68</v>
      </c>
      <c r="K3038" s="2" t="s">
        <v>69</v>
      </c>
      <c r="L3038" t="s">
        <v>71</v>
      </c>
      <c r="M3038" t="s">
        <v>72</v>
      </c>
    </row>
    <row r="3039" spans="1:13">
      <c r="A3039" t="s">
        <v>126</v>
      </c>
      <c r="B3039" s="1">
        <v>44161.051053240742</v>
      </c>
      <c r="C3039" s="1">
        <v>44161.954085648147</v>
      </c>
      <c r="D3039" s="2">
        <f>MAX((TimeEntries694704[[#This Row],[End time]]-TimeEntries694704[[#This Row],[Start time]])*24,0)</f>
        <v>21.672777777712326</v>
      </c>
      <c r="F3039" s="54" t="s">
        <v>184</v>
      </c>
      <c r="G3039" s="22" t="s">
        <v>185</v>
      </c>
      <c r="I3039" t="s">
        <v>126</v>
      </c>
      <c r="J3039" s="15">
        <v>0.05</v>
      </c>
      <c r="K3039" s="2">
        <v>7.8542027473449707</v>
      </c>
      <c r="L3039" s="2">
        <f>SUM(TimeEntries694704[Time delta in h])</f>
        <v>21.672777777712326</v>
      </c>
      <c r="M3039" s="16">
        <f>Tabelle7367695705[[#This Row],[EBS self time]]/Tabelle7367695705[[#This Row],[Total time]]</f>
        <v>0.36239945003367363</v>
      </c>
    </row>
    <row r="3040" spans="1:13">
      <c r="B3040" s="1"/>
      <c r="C3040" s="1"/>
      <c r="D3040" s="2"/>
      <c r="I3040" t="s">
        <v>127</v>
      </c>
      <c r="J3040" s="15">
        <v>0.2</v>
      </c>
      <c r="K3040" s="2">
        <v>7.8542027473449707</v>
      </c>
      <c r="L3040" s="2">
        <f>SUM(TimeEntries694704[Time delta in h])</f>
        <v>21.672777777712326</v>
      </c>
      <c r="M3040" s="16">
        <f>Tabelle7367695705[[#This Row],[EBS self time]]/Tabelle7367695705[[#This Row],[Total time]]</f>
        <v>0.36239945003367363</v>
      </c>
    </row>
    <row r="3041" spans="1:13">
      <c r="I3041" t="s">
        <v>169</v>
      </c>
      <c r="J3041" s="15">
        <v>0.35</v>
      </c>
      <c r="K3041" s="2">
        <v>7.8542027473449707</v>
      </c>
      <c r="L3041" s="2">
        <f>SUM(TimeEntries694704[Time delta in h])</f>
        <v>21.672777777712326</v>
      </c>
      <c r="M3041" s="16">
        <f>Tabelle7367695705[[#This Row],[EBS self time]]/Tabelle7367695705[[#This Row],[Total time]]</f>
        <v>0.36239945003367363</v>
      </c>
    </row>
    <row r="3042" spans="1:13">
      <c r="I3042" t="s">
        <v>172</v>
      </c>
      <c r="J3042" s="15">
        <v>0.5</v>
      </c>
      <c r="K3042" s="2">
        <v>7.8542027473449707</v>
      </c>
      <c r="L3042" s="2">
        <f>SUM(TimeEntries694704[Time delta in h])</f>
        <v>21.672777777712326</v>
      </c>
      <c r="M3042" s="16">
        <f>Tabelle7367695705[[#This Row],[EBS self time]]/Tabelle7367695705[[#This Row],[Total time]]</f>
        <v>0.36239945003367363</v>
      </c>
    </row>
    <row r="3043" spans="1:13">
      <c r="I3043" t="s">
        <v>187</v>
      </c>
      <c r="J3043" s="15">
        <v>0.65</v>
      </c>
      <c r="K3043" s="2">
        <v>7.8542027473449707</v>
      </c>
      <c r="L3043" s="2">
        <f>SUM(TimeEntries694704[Time delta in h])</f>
        <v>21.672777777712326</v>
      </c>
      <c r="M3043" s="16">
        <f>Tabelle7367695705[[#This Row],[EBS self time]]/Tabelle7367695705[[#This Row],[Total time]]</f>
        <v>0.36239945003367363</v>
      </c>
    </row>
    <row r="3044" spans="1:13">
      <c r="I3044" t="s">
        <v>192</v>
      </c>
      <c r="J3044" s="15">
        <v>0.8</v>
      </c>
      <c r="K3044" s="2">
        <v>30.442646307538645</v>
      </c>
      <c r="L3044" s="2">
        <f>SUM(TimeEntries694704[Time delta in h])</f>
        <v>21.672777777712326</v>
      </c>
      <c r="M3044" s="16">
        <f>Tabelle7367695705[[#This Row],[EBS self time]]/Tabelle7367695705[[#This Row],[Total time]]</f>
        <v>1.4046490311382698</v>
      </c>
    </row>
    <row r="3045" spans="1:13">
      <c r="I3045" t="s">
        <v>193</v>
      </c>
      <c r="J3045" s="15">
        <v>0.95</v>
      </c>
      <c r="K3045" s="2">
        <v>30.442646307538645</v>
      </c>
      <c r="L3045" s="2">
        <f>SUM(TimeEntries694704[Time delta in h])</f>
        <v>21.672777777712326</v>
      </c>
      <c r="M3045" s="16">
        <f>Tabelle7367695705[[#This Row],[EBS self time]]/Tabelle7367695705[[#This Row],[Total time]]</f>
        <v>1.4046490311382698</v>
      </c>
    </row>
    <row r="3047" spans="1:13">
      <c r="A3047" t="s">
        <v>189</v>
      </c>
      <c r="B3047" t="s">
        <v>573</v>
      </c>
      <c r="C3047" t="s">
        <v>190</v>
      </c>
      <c r="D3047">
        <v>18</v>
      </c>
      <c r="E3047" t="s">
        <v>191</v>
      </c>
      <c r="F3047">
        <v>13</v>
      </c>
    </row>
    <row r="3048" spans="1:13">
      <c r="A3048" s="4" t="s">
        <v>24</v>
      </c>
      <c r="I3048" t="s">
        <v>135</v>
      </c>
      <c r="J3048" t="s">
        <v>136</v>
      </c>
    </row>
    <row r="3049" spans="1:13">
      <c r="A3049" t="s">
        <v>3</v>
      </c>
      <c r="B3049" t="s">
        <v>575</v>
      </c>
    </row>
    <row r="3050" spans="1:13">
      <c r="A3050" t="s">
        <v>77</v>
      </c>
      <c r="B3050" s="2" t="s">
        <v>92</v>
      </c>
      <c r="C3050" t="s">
        <v>4</v>
      </c>
    </row>
    <row r="3051" spans="1:13">
      <c r="A3051" t="s">
        <v>0</v>
      </c>
      <c r="B3051" s="2">
        <f>SUM(TimeEntries696706710720[Time delta in h])</f>
        <v>8.0733333334210329</v>
      </c>
      <c r="C3051" t="s">
        <v>4</v>
      </c>
    </row>
    <row r="3052" spans="1:13">
      <c r="A3052" t="s">
        <v>13</v>
      </c>
      <c r="B3052" s="5" t="s">
        <v>92</v>
      </c>
    </row>
    <row r="3053" spans="1:13">
      <c r="A3053" t="s">
        <v>14</v>
      </c>
      <c r="B3053" s="5" t="s">
        <v>18</v>
      </c>
    </row>
    <row r="3054" spans="1:13">
      <c r="A3054" t="s">
        <v>1</v>
      </c>
      <c r="B3054" t="s">
        <v>91</v>
      </c>
    </row>
    <row r="3055" spans="1:13">
      <c r="A3055" t="s">
        <v>15</v>
      </c>
      <c r="B3055" s="5" t="s">
        <v>92</v>
      </c>
    </row>
    <row r="3056" spans="1:13">
      <c r="A3056" t="s">
        <v>2</v>
      </c>
    </row>
    <row r="3057" spans="1:13">
      <c r="A3057" t="s">
        <v>46</v>
      </c>
      <c r="B3057" t="s">
        <v>573</v>
      </c>
    </row>
    <row r="3058" spans="1:13">
      <c r="A3058" t="s">
        <v>5</v>
      </c>
      <c r="B3058" s="2" t="e">
        <f>B3050/SUM(TimeEntries696706710720[Time delta in h])</f>
        <v>#VALUE!</v>
      </c>
      <c r="C3058" t="s">
        <v>6</v>
      </c>
    </row>
    <row r="3059" spans="1:13">
      <c r="A3059" t="s">
        <v>93</v>
      </c>
    </row>
    <row r="3060" spans="1:13">
      <c r="A3060" t="s">
        <v>94</v>
      </c>
    </row>
    <row r="3061" spans="1:13">
      <c r="A3061" t="s">
        <v>129</v>
      </c>
      <c r="B3061" s="1">
        <v>44161.954097222224</v>
      </c>
    </row>
    <row r="3063" spans="1:13">
      <c r="A3063" t="s">
        <v>10</v>
      </c>
      <c r="B3063" t="s">
        <v>7</v>
      </c>
      <c r="C3063" t="s">
        <v>8</v>
      </c>
      <c r="D3063" t="s">
        <v>9</v>
      </c>
      <c r="E3063" t="s">
        <v>134</v>
      </c>
      <c r="F3063" t="s">
        <v>84</v>
      </c>
      <c r="G3063" t="s">
        <v>85</v>
      </c>
      <c r="I3063" t="s">
        <v>70</v>
      </c>
      <c r="J3063" s="15" t="s">
        <v>68</v>
      </c>
      <c r="K3063" s="2" t="s">
        <v>69</v>
      </c>
      <c r="L3063" t="s">
        <v>71</v>
      </c>
      <c r="M3063" t="s">
        <v>72</v>
      </c>
    </row>
    <row r="3064" spans="1:13">
      <c r="A3064" t="s">
        <v>126</v>
      </c>
      <c r="B3064" s="1">
        <v>44161.617800925924</v>
      </c>
      <c r="C3064" s="1">
        <v>44161.954189814816</v>
      </c>
      <c r="D3064" s="2">
        <f>MAX((TimeEntries696706710720[[#This Row],[End time]]-TimeEntries696706710720[[#This Row],[Start time]])*24,0)</f>
        <v>8.0733333334210329</v>
      </c>
      <c r="F3064" s="54" t="s">
        <v>184</v>
      </c>
      <c r="G3064" s="22" t="s">
        <v>185</v>
      </c>
      <c r="J3064" s="15"/>
      <c r="K3064" s="2"/>
      <c r="L3064" s="2">
        <f>SUM(TimeEntries696706710720[Time delta in h])</f>
        <v>8.0733333334210329</v>
      </c>
      <c r="M3064" s="16">
        <f>Tabelle7367697707711721[[#This Row],[EBS self time]]/Tabelle7367697707711721[[#This Row],[Total time]]</f>
        <v>0</v>
      </c>
    </row>
    <row r="3065" spans="1:13">
      <c r="B3065" s="1"/>
      <c r="C3065" s="1"/>
      <c r="D3065" s="2"/>
    </row>
    <row r="3067" spans="1:13">
      <c r="A3067" t="s">
        <v>189</v>
      </c>
      <c r="B3067" t="s">
        <v>576</v>
      </c>
      <c r="C3067" t="s">
        <v>190</v>
      </c>
      <c r="D3067">
        <v>18</v>
      </c>
      <c r="E3067" t="s">
        <v>191</v>
      </c>
      <c r="F3067">
        <v>13</v>
      </c>
    </row>
    <row r="3068" spans="1:13">
      <c r="A3068" s="4" t="s">
        <v>24</v>
      </c>
      <c r="I3068" t="s">
        <v>135</v>
      </c>
      <c r="J3068" t="s">
        <v>136</v>
      </c>
    </row>
    <row r="3069" spans="1:13">
      <c r="A3069" t="s">
        <v>3</v>
      </c>
      <c r="B3069" t="s">
        <v>578</v>
      </c>
    </row>
    <row r="3070" spans="1:13">
      <c r="A3070" t="s">
        <v>77</v>
      </c>
      <c r="B3070" s="2" t="s">
        <v>92</v>
      </c>
      <c r="C3070" t="s">
        <v>4</v>
      </c>
    </row>
    <row r="3071" spans="1:13">
      <c r="A3071" t="s">
        <v>0</v>
      </c>
      <c r="B3071" s="2">
        <f>SUM(TimeEntries712722[Time delta in h])</f>
        <v>18.904999999911524</v>
      </c>
      <c r="C3071" t="s">
        <v>4</v>
      </c>
    </row>
    <row r="3072" spans="1:13">
      <c r="A3072" t="s">
        <v>13</v>
      </c>
      <c r="B3072" s="5" t="s">
        <v>92</v>
      </c>
    </row>
    <row r="3073" spans="1:13">
      <c r="A3073" t="s">
        <v>14</v>
      </c>
      <c r="B3073" s="5" t="s">
        <v>18</v>
      </c>
    </row>
    <row r="3074" spans="1:13">
      <c r="A3074" t="s">
        <v>1</v>
      </c>
      <c r="B3074" t="s">
        <v>91</v>
      </c>
    </row>
    <row r="3075" spans="1:13">
      <c r="A3075" t="s">
        <v>15</v>
      </c>
      <c r="B3075" s="5" t="s">
        <v>92</v>
      </c>
    </row>
    <row r="3076" spans="1:13">
      <c r="A3076" t="s">
        <v>2</v>
      </c>
    </row>
    <row r="3077" spans="1:13">
      <c r="A3077" t="s">
        <v>46</v>
      </c>
      <c r="B3077" t="s">
        <v>576</v>
      </c>
    </row>
    <row r="3078" spans="1:13">
      <c r="A3078" t="s">
        <v>5</v>
      </c>
      <c r="B3078" s="2" t="e">
        <f>B3070/SUM(TimeEntries712722[Time delta in h])</f>
        <v>#VALUE!</v>
      </c>
      <c r="C3078" t="s">
        <v>6</v>
      </c>
    </row>
    <row r="3079" spans="1:13">
      <c r="A3079" t="s">
        <v>93</v>
      </c>
    </row>
    <row r="3080" spans="1:13">
      <c r="A3080" t="s">
        <v>94</v>
      </c>
    </row>
    <row r="3081" spans="1:13">
      <c r="A3081" t="s">
        <v>129</v>
      </c>
      <c r="B3081" s="1">
        <v>44161.954201388886</v>
      </c>
    </row>
    <row r="3083" spans="1:13">
      <c r="A3083" t="s">
        <v>10</v>
      </c>
      <c r="B3083" t="s">
        <v>7</v>
      </c>
      <c r="C3083" t="s">
        <v>8</v>
      </c>
      <c r="D3083" t="s">
        <v>9</v>
      </c>
      <c r="E3083" t="s">
        <v>134</v>
      </c>
      <c r="F3083" t="s">
        <v>84</v>
      </c>
      <c r="G3083" t="s">
        <v>85</v>
      </c>
      <c r="I3083" t="s">
        <v>70</v>
      </c>
      <c r="J3083" s="15" t="s">
        <v>68</v>
      </c>
      <c r="K3083" s="2" t="s">
        <v>69</v>
      </c>
      <c r="L3083" t="s">
        <v>71</v>
      </c>
      <c r="M3083" t="s">
        <v>72</v>
      </c>
    </row>
    <row r="3084" spans="1:13">
      <c r="A3084" t="s">
        <v>126</v>
      </c>
      <c r="B3084" s="1">
        <v>44161.166493055556</v>
      </c>
      <c r="C3084" s="1">
        <v>44161.954201388886</v>
      </c>
      <c r="D3084" s="2">
        <f>MAX((TimeEntries712722[[#This Row],[End time]]-TimeEntries712722[[#This Row],[Start time]])*24,0)</f>
        <v>18.904999999911524</v>
      </c>
      <c r="F3084" s="54" t="s">
        <v>184</v>
      </c>
      <c r="G3084" s="22" t="s">
        <v>185</v>
      </c>
      <c r="J3084" s="15"/>
      <c r="K3084" s="2"/>
      <c r="L3084" s="2">
        <f>SUM(TimeEntries712722[Time delta in h])</f>
        <v>18.904999999911524</v>
      </c>
      <c r="M3084" s="16">
        <f>Tabelle7367713723[[#This Row],[EBS self time]]/Tabelle7367713723[[#This Row],[Total time]]</f>
        <v>0</v>
      </c>
    </row>
    <row r="3085" spans="1:13">
      <c r="B3085" s="1"/>
      <c r="C3085" s="1"/>
      <c r="D3085" s="2"/>
    </row>
    <row r="3087" spans="1:13">
      <c r="A3087" t="s">
        <v>189</v>
      </c>
      <c r="B3087" t="s">
        <v>579</v>
      </c>
      <c r="C3087" t="s">
        <v>190</v>
      </c>
      <c r="D3087">
        <v>23</v>
      </c>
      <c r="E3087" t="s">
        <v>191</v>
      </c>
      <c r="F3087">
        <v>13</v>
      </c>
    </row>
    <row r="3088" spans="1:13">
      <c r="A3088" s="4" t="s">
        <v>24</v>
      </c>
      <c r="I3088" t="s">
        <v>135</v>
      </c>
      <c r="J3088" t="s">
        <v>136</v>
      </c>
    </row>
    <row r="3089" spans="1:13">
      <c r="A3089" t="s">
        <v>3</v>
      </c>
      <c r="B3089" t="s">
        <v>581</v>
      </c>
    </row>
    <row r="3090" spans="1:13">
      <c r="A3090" t="s">
        <v>77</v>
      </c>
      <c r="B3090" s="2">
        <v>10.327627182006836</v>
      </c>
      <c r="C3090" t="s">
        <v>4</v>
      </c>
    </row>
    <row r="3091" spans="1:13">
      <c r="A3091" t="s">
        <v>0</v>
      </c>
      <c r="B3091" s="2">
        <f>SUM(TimeEntries714724[Time delta in h])</f>
        <v>12.904722222243436</v>
      </c>
      <c r="C3091" t="s">
        <v>4</v>
      </c>
    </row>
    <row r="3092" spans="1:13">
      <c r="A3092" t="s">
        <v>13</v>
      </c>
      <c r="B3092" s="5" t="s">
        <v>92</v>
      </c>
    </row>
    <row r="3093" spans="1:13">
      <c r="A3093" t="s">
        <v>14</v>
      </c>
      <c r="B3093" s="5" t="s">
        <v>18</v>
      </c>
    </row>
    <row r="3094" spans="1:13">
      <c r="A3094" t="s">
        <v>1</v>
      </c>
      <c r="B3094" t="s">
        <v>91</v>
      </c>
    </row>
    <row r="3095" spans="1:13">
      <c r="A3095" t="s">
        <v>15</v>
      </c>
      <c r="B3095" s="5" t="s">
        <v>92</v>
      </c>
    </row>
    <row r="3096" spans="1:13">
      <c r="A3096" t="s">
        <v>2</v>
      </c>
    </row>
    <row r="3097" spans="1:13">
      <c r="A3097" t="s">
        <v>46</v>
      </c>
      <c r="B3097" t="s">
        <v>579</v>
      </c>
    </row>
    <row r="3098" spans="1:13">
      <c r="A3098" t="s">
        <v>5</v>
      </c>
      <c r="B3098" s="2">
        <f>B3090/SUM(TimeEntries714724[Time delta in h])</f>
        <v>0.80029829423259125</v>
      </c>
      <c r="C3098" t="s">
        <v>6</v>
      </c>
    </row>
    <row r="3099" spans="1:13">
      <c r="A3099" t="s">
        <v>93</v>
      </c>
    </row>
    <row r="3100" spans="1:13">
      <c r="A3100" t="s">
        <v>94</v>
      </c>
    </row>
    <row r="3101" spans="1:13">
      <c r="A3101" t="s">
        <v>129</v>
      </c>
      <c r="B3101" s="1">
        <v>44161.954212962963</v>
      </c>
    </row>
    <row r="3103" spans="1:13">
      <c r="A3103" t="s">
        <v>10</v>
      </c>
      <c r="B3103" t="s">
        <v>7</v>
      </c>
      <c r="C3103" t="s">
        <v>8</v>
      </c>
      <c r="D3103" t="s">
        <v>9</v>
      </c>
      <c r="E3103" t="s">
        <v>134</v>
      </c>
      <c r="F3103" t="s">
        <v>84</v>
      </c>
      <c r="G3103" t="s">
        <v>85</v>
      </c>
      <c r="I3103" t="s">
        <v>70</v>
      </c>
      <c r="J3103" s="15" t="s">
        <v>68</v>
      </c>
      <c r="K3103" s="2" t="s">
        <v>69</v>
      </c>
      <c r="L3103" t="s">
        <v>71</v>
      </c>
      <c r="M3103" t="s">
        <v>72</v>
      </c>
    </row>
    <row r="3104" spans="1:13">
      <c r="A3104" t="s">
        <v>126</v>
      </c>
      <c r="B3104" s="1">
        <v>44161.416516203702</v>
      </c>
      <c r="C3104" s="1">
        <v>44161.954212962963</v>
      </c>
      <c r="D3104" s="2">
        <f>MAX((TimeEntries714724[[#This Row],[End time]]-TimeEntries714724[[#This Row],[Start time]])*24,0)</f>
        <v>12.904722222243436</v>
      </c>
      <c r="F3104" s="54" t="s">
        <v>184</v>
      </c>
      <c r="G3104" s="22" t="s">
        <v>185</v>
      </c>
      <c r="I3104" t="s">
        <v>126</v>
      </c>
      <c r="J3104" s="15">
        <v>0.05</v>
      </c>
      <c r="K3104" s="2">
        <v>5.163813591003418</v>
      </c>
      <c r="L3104" s="2">
        <f>SUM(TimeEntries714724[Time delta in h])</f>
        <v>12.904722222243436</v>
      </c>
      <c r="M3104" s="16">
        <f>Tabelle7367715725[[#This Row],[EBS self time]]/Tabelle7367715725[[#This Row],[Total time]]</f>
        <v>0.40014914711629562</v>
      </c>
    </row>
    <row r="3105" spans="1:13">
      <c r="B3105" s="1"/>
      <c r="C3105" s="1"/>
      <c r="D3105" s="2"/>
      <c r="I3105" t="s">
        <v>127</v>
      </c>
      <c r="J3105" s="15">
        <v>0.2</v>
      </c>
      <c r="K3105" s="2">
        <v>5.163813591003418</v>
      </c>
      <c r="L3105" s="2">
        <f>SUM(TimeEntries714724[Time delta in h])</f>
        <v>12.904722222243436</v>
      </c>
      <c r="M3105" s="16">
        <f>Tabelle7367715725[[#This Row],[EBS self time]]/Tabelle7367715725[[#This Row],[Total time]]</f>
        <v>0.40014914711629562</v>
      </c>
    </row>
    <row r="3106" spans="1:13">
      <c r="I3106" t="s">
        <v>169</v>
      </c>
      <c r="J3106" s="15">
        <v>0.35</v>
      </c>
      <c r="K3106" s="2">
        <v>5.163813591003418</v>
      </c>
      <c r="L3106" s="2">
        <f>SUM(TimeEntries714724[Time delta in h])</f>
        <v>12.904722222243436</v>
      </c>
      <c r="M3106" s="16">
        <f>Tabelle7367715725[[#This Row],[EBS self time]]/Tabelle7367715725[[#This Row],[Total time]]</f>
        <v>0.40014914711629562</v>
      </c>
    </row>
    <row r="3107" spans="1:13">
      <c r="I3107" t="s">
        <v>172</v>
      </c>
      <c r="J3107" s="15">
        <v>0.5</v>
      </c>
      <c r="K3107" s="2">
        <v>5.163813591003418</v>
      </c>
      <c r="L3107" s="2">
        <f>SUM(TimeEntries714724[Time delta in h])</f>
        <v>12.904722222243436</v>
      </c>
      <c r="M3107" s="16">
        <f>Tabelle7367715725[[#This Row],[EBS self time]]/Tabelle7367715725[[#This Row],[Total time]]</f>
        <v>0.40014914711629562</v>
      </c>
    </row>
    <row r="3108" spans="1:13">
      <c r="I3108" t="s">
        <v>187</v>
      </c>
      <c r="J3108" s="15">
        <v>0.65</v>
      </c>
      <c r="K3108" s="2">
        <v>5.163813591003418</v>
      </c>
      <c r="L3108" s="2">
        <f>SUM(TimeEntries714724[Time delta in h])</f>
        <v>12.904722222243436</v>
      </c>
      <c r="M3108" s="16">
        <f>Tabelle7367715725[[#This Row],[EBS self time]]/Tabelle7367715725[[#This Row],[Total time]]</f>
        <v>0.40014914711629562</v>
      </c>
    </row>
    <row r="3109" spans="1:13">
      <c r="I3109" t="s">
        <v>192</v>
      </c>
      <c r="J3109" s="15">
        <v>0.8</v>
      </c>
      <c r="K3109" s="2">
        <v>20.014781360478363</v>
      </c>
      <c r="L3109" s="2">
        <f>SUM(TimeEntries714724[Time delta in h])</f>
        <v>12.904722222243436</v>
      </c>
      <c r="M3109" s="16">
        <f>Tabelle7367715725[[#This Row],[EBS self time]]/Tabelle7367715725[[#This Row],[Total time]]</f>
        <v>1.5509656864972698</v>
      </c>
    </row>
    <row r="3110" spans="1:13">
      <c r="I3110" t="s">
        <v>193</v>
      </c>
      <c r="J3110" s="15">
        <v>0.95</v>
      </c>
      <c r="K3110" s="2">
        <v>20.014781360478363</v>
      </c>
      <c r="L3110" s="2">
        <f>SUM(TimeEntries714724[Time delta in h])</f>
        <v>12.904722222243436</v>
      </c>
      <c r="M3110" s="16">
        <f>Tabelle7367715725[[#This Row],[EBS self time]]/Tabelle7367715725[[#This Row],[Total time]]</f>
        <v>1.5509656864972698</v>
      </c>
    </row>
    <row r="3112" spans="1:13">
      <c r="A3112" t="s">
        <v>189</v>
      </c>
      <c r="B3112" t="s">
        <v>582</v>
      </c>
      <c r="C3112" t="s">
        <v>190</v>
      </c>
      <c r="D3112">
        <v>23</v>
      </c>
      <c r="E3112" t="s">
        <v>191</v>
      </c>
      <c r="F3112">
        <v>13</v>
      </c>
    </row>
    <row r="3113" spans="1:13">
      <c r="A3113" s="4" t="s">
        <v>24</v>
      </c>
      <c r="I3113" t="s">
        <v>135</v>
      </c>
      <c r="J3113" t="s">
        <v>136</v>
      </c>
    </row>
    <row r="3114" spans="1:13">
      <c r="A3114" t="s">
        <v>3</v>
      </c>
      <c r="B3114" t="s">
        <v>584</v>
      </c>
    </row>
    <row r="3115" spans="1:13">
      <c r="A3115" t="s">
        <v>77</v>
      </c>
      <c r="B3115" s="2">
        <v>15.210211753845215</v>
      </c>
      <c r="C3115" t="s">
        <v>4</v>
      </c>
    </row>
    <row r="3116" spans="1:13">
      <c r="A3116" t="s">
        <v>0</v>
      </c>
      <c r="B3116" s="2">
        <f>SUM(TimeEntries716726[Time delta in h])</f>
        <v>17.298611111124046</v>
      </c>
      <c r="C3116" t="s">
        <v>4</v>
      </c>
    </row>
    <row r="3117" spans="1:13">
      <c r="A3117" t="s">
        <v>13</v>
      </c>
      <c r="B3117" s="5" t="s">
        <v>92</v>
      </c>
    </row>
    <row r="3118" spans="1:13">
      <c r="A3118" t="s">
        <v>14</v>
      </c>
      <c r="B3118" s="5" t="s">
        <v>18</v>
      </c>
    </row>
    <row r="3119" spans="1:13">
      <c r="A3119" t="s">
        <v>1</v>
      </c>
      <c r="B3119" t="s">
        <v>91</v>
      </c>
    </row>
    <row r="3120" spans="1:13">
      <c r="A3120" t="s">
        <v>15</v>
      </c>
      <c r="B3120" s="5" t="s">
        <v>92</v>
      </c>
    </row>
    <row r="3121" spans="1:13">
      <c r="A3121" t="s">
        <v>2</v>
      </c>
    </row>
    <row r="3122" spans="1:13">
      <c r="A3122" t="s">
        <v>46</v>
      </c>
      <c r="B3122" t="s">
        <v>582</v>
      </c>
    </row>
    <row r="3123" spans="1:13">
      <c r="A3123" t="s">
        <v>5</v>
      </c>
      <c r="B3123" s="2">
        <f>B3115/SUM(TimeEntries716726[Time delta in h])</f>
        <v>0.87927358191572591</v>
      </c>
      <c r="C3123" t="s">
        <v>6</v>
      </c>
    </row>
    <row r="3124" spans="1:13">
      <c r="A3124" t="s">
        <v>93</v>
      </c>
    </row>
    <row r="3125" spans="1:13">
      <c r="A3125" t="s">
        <v>94</v>
      </c>
    </row>
    <row r="3126" spans="1:13">
      <c r="A3126" t="s">
        <v>129</v>
      </c>
      <c r="B3126" s="1">
        <v>44161.954224537039</v>
      </c>
    </row>
    <row r="3128" spans="1:13">
      <c r="A3128" t="s">
        <v>10</v>
      </c>
      <c r="B3128" t="s">
        <v>7</v>
      </c>
      <c r="C3128" t="s">
        <v>8</v>
      </c>
      <c r="D3128" t="s">
        <v>9</v>
      </c>
      <c r="E3128" t="s">
        <v>134</v>
      </c>
      <c r="F3128" t="s">
        <v>84</v>
      </c>
      <c r="G3128" t="s">
        <v>85</v>
      </c>
      <c r="I3128" t="s">
        <v>70</v>
      </c>
      <c r="J3128" s="15" t="s">
        <v>68</v>
      </c>
      <c r="K3128" s="2" t="s">
        <v>69</v>
      </c>
      <c r="L3128" t="s">
        <v>71</v>
      </c>
      <c r="M3128" t="s">
        <v>72</v>
      </c>
    </row>
    <row r="3129" spans="1:13">
      <c r="A3129" t="s">
        <v>126</v>
      </c>
      <c r="B3129" s="1">
        <v>44161.233449074076</v>
      </c>
      <c r="C3129" s="1">
        <v>44161.954224537039</v>
      </c>
      <c r="D3129" s="2">
        <f>MAX((TimeEntries716726[[#This Row],[End time]]-TimeEntries716726[[#This Row],[Start time]])*24,0)</f>
        <v>17.298611111124046</v>
      </c>
      <c r="F3129" s="54" t="s">
        <v>184</v>
      </c>
      <c r="G3129" s="22" t="s">
        <v>185</v>
      </c>
      <c r="I3129" t="s">
        <v>126</v>
      </c>
      <c r="J3129" s="15">
        <v>0.05</v>
      </c>
      <c r="K3129" s="2">
        <v>7.6051058769226074</v>
      </c>
      <c r="L3129" s="2">
        <f>SUM(TimeEntries716726[Time delta in h])</f>
        <v>17.298611111124046</v>
      </c>
      <c r="M3129" s="16">
        <f>Tabelle7367717727[[#This Row],[EBS self time]]/Tabelle7367717727[[#This Row],[Total time]]</f>
        <v>0.43963679095786296</v>
      </c>
    </row>
    <row r="3130" spans="1:13">
      <c r="B3130" s="1"/>
      <c r="C3130" s="1"/>
      <c r="D3130" s="2"/>
      <c r="I3130" t="s">
        <v>127</v>
      </c>
      <c r="J3130" s="15">
        <v>0.2</v>
      </c>
      <c r="K3130" s="2">
        <v>7.6051058769226074</v>
      </c>
      <c r="L3130" s="2">
        <f>SUM(TimeEntries716726[Time delta in h])</f>
        <v>17.298611111124046</v>
      </c>
      <c r="M3130" s="16">
        <f>Tabelle7367717727[[#This Row],[EBS self time]]/Tabelle7367717727[[#This Row],[Total time]]</f>
        <v>0.43963679095786296</v>
      </c>
    </row>
    <row r="3131" spans="1:13">
      <c r="I3131" t="s">
        <v>169</v>
      </c>
      <c r="J3131" s="15">
        <v>0.35</v>
      </c>
      <c r="K3131" s="2">
        <v>7.6051058769226074</v>
      </c>
      <c r="L3131" s="2">
        <f>SUM(TimeEntries716726[Time delta in h])</f>
        <v>17.298611111124046</v>
      </c>
      <c r="M3131" s="16">
        <f>Tabelle7367717727[[#This Row],[EBS self time]]/Tabelle7367717727[[#This Row],[Total time]]</f>
        <v>0.43963679095786296</v>
      </c>
    </row>
    <row r="3132" spans="1:13">
      <c r="I3132" t="s">
        <v>172</v>
      </c>
      <c r="J3132" s="15">
        <v>0.5</v>
      </c>
      <c r="K3132" s="2">
        <v>7.6051058769226074</v>
      </c>
      <c r="L3132" s="2">
        <f>SUM(TimeEntries716726[Time delta in h])</f>
        <v>17.298611111124046</v>
      </c>
      <c r="M3132" s="16">
        <f>Tabelle7367717727[[#This Row],[EBS self time]]/Tabelle7367717727[[#This Row],[Total time]]</f>
        <v>0.43963679095786296</v>
      </c>
    </row>
    <row r="3133" spans="1:13">
      <c r="I3133" t="s">
        <v>187</v>
      </c>
      <c r="J3133" s="15">
        <v>0.65</v>
      </c>
      <c r="K3133" s="2">
        <v>7.6051058769226074</v>
      </c>
      <c r="L3133" s="2">
        <f>SUM(TimeEntries716726[Time delta in h])</f>
        <v>17.298611111124046</v>
      </c>
      <c r="M3133" s="16">
        <f>Tabelle7367717727[[#This Row],[EBS self time]]/Tabelle7367717727[[#This Row],[Total time]]</f>
        <v>0.43963679095786296</v>
      </c>
    </row>
    <row r="3134" spans="1:13">
      <c r="I3134" t="s">
        <v>192</v>
      </c>
      <c r="J3134" s="15">
        <v>0.8</v>
      </c>
      <c r="K3134" s="2">
        <v>29.477154561715533</v>
      </c>
      <c r="L3134" s="2">
        <f>SUM(TimeEntries716726[Time delta in h])</f>
        <v>17.298611111124046</v>
      </c>
      <c r="M3134" s="16">
        <f>Tabelle7367717727[[#This Row],[EBS self time]]/Tabelle7367717727[[#This Row],[Total time]]</f>
        <v>1.7040185696041199</v>
      </c>
    </row>
    <row r="3135" spans="1:13">
      <c r="I3135" t="s">
        <v>193</v>
      </c>
      <c r="J3135" s="15">
        <v>0.95</v>
      </c>
      <c r="K3135" s="2">
        <v>29.477154561715533</v>
      </c>
      <c r="L3135" s="2">
        <f>SUM(TimeEntries716726[Time delta in h])</f>
        <v>17.298611111124046</v>
      </c>
      <c r="M3135" s="16">
        <f>Tabelle7367717727[[#This Row],[EBS self time]]/Tabelle7367717727[[#This Row],[Total time]]</f>
        <v>1.7040185696041199</v>
      </c>
    </row>
    <row r="3137" spans="1:10">
      <c r="A3137" t="s">
        <v>189</v>
      </c>
      <c r="B3137" t="s">
        <v>585</v>
      </c>
      <c r="C3137" t="s">
        <v>190</v>
      </c>
      <c r="D3137">
        <v>23</v>
      </c>
      <c r="E3137" t="s">
        <v>191</v>
      </c>
      <c r="F3137">
        <v>13</v>
      </c>
    </row>
    <row r="3138" spans="1:10">
      <c r="A3138" s="4" t="s">
        <v>24</v>
      </c>
      <c r="I3138" t="s">
        <v>135</v>
      </c>
      <c r="J3138" t="s">
        <v>136</v>
      </c>
    </row>
    <row r="3139" spans="1:10">
      <c r="A3139" t="s">
        <v>3</v>
      </c>
      <c r="B3139" t="s">
        <v>587</v>
      </c>
    </row>
    <row r="3140" spans="1:10">
      <c r="A3140" t="s">
        <v>77</v>
      </c>
      <c r="B3140" s="2">
        <v>1.5492057800292969</v>
      </c>
      <c r="C3140" t="s">
        <v>4</v>
      </c>
    </row>
    <row r="3141" spans="1:10">
      <c r="A3141" t="s">
        <v>0</v>
      </c>
      <c r="B3141" s="2">
        <f>SUM(TimeEntries718728732742[Time delta in h])</f>
        <v>11.805833333346527</v>
      </c>
      <c r="C3141" t="s">
        <v>4</v>
      </c>
    </row>
    <row r="3142" spans="1:10">
      <c r="A3142" t="s">
        <v>13</v>
      </c>
      <c r="B3142" s="5" t="s">
        <v>92</v>
      </c>
    </row>
    <row r="3143" spans="1:10">
      <c r="A3143" t="s">
        <v>14</v>
      </c>
      <c r="B3143" s="5" t="s">
        <v>18</v>
      </c>
    </row>
    <row r="3144" spans="1:10">
      <c r="A3144" t="s">
        <v>1</v>
      </c>
      <c r="B3144" t="s">
        <v>131</v>
      </c>
    </row>
    <row r="3145" spans="1:10">
      <c r="A3145" t="s">
        <v>15</v>
      </c>
      <c r="B3145" s="5">
        <v>44161.954305555555</v>
      </c>
    </row>
    <row r="3146" spans="1:10">
      <c r="A3146" t="s">
        <v>2</v>
      </c>
    </row>
    <row r="3147" spans="1:10">
      <c r="A3147" t="s">
        <v>46</v>
      </c>
      <c r="B3147" t="s">
        <v>585</v>
      </c>
    </row>
    <row r="3148" spans="1:10">
      <c r="A3148" t="s">
        <v>5</v>
      </c>
      <c r="B3148" s="2">
        <f>B3140/SUM(TimeEntries718728732742[Time delta in h])</f>
        <v>0.13122375492574848</v>
      </c>
      <c r="C3148" t="s">
        <v>6</v>
      </c>
    </row>
    <row r="3149" spans="1:10">
      <c r="A3149" t="s">
        <v>93</v>
      </c>
    </row>
    <row r="3150" spans="1:10">
      <c r="A3150" t="s">
        <v>94</v>
      </c>
    </row>
    <row r="3151" spans="1:10">
      <c r="A3151" t="s">
        <v>129</v>
      </c>
      <c r="B3151" s="1">
        <v>44161.954236111109</v>
      </c>
    </row>
    <row r="3153" spans="1:13">
      <c r="A3153" t="s">
        <v>10</v>
      </c>
      <c r="B3153" t="s">
        <v>7</v>
      </c>
      <c r="C3153" t="s">
        <v>8</v>
      </c>
      <c r="D3153" t="s">
        <v>9</v>
      </c>
      <c r="E3153" t="s">
        <v>134</v>
      </c>
      <c r="F3153" t="s">
        <v>84</v>
      </c>
      <c r="G3153" t="s">
        <v>85</v>
      </c>
      <c r="I3153" t="s">
        <v>70</v>
      </c>
      <c r="J3153" s="15" t="s">
        <v>68</v>
      </c>
      <c r="K3153" s="2" t="s">
        <v>69</v>
      </c>
      <c r="L3153" t="s">
        <v>71</v>
      </c>
      <c r="M3153" t="s">
        <v>72</v>
      </c>
    </row>
    <row r="3154" spans="1:13">
      <c r="A3154" t="s">
        <v>126</v>
      </c>
      <c r="B3154" s="1">
        <v>44161.462395833332</v>
      </c>
      <c r="C3154" s="1">
        <v>44161.954305555555</v>
      </c>
      <c r="D3154" s="2">
        <f>MAX((TimeEntries718728732742[[#This Row],[End time]]-TimeEntries718728732742[[#This Row],[Start time]])*24,0)</f>
        <v>11.805833333346527</v>
      </c>
      <c r="F3154" s="54" t="s">
        <v>184</v>
      </c>
      <c r="G3154" s="22" t="s">
        <v>185</v>
      </c>
      <c r="I3154" t="s">
        <v>126</v>
      </c>
      <c r="J3154" s="15">
        <v>0.05</v>
      </c>
      <c r="K3154" s="2">
        <v>0.77460289001464844</v>
      </c>
      <c r="L3154" s="2">
        <f>SUM(TimeEntries718728732742[Time delta in h])</f>
        <v>11.805833333346527</v>
      </c>
      <c r="M3154" s="16">
        <f>Tabelle7367719729733743[[#This Row],[EBS self time]]/Tabelle7367719729733743[[#This Row],[Total time]]</f>
        <v>6.5611877462874238E-2</v>
      </c>
    </row>
    <row r="3155" spans="1:13">
      <c r="B3155" s="1"/>
      <c r="C3155" s="1"/>
      <c r="D3155" s="2"/>
      <c r="I3155" t="s">
        <v>127</v>
      </c>
      <c r="J3155" s="15">
        <v>0.2</v>
      </c>
      <c r="K3155" s="2">
        <v>0.77460289001464844</v>
      </c>
      <c r="L3155" s="2">
        <f>SUM(TimeEntries718728732742[Time delta in h])</f>
        <v>11.805833333346527</v>
      </c>
      <c r="M3155" s="16">
        <f>Tabelle7367719729733743[[#This Row],[EBS self time]]/Tabelle7367719729733743[[#This Row],[Total time]]</f>
        <v>6.5611877462874238E-2</v>
      </c>
    </row>
    <row r="3156" spans="1:13">
      <c r="I3156" t="s">
        <v>169</v>
      </c>
      <c r="J3156" s="15">
        <v>0.35</v>
      </c>
      <c r="K3156" s="2">
        <v>0.77460289001464844</v>
      </c>
      <c r="L3156" s="2">
        <f>SUM(TimeEntries718728732742[Time delta in h])</f>
        <v>11.805833333346527</v>
      </c>
      <c r="M3156" s="16">
        <f>Tabelle7367719729733743[[#This Row],[EBS self time]]/Tabelle7367719729733743[[#This Row],[Total time]]</f>
        <v>6.5611877462874238E-2</v>
      </c>
    </row>
    <row r="3157" spans="1:13">
      <c r="I3157" t="s">
        <v>172</v>
      </c>
      <c r="J3157" s="15">
        <v>0.5</v>
      </c>
      <c r="K3157" s="2">
        <v>0.77460289001464844</v>
      </c>
      <c r="L3157" s="2">
        <f>SUM(TimeEntries718728732742[Time delta in h])</f>
        <v>11.805833333346527</v>
      </c>
      <c r="M3157" s="16">
        <f>Tabelle7367719729733743[[#This Row],[EBS self time]]/Tabelle7367719729733743[[#This Row],[Total time]]</f>
        <v>6.5611877462874238E-2</v>
      </c>
    </row>
    <row r="3158" spans="1:13">
      <c r="I3158" t="s">
        <v>187</v>
      </c>
      <c r="J3158" s="15">
        <v>0.65</v>
      </c>
      <c r="K3158" s="2">
        <v>1.7213897945344918</v>
      </c>
      <c r="L3158" s="2">
        <f>SUM(TimeEntries718728732742[Time delta in h])</f>
        <v>11.805833333346527</v>
      </c>
      <c r="M3158" s="16">
        <f>Tabelle7367719729733743[[#This Row],[EBS self time]]/Tabelle7367719729733743[[#This Row],[Total time]]</f>
        <v>0.14580841063309674</v>
      </c>
    </row>
    <row r="3159" spans="1:13">
      <c r="I3159" t="s">
        <v>192</v>
      </c>
      <c r="J3159" s="15">
        <v>0.8</v>
      </c>
      <c r="K3159" s="2">
        <v>3.0023367830025132</v>
      </c>
      <c r="L3159" s="2">
        <f>SUM(TimeEntries718728732742[Time delta in h])</f>
        <v>11.805833333346527</v>
      </c>
      <c r="M3159" s="16">
        <f>Tabelle7367719729733743[[#This Row],[EBS self time]]/Tabelle7367719729733743[[#This Row],[Total time]]</f>
        <v>0.25430960256927998</v>
      </c>
    </row>
    <row r="3160" spans="1:13">
      <c r="I3160" t="s">
        <v>193</v>
      </c>
      <c r="J3160" s="15">
        <v>0.95</v>
      </c>
      <c r="K3160" s="2">
        <v>3.0023367830025132</v>
      </c>
      <c r="L3160" s="2">
        <f>SUM(TimeEntries718728732742[Time delta in h])</f>
        <v>11.805833333346527</v>
      </c>
      <c r="M3160" s="16">
        <f>Tabelle7367719729733743[[#This Row],[EBS self time]]/Tabelle7367719729733743[[#This Row],[Total time]]</f>
        <v>0.25430960256927998</v>
      </c>
    </row>
    <row r="3162" spans="1:13">
      <c r="A3162" t="s">
        <v>189</v>
      </c>
      <c r="B3162" t="s">
        <v>588</v>
      </c>
      <c r="C3162" t="s">
        <v>190</v>
      </c>
      <c r="D3162">
        <v>23</v>
      </c>
      <c r="E3162" t="s">
        <v>191</v>
      </c>
      <c r="F3162">
        <v>13</v>
      </c>
    </row>
    <row r="3163" spans="1:13">
      <c r="A3163" s="4" t="s">
        <v>24</v>
      </c>
      <c r="I3163" t="s">
        <v>135</v>
      </c>
      <c r="J3163" t="s">
        <v>136</v>
      </c>
    </row>
    <row r="3164" spans="1:13">
      <c r="A3164" t="s">
        <v>3</v>
      </c>
      <c r="B3164" t="s">
        <v>590</v>
      </c>
    </row>
    <row r="3165" spans="1:13">
      <c r="A3165" t="s">
        <v>77</v>
      </c>
      <c r="B3165" s="2">
        <v>4.2881059646606445</v>
      </c>
      <c r="C3165" t="s">
        <v>4</v>
      </c>
    </row>
    <row r="3166" spans="1:13">
      <c r="A3166" t="s">
        <v>0</v>
      </c>
      <c r="B3166" s="2">
        <f>SUM(TimeEntries734744[Time delta in h])</f>
        <v>5.5461111111799255</v>
      </c>
      <c r="C3166" t="s">
        <v>4</v>
      </c>
    </row>
    <row r="3167" spans="1:13">
      <c r="A3167" t="s">
        <v>13</v>
      </c>
      <c r="B3167" s="5" t="s">
        <v>92</v>
      </c>
    </row>
    <row r="3168" spans="1:13">
      <c r="A3168" t="s">
        <v>14</v>
      </c>
      <c r="B3168" s="5" t="s">
        <v>18</v>
      </c>
    </row>
    <row r="3169" spans="1:13">
      <c r="A3169" t="s">
        <v>1</v>
      </c>
      <c r="B3169" t="s">
        <v>131</v>
      </c>
    </row>
    <row r="3170" spans="1:13">
      <c r="A3170" t="s">
        <v>15</v>
      </c>
      <c r="B3170" s="5">
        <v>44161.954317129632</v>
      </c>
    </row>
    <row r="3171" spans="1:13">
      <c r="A3171" t="s">
        <v>2</v>
      </c>
    </row>
    <row r="3172" spans="1:13">
      <c r="A3172" t="s">
        <v>46</v>
      </c>
      <c r="B3172" t="s">
        <v>588</v>
      </c>
    </row>
    <row r="3173" spans="1:13">
      <c r="A3173" t="s">
        <v>5</v>
      </c>
      <c r="B3173" s="2">
        <f>B3165/SUM(TimeEntries734744[Time delta in h])</f>
        <v>0.77317346852583291</v>
      </c>
      <c r="C3173" t="s">
        <v>6</v>
      </c>
    </row>
    <row r="3174" spans="1:13">
      <c r="A3174" t="s">
        <v>93</v>
      </c>
    </row>
    <row r="3175" spans="1:13">
      <c r="A3175" t="s">
        <v>94</v>
      </c>
    </row>
    <row r="3176" spans="1:13">
      <c r="A3176" t="s">
        <v>129</v>
      </c>
      <c r="B3176" s="1">
        <v>44161.954317129632</v>
      </c>
    </row>
    <row r="3178" spans="1:13">
      <c r="A3178" t="s">
        <v>10</v>
      </c>
      <c r="B3178" t="s">
        <v>7</v>
      </c>
      <c r="C3178" t="s">
        <v>8</v>
      </c>
      <c r="D3178" t="s">
        <v>9</v>
      </c>
      <c r="E3178" t="s">
        <v>134</v>
      </c>
      <c r="F3178" t="s">
        <v>84</v>
      </c>
      <c r="G3178" t="s">
        <v>85</v>
      </c>
      <c r="I3178" t="s">
        <v>70</v>
      </c>
      <c r="J3178" s="15" t="s">
        <v>68</v>
      </c>
      <c r="K3178" s="2" t="s">
        <v>69</v>
      </c>
      <c r="L3178" t="s">
        <v>71</v>
      </c>
      <c r="M3178" t="s">
        <v>72</v>
      </c>
    </row>
    <row r="3179" spans="1:13">
      <c r="A3179" t="s">
        <v>126</v>
      </c>
      <c r="B3179" s="1">
        <v>44161.723229166666</v>
      </c>
      <c r="C3179" s="1">
        <v>44161.954317129632</v>
      </c>
      <c r="D3179" s="2">
        <f>MAX((TimeEntries734744[[#This Row],[End time]]-TimeEntries734744[[#This Row],[Start time]])*24,0)</f>
        <v>5.5461111111799255</v>
      </c>
      <c r="F3179" s="54" t="s">
        <v>184</v>
      </c>
      <c r="G3179" s="22" t="s">
        <v>185</v>
      </c>
      <c r="I3179" t="s">
        <v>126</v>
      </c>
      <c r="J3179" s="15">
        <v>0.05</v>
      </c>
      <c r="K3179" s="2">
        <v>2.1440529823303223</v>
      </c>
      <c r="L3179" s="2">
        <f>SUM(TimeEntries734744[Time delta in h])</f>
        <v>5.5461111111799255</v>
      </c>
      <c r="M3179" s="16">
        <f>Tabelle7367735745[[#This Row],[EBS self time]]/Tabelle7367735745[[#This Row],[Total time]]</f>
        <v>0.38658673426291645</v>
      </c>
    </row>
    <row r="3180" spans="1:13">
      <c r="B3180" s="1"/>
      <c r="C3180" s="1"/>
      <c r="D3180" s="2"/>
      <c r="I3180" t="s">
        <v>127</v>
      </c>
      <c r="J3180" s="15">
        <v>0.2</v>
      </c>
      <c r="K3180" s="2">
        <v>2.1440529823303223</v>
      </c>
      <c r="L3180" s="2">
        <f>SUM(TimeEntries734744[Time delta in h])</f>
        <v>5.5461111111799255</v>
      </c>
      <c r="M3180" s="16">
        <f>Tabelle7367735745[[#This Row],[EBS self time]]/Tabelle7367735745[[#This Row],[Total time]]</f>
        <v>0.38658673426291645</v>
      </c>
    </row>
    <row r="3181" spans="1:13">
      <c r="I3181" t="s">
        <v>169</v>
      </c>
      <c r="J3181" s="15">
        <v>0.35</v>
      </c>
      <c r="K3181" s="2">
        <v>2.1440529823303223</v>
      </c>
      <c r="L3181" s="2">
        <f>SUM(TimeEntries734744[Time delta in h])</f>
        <v>5.5461111111799255</v>
      </c>
      <c r="M3181" s="16">
        <f>Tabelle7367735745[[#This Row],[EBS self time]]/Tabelle7367735745[[#This Row],[Total time]]</f>
        <v>0.38658673426291645</v>
      </c>
    </row>
    <row r="3182" spans="1:13">
      <c r="I3182" t="s">
        <v>172</v>
      </c>
      <c r="J3182" s="15">
        <v>0.5</v>
      </c>
      <c r="K3182" s="2">
        <v>2.1440529823303223</v>
      </c>
      <c r="L3182" s="2">
        <f>SUM(TimeEntries734744[Time delta in h])</f>
        <v>5.5461111111799255</v>
      </c>
      <c r="M3182" s="16">
        <f>Tabelle7367735745[[#This Row],[EBS self time]]/Tabelle7367735745[[#This Row],[Total time]]</f>
        <v>0.38658673426291645</v>
      </c>
    </row>
    <row r="3183" spans="1:13">
      <c r="I3183" t="s">
        <v>187</v>
      </c>
      <c r="J3183" s="15">
        <v>0.65</v>
      </c>
      <c r="K3183" s="2">
        <v>4.7647006876708939</v>
      </c>
      <c r="L3183" s="2">
        <f>SUM(TimeEntries734744[Time delta in h])</f>
        <v>5.5461111111799255</v>
      </c>
      <c r="M3183" s="16">
        <f>Tabelle7367735745[[#This Row],[EBS self time]]/Tabelle7367735745[[#This Row],[Total time]]</f>
        <v>0.85910660499861713</v>
      </c>
    </row>
    <row r="3184" spans="1:13">
      <c r="I3184" t="s">
        <v>192</v>
      </c>
      <c r="J3184" s="15">
        <v>0.8</v>
      </c>
      <c r="K3184" s="2">
        <v>8.3102828772493105</v>
      </c>
      <c r="L3184" s="2">
        <f>SUM(TimeEntries734744[Time delta in h])</f>
        <v>5.5461111111799255</v>
      </c>
      <c r="M3184" s="16">
        <f>Tabelle7367735745[[#This Row],[EBS self time]]/Tabelle7367735745[[#This Row],[Total time]]</f>
        <v>1.4983981948175056</v>
      </c>
    </row>
    <row r="3185" spans="1:13">
      <c r="I3185" t="s">
        <v>193</v>
      </c>
      <c r="J3185" s="15">
        <v>0.95</v>
      </c>
      <c r="K3185" s="2">
        <v>8.3102828772493105</v>
      </c>
      <c r="L3185" s="2">
        <f>SUM(TimeEntries734744[Time delta in h])</f>
        <v>5.5461111111799255</v>
      </c>
      <c r="M3185" s="16">
        <f>Tabelle7367735745[[#This Row],[EBS self time]]/Tabelle7367735745[[#This Row],[Total time]]</f>
        <v>1.4983981948175056</v>
      </c>
    </row>
    <row r="3187" spans="1:13">
      <c r="A3187" t="s">
        <v>189</v>
      </c>
      <c r="B3187" t="s">
        <v>591</v>
      </c>
      <c r="C3187" t="s">
        <v>190</v>
      </c>
      <c r="D3187">
        <v>18</v>
      </c>
      <c r="E3187" t="s">
        <v>191</v>
      </c>
      <c r="F3187">
        <v>13</v>
      </c>
    </row>
    <row r="3188" spans="1:13">
      <c r="A3188" s="4" t="s">
        <v>24</v>
      </c>
      <c r="I3188" t="s">
        <v>135</v>
      </c>
      <c r="J3188" t="s">
        <v>136</v>
      </c>
    </row>
    <row r="3189" spans="1:13">
      <c r="A3189" t="s">
        <v>3</v>
      </c>
      <c r="B3189" t="s">
        <v>593</v>
      </c>
    </row>
    <row r="3190" spans="1:13">
      <c r="A3190" t="s">
        <v>77</v>
      </c>
      <c r="B3190" s="2" t="s">
        <v>92</v>
      </c>
      <c r="C3190" t="s">
        <v>4</v>
      </c>
    </row>
    <row r="3191" spans="1:13">
      <c r="A3191" t="s">
        <v>0</v>
      </c>
      <c r="B3191" s="2">
        <f>SUM(TimeEntries736746[Time delta in h])</f>
        <v>27.80694444430992</v>
      </c>
      <c r="C3191" t="s">
        <v>4</v>
      </c>
    </row>
    <row r="3192" spans="1:13">
      <c r="A3192" t="s">
        <v>13</v>
      </c>
      <c r="B3192" s="5" t="s">
        <v>92</v>
      </c>
    </row>
    <row r="3193" spans="1:13">
      <c r="A3193" t="s">
        <v>14</v>
      </c>
      <c r="B3193" s="5" t="s">
        <v>18</v>
      </c>
    </row>
    <row r="3194" spans="1:13">
      <c r="A3194" t="s">
        <v>1</v>
      </c>
      <c r="B3194" t="s">
        <v>91</v>
      </c>
    </row>
    <row r="3195" spans="1:13">
      <c r="A3195" t="s">
        <v>15</v>
      </c>
      <c r="B3195" s="5" t="s">
        <v>92</v>
      </c>
    </row>
    <row r="3196" spans="1:13">
      <c r="A3196" t="s">
        <v>2</v>
      </c>
    </row>
    <row r="3197" spans="1:13">
      <c r="A3197" t="s">
        <v>46</v>
      </c>
      <c r="B3197" t="s">
        <v>591</v>
      </c>
    </row>
    <row r="3198" spans="1:13">
      <c r="A3198" t="s">
        <v>5</v>
      </c>
      <c r="B3198" s="2" t="e">
        <f>B3190/SUM(TimeEntries736746[Time delta in h])</f>
        <v>#VALUE!</v>
      </c>
      <c r="C3198" t="s">
        <v>6</v>
      </c>
    </row>
    <row r="3199" spans="1:13">
      <c r="A3199" t="s">
        <v>93</v>
      </c>
    </row>
    <row r="3200" spans="1:13">
      <c r="A3200" t="s">
        <v>94</v>
      </c>
    </row>
    <row r="3201" spans="1:13">
      <c r="A3201" t="s">
        <v>129</v>
      </c>
      <c r="B3201" s="1">
        <v>44161.954328703701</v>
      </c>
    </row>
    <row r="3203" spans="1:13">
      <c r="A3203" t="s">
        <v>10</v>
      </c>
      <c r="B3203" t="s">
        <v>7</v>
      </c>
      <c r="C3203" t="s">
        <v>8</v>
      </c>
      <c r="D3203" t="s">
        <v>9</v>
      </c>
      <c r="E3203" t="s">
        <v>134</v>
      </c>
      <c r="F3203" t="s">
        <v>84</v>
      </c>
      <c r="G3203" t="s">
        <v>85</v>
      </c>
      <c r="I3203" t="s">
        <v>70</v>
      </c>
      <c r="J3203" s="15" t="s">
        <v>68</v>
      </c>
      <c r="K3203" s="2" t="s">
        <v>69</v>
      </c>
      <c r="L3203" t="s">
        <v>71</v>
      </c>
      <c r="M3203" t="s">
        <v>72</v>
      </c>
    </row>
    <row r="3204" spans="1:13">
      <c r="A3204" t="s">
        <v>126</v>
      </c>
      <c r="B3204" s="1">
        <v>44160.795706018522</v>
      </c>
      <c r="C3204" s="1">
        <v>44161.954328703701</v>
      </c>
      <c r="D3204" s="2">
        <f>MAX((TimeEntries736746[[#This Row],[End time]]-TimeEntries736746[[#This Row],[Start time]])*24,0)</f>
        <v>27.80694444430992</v>
      </c>
      <c r="F3204" s="54" t="s">
        <v>184</v>
      </c>
      <c r="G3204" s="22" t="s">
        <v>185</v>
      </c>
      <c r="J3204" s="15"/>
      <c r="K3204" s="2"/>
      <c r="L3204" s="2">
        <f>SUM(TimeEntries736746[Time delta in h])</f>
        <v>27.80694444430992</v>
      </c>
      <c r="M3204" s="16">
        <f>Tabelle7367738747[[#This Row],[EBS self time]]/Tabelle7367738747[[#This Row],[Total time]]</f>
        <v>0</v>
      </c>
    </row>
    <row r="3205" spans="1:13">
      <c r="B3205" s="1"/>
      <c r="C3205" s="1"/>
      <c r="D3205" s="2"/>
    </row>
    <row r="3207" spans="1:13">
      <c r="A3207" t="s">
        <v>189</v>
      </c>
      <c r="B3207" t="s">
        <v>594</v>
      </c>
      <c r="C3207" t="s">
        <v>190</v>
      </c>
      <c r="D3207">
        <v>18</v>
      </c>
      <c r="E3207" t="s">
        <v>191</v>
      </c>
      <c r="F3207">
        <v>13</v>
      </c>
    </row>
    <row r="3208" spans="1:13">
      <c r="A3208" s="4" t="s">
        <v>24</v>
      </c>
      <c r="I3208" t="s">
        <v>135</v>
      </c>
      <c r="J3208" t="s">
        <v>136</v>
      </c>
    </row>
    <row r="3209" spans="1:13">
      <c r="A3209" t="s">
        <v>3</v>
      </c>
      <c r="B3209" t="s">
        <v>596</v>
      </c>
    </row>
    <row r="3210" spans="1:13">
      <c r="A3210" t="s">
        <v>77</v>
      </c>
      <c r="B3210" s="2" t="s">
        <v>92</v>
      </c>
      <c r="C3210" t="s">
        <v>4</v>
      </c>
    </row>
    <row r="3211" spans="1:13">
      <c r="A3211" t="s">
        <v>0</v>
      </c>
      <c r="B3211" s="2">
        <f>SUM(TimeEntries738748[Time delta in h])</f>
        <v>16.164999999920838</v>
      </c>
      <c r="C3211" t="s">
        <v>4</v>
      </c>
    </row>
    <row r="3212" spans="1:13">
      <c r="A3212" t="s">
        <v>13</v>
      </c>
      <c r="B3212" s="5" t="s">
        <v>92</v>
      </c>
    </row>
    <row r="3213" spans="1:13">
      <c r="A3213" t="s">
        <v>14</v>
      </c>
      <c r="B3213" s="5" t="s">
        <v>18</v>
      </c>
    </row>
    <row r="3214" spans="1:13">
      <c r="A3214" t="s">
        <v>1</v>
      </c>
      <c r="B3214" t="s">
        <v>91</v>
      </c>
    </row>
    <row r="3215" spans="1:13">
      <c r="A3215" t="s">
        <v>15</v>
      </c>
      <c r="B3215" s="5" t="s">
        <v>92</v>
      </c>
    </row>
    <row r="3216" spans="1:13">
      <c r="A3216" t="s">
        <v>2</v>
      </c>
    </row>
    <row r="3217" spans="1:13">
      <c r="A3217" t="s">
        <v>46</v>
      </c>
      <c r="B3217" t="s">
        <v>594</v>
      </c>
    </row>
    <row r="3218" spans="1:13">
      <c r="A3218" t="s">
        <v>5</v>
      </c>
      <c r="B3218" s="2" t="e">
        <f>B3210/SUM(TimeEntries738748[Time delta in h])</f>
        <v>#VALUE!</v>
      </c>
      <c r="C3218" t="s">
        <v>6</v>
      </c>
    </row>
    <row r="3219" spans="1:13">
      <c r="A3219" t="s">
        <v>93</v>
      </c>
    </row>
    <row r="3220" spans="1:13">
      <c r="A3220" t="s">
        <v>94</v>
      </c>
    </row>
    <row r="3221" spans="1:13">
      <c r="A3221" t="s">
        <v>129</v>
      </c>
      <c r="B3221" s="1">
        <v>44161.954340277778</v>
      </c>
    </row>
    <row r="3223" spans="1:13">
      <c r="A3223" t="s">
        <v>10</v>
      </c>
      <c r="B3223" t="s">
        <v>7</v>
      </c>
      <c r="C3223" t="s">
        <v>8</v>
      </c>
      <c r="D3223" t="s">
        <v>9</v>
      </c>
      <c r="E3223" t="s">
        <v>134</v>
      </c>
      <c r="F3223" t="s">
        <v>84</v>
      </c>
      <c r="G3223" t="s">
        <v>85</v>
      </c>
      <c r="I3223" t="s">
        <v>70</v>
      </c>
      <c r="J3223" s="15" t="s">
        <v>68</v>
      </c>
      <c r="K3223" s="2" t="s">
        <v>69</v>
      </c>
      <c r="L3223" t="s">
        <v>71</v>
      </c>
      <c r="M3223" t="s">
        <v>72</v>
      </c>
    </row>
    <row r="3224" spans="1:13">
      <c r="A3224" t="s">
        <v>126</v>
      </c>
      <c r="B3224" s="1">
        <v>44161.280798611115</v>
      </c>
      <c r="C3224" s="1">
        <v>44161.954340277778</v>
      </c>
      <c r="D3224" s="2">
        <f>MAX((TimeEntries738748[[#This Row],[End time]]-TimeEntries738748[[#This Row],[Start time]])*24,0)</f>
        <v>16.164999999920838</v>
      </c>
      <c r="F3224" s="54" t="s">
        <v>184</v>
      </c>
      <c r="G3224" s="22" t="s">
        <v>185</v>
      </c>
      <c r="J3224" s="15"/>
      <c r="K3224" s="2"/>
      <c r="L3224" s="2">
        <f>SUM(TimeEntries738748[Time delta in h])</f>
        <v>16.164999999920838</v>
      </c>
      <c r="M3224" s="16">
        <f>Tabelle7367739749[[#This Row],[EBS self time]]/Tabelle7367739749[[#This Row],[Total time]]</f>
        <v>0</v>
      </c>
    </row>
    <row r="3225" spans="1:13">
      <c r="B3225" s="1"/>
      <c r="C3225" s="1"/>
      <c r="D3225" s="2"/>
    </row>
    <row r="3227" spans="1:13">
      <c r="A3227" t="s">
        <v>189</v>
      </c>
      <c r="B3227" t="s">
        <v>597</v>
      </c>
      <c r="C3227" t="s">
        <v>190</v>
      </c>
      <c r="D3227">
        <v>18</v>
      </c>
      <c r="E3227" t="s">
        <v>191</v>
      </c>
      <c r="F3227">
        <v>13</v>
      </c>
    </row>
    <row r="3228" spans="1:13">
      <c r="A3228" s="4" t="s">
        <v>24</v>
      </c>
      <c r="I3228" t="s">
        <v>135</v>
      </c>
      <c r="J3228" t="s">
        <v>136</v>
      </c>
    </row>
    <row r="3229" spans="1:13">
      <c r="A3229" t="s">
        <v>3</v>
      </c>
      <c r="B3229" t="s">
        <v>599</v>
      </c>
    </row>
    <row r="3230" spans="1:13">
      <c r="A3230" t="s">
        <v>77</v>
      </c>
      <c r="B3230" s="2" t="s">
        <v>92</v>
      </c>
      <c r="C3230" t="s">
        <v>4</v>
      </c>
    </row>
    <row r="3231" spans="1:13">
      <c r="A3231" t="s">
        <v>0</v>
      </c>
      <c r="B3231" s="2">
        <f>SUM(TimeEntries740750754764[Time delta in h])</f>
        <v>9.6027777777635492</v>
      </c>
      <c r="C3231" t="s">
        <v>4</v>
      </c>
    </row>
    <row r="3232" spans="1:13">
      <c r="A3232" t="s">
        <v>13</v>
      </c>
      <c r="B3232" s="5" t="s">
        <v>92</v>
      </c>
    </row>
    <row r="3233" spans="1:13">
      <c r="A3233" t="s">
        <v>14</v>
      </c>
      <c r="B3233" s="5" t="s">
        <v>18</v>
      </c>
    </row>
    <row r="3234" spans="1:13">
      <c r="A3234" t="s">
        <v>1</v>
      </c>
      <c r="B3234" t="s">
        <v>91</v>
      </c>
    </row>
    <row r="3235" spans="1:13">
      <c r="A3235" t="s">
        <v>15</v>
      </c>
      <c r="B3235" s="5" t="s">
        <v>92</v>
      </c>
    </row>
    <row r="3236" spans="1:13">
      <c r="A3236" t="s">
        <v>2</v>
      </c>
    </row>
    <row r="3237" spans="1:13">
      <c r="A3237" t="s">
        <v>46</v>
      </c>
      <c r="B3237" t="s">
        <v>597</v>
      </c>
    </row>
    <row r="3238" spans="1:13">
      <c r="A3238" t="s">
        <v>5</v>
      </c>
      <c r="B3238" s="2" t="e">
        <f>B3230/SUM(TimeEntries740750754764[Time delta in h])</f>
        <v>#VALUE!</v>
      </c>
      <c r="C3238" t="s">
        <v>6</v>
      </c>
    </row>
    <row r="3239" spans="1:13">
      <c r="A3239" t="s">
        <v>93</v>
      </c>
    </row>
    <row r="3240" spans="1:13">
      <c r="A3240" t="s">
        <v>94</v>
      </c>
    </row>
    <row r="3241" spans="1:13">
      <c r="A3241" t="s">
        <v>129</v>
      </c>
      <c r="B3241" s="1">
        <v>44161.954363425924</v>
      </c>
    </row>
    <row r="3243" spans="1:13">
      <c r="A3243" t="s">
        <v>10</v>
      </c>
      <c r="B3243" t="s">
        <v>7</v>
      </c>
      <c r="C3243" t="s">
        <v>8</v>
      </c>
      <c r="D3243" t="s">
        <v>9</v>
      </c>
      <c r="E3243" t="s">
        <v>134</v>
      </c>
      <c r="F3243" t="s">
        <v>84</v>
      </c>
      <c r="G3243" t="s">
        <v>85</v>
      </c>
      <c r="I3243" t="s">
        <v>70</v>
      </c>
      <c r="J3243" s="15" t="s">
        <v>68</v>
      </c>
      <c r="K3243" s="2" t="s">
        <v>69</v>
      </c>
      <c r="L3243" t="s">
        <v>71</v>
      </c>
      <c r="M3243" t="s">
        <v>72</v>
      </c>
    </row>
    <row r="3244" spans="1:13">
      <c r="A3244" t="s">
        <v>126</v>
      </c>
      <c r="B3244" s="1">
        <v>44161.554340277777</v>
      </c>
      <c r="C3244" s="1">
        <v>44161.954456018517</v>
      </c>
      <c r="D3244" s="2">
        <f>MAX((TimeEntries740750754764[[#This Row],[End time]]-TimeEntries740750754764[[#This Row],[Start time]])*24,0)</f>
        <v>9.6027777777635492</v>
      </c>
      <c r="F3244" s="54" t="s">
        <v>184</v>
      </c>
      <c r="G3244" s="22" t="s">
        <v>185</v>
      </c>
      <c r="J3244" s="15"/>
      <c r="K3244" s="2"/>
      <c r="L3244" s="2">
        <f>SUM(TimeEntries740750754764[Time delta in h])</f>
        <v>9.6027777777635492</v>
      </c>
      <c r="M3244" s="16">
        <f>Tabelle7367741751755765[[#This Row],[EBS self time]]/Tabelle7367741751755765[[#This Row],[Total time]]</f>
        <v>0</v>
      </c>
    </row>
    <row r="3245" spans="1:13">
      <c r="B3245" s="1"/>
      <c r="C3245" s="1"/>
      <c r="D3245" s="2"/>
    </row>
    <row r="3247" spans="1:13">
      <c r="A3247" t="s">
        <v>189</v>
      </c>
      <c r="B3247" t="s">
        <v>600</v>
      </c>
      <c r="C3247" t="s">
        <v>190</v>
      </c>
      <c r="D3247">
        <v>23</v>
      </c>
      <c r="E3247" t="s">
        <v>191</v>
      </c>
      <c r="F3247">
        <v>13</v>
      </c>
    </row>
    <row r="3248" spans="1:13">
      <c r="A3248" s="4" t="s">
        <v>24</v>
      </c>
      <c r="I3248" t="s">
        <v>135</v>
      </c>
      <c r="J3248" t="s">
        <v>136</v>
      </c>
    </row>
    <row r="3249" spans="1:13">
      <c r="A3249" t="s">
        <v>3</v>
      </c>
      <c r="B3249" t="s">
        <v>602</v>
      </c>
    </row>
    <row r="3250" spans="1:13">
      <c r="A3250" t="s">
        <v>77</v>
      </c>
      <c r="B3250" s="2">
        <v>1.3064861297607422</v>
      </c>
      <c r="C3250" t="s">
        <v>4</v>
      </c>
    </row>
    <row r="3251" spans="1:13">
      <c r="A3251" t="s">
        <v>0</v>
      </c>
      <c r="B3251" s="2">
        <f>SUM(TimeEntries756766[Time delta in h])</f>
        <v>27.984722222259734</v>
      </c>
      <c r="C3251" t="s">
        <v>4</v>
      </c>
    </row>
    <row r="3252" spans="1:13">
      <c r="A3252" t="s">
        <v>13</v>
      </c>
      <c r="B3252" s="5" t="s">
        <v>92</v>
      </c>
    </row>
    <row r="3253" spans="1:13">
      <c r="A3253" t="s">
        <v>14</v>
      </c>
      <c r="B3253" s="5" t="s">
        <v>18</v>
      </c>
    </row>
    <row r="3254" spans="1:13">
      <c r="A3254" t="s">
        <v>1</v>
      </c>
      <c r="B3254" t="s">
        <v>91</v>
      </c>
    </row>
    <row r="3255" spans="1:13">
      <c r="A3255" t="s">
        <v>15</v>
      </c>
      <c r="B3255" s="5" t="s">
        <v>92</v>
      </c>
    </row>
    <row r="3256" spans="1:13">
      <c r="A3256" t="s">
        <v>2</v>
      </c>
    </row>
    <row r="3257" spans="1:13">
      <c r="A3257" t="s">
        <v>46</v>
      </c>
      <c r="B3257" t="s">
        <v>600</v>
      </c>
    </row>
    <row r="3258" spans="1:13">
      <c r="A3258" t="s">
        <v>5</v>
      </c>
      <c r="B3258" s="2">
        <f>B3250/SUM(TimeEntries756766[Time delta in h])</f>
        <v>4.668569226395719E-2</v>
      </c>
      <c r="C3258" t="s">
        <v>6</v>
      </c>
    </row>
    <row r="3259" spans="1:13">
      <c r="A3259" t="s">
        <v>93</v>
      </c>
    </row>
    <row r="3260" spans="1:13">
      <c r="A3260" t="s">
        <v>94</v>
      </c>
    </row>
    <row r="3261" spans="1:13">
      <c r="A3261" t="s">
        <v>129</v>
      </c>
      <c r="B3261" s="1">
        <v>44161.954467592594</v>
      </c>
    </row>
    <row r="3263" spans="1:13">
      <c r="A3263" t="s">
        <v>10</v>
      </c>
      <c r="B3263" t="s">
        <v>7</v>
      </c>
      <c r="C3263" t="s">
        <v>8</v>
      </c>
      <c r="D3263" t="s">
        <v>9</v>
      </c>
      <c r="E3263" t="s">
        <v>134</v>
      </c>
      <c r="F3263" t="s">
        <v>84</v>
      </c>
      <c r="G3263" t="s">
        <v>85</v>
      </c>
      <c r="I3263" t="s">
        <v>70</v>
      </c>
      <c r="J3263" s="15" t="s">
        <v>68</v>
      </c>
      <c r="K3263" s="2" t="s">
        <v>69</v>
      </c>
      <c r="L3263" t="s">
        <v>71</v>
      </c>
      <c r="M3263" t="s">
        <v>72</v>
      </c>
    </row>
    <row r="3264" spans="1:13">
      <c r="A3264" t="s">
        <v>126</v>
      </c>
      <c r="B3264" s="1">
        <v>44160.788437499999</v>
      </c>
      <c r="C3264" s="1">
        <v>44161.954467592594</v>
      </c>
      <c r="D3264" s="2">
        <f>MAX((TimeEntries756766[[#This Row],[End time]]-TimeEntries756766[[#This Row],[Start time]])*24,0)</f>
        <v>27.984722222259734</v>
      </c>
      <c r="F3264" s="54" t="s">
        <v>184</v>
      </c>
      <c r="G3264" s="22" t="s">
        <v>185</v>
      </c>
      <c r="I3264" t="s">
        <v>126</v>
      </c>
      <c r="J3264" s="15">
        <v>0.05</v>
      </c>
      <c r="K3264" s="2">
        <v>0.65324306488037109</v>
      </c>
      <c r="L3264" s="2">
        <f>SUM(TimeEntries756766[Time delta in h])</f>
        <v>27.984722222259734</v>
      </c>
      <c r="M3264" s="16">
        <f>Tabelle7367757767[[#This Row],[EBS self time]]/Tabelle7367757767[[#This Row],[Total time]]</f>
        <v>2.3342846131978595E-2</v>
      </c>
    </row>
    <row r="3265" spans="1:13">
      <c r="B3265" s="1"/>
      <c r="C3265" s="1"/>
      <c r="D3265" s="2"/>
      <c r="I3265" t="s">
        <v>127</v>
      </c>
      <c r="J3265" s="15">
        <v>0.2</v>
      </c>
      <c r="K3265" s="2">
        <v>0.65324306488037109</v>
      </c>
      <c r="L3265" s="2">
        <f>SUM(TimeEntries756766[Time delta in h])</f>
        <v>27.984722222259734</v>
      </c>
      <c r="M3265" s="16">
        <f>Tabelle7367757767[[#This Row],[EBS self time]]/Tabelle7367757767[[#This Row],[Total time]]</f>
        <v>2.3342846131978595E-2</v>
      </c>
    </row>
    <row r="3266" spans="1:13">
      <c r="I3266" t="s">
        <v>169</v>
      </c>
      <c r="J3266" s="15">
        <v>0.35</v>
      </c>
      <c r="K3266" s="2">
        <v>0.65324306488037109</v>
      </c>
      <c r="L3266" s="2">
        <f>SUM(TimeEntries756766[Time delta in h])</f>
        <v>27.984722222259734</v>
      </c>
      <c r="M3266" s="16">
        <f>Tabelle7367757767[[#This Row],[EBS self time]]/Tabelle7367757767[[#This Row],[Total time]]</f>
        <v>2.3342846131978595E-2</v>
      </c>
    </row>
    <row r="3267" spans="1:13">
      <c r="I3267" t="s">
        <v>172</v>
      </c>
      <c r="J3267" s="15">
        <v>0.5</v>
      </c>
      <c r="K3267" s="2">
        <v>0.65324306488037109</v>
      </c>
      <c r="L3267" s="2">
        <f>SUM(TimeEntries756766[Time delta in h])</f>
        <v>27.984722222259734</v>
      </c>
      <c r="M3267" s="16">
        <f>Tabelle7367757767[[#This Row],[EBS self time]]/Tabelle7367757767[[#This Row],[Total time]]</f>
        <v>2.3342846131978595E-2</v>
      </c>
    </row>
    <row r="3268" spans="1:13">
      <c r="I3268" t="s">
        <v>187</v>
      </c>
      <c r="J3268" s="15">
        <v>0.65</v>
      </c>
      <c r="K3268" s="2">
        <v>0.65324306488037109</v>
      </c>
      <c r="L3268" s="2">
        <f>SUM(TimeEntries756766[Time delta in h])</f>
        <v>27.984722222259734</v>
      </c>
      <c r="M3268" s="16">
        <f>Tabelle7367757767[[#This Row],[EBS self time]]/Tabelle7367757767[[#This Row],[Total time]]</f>
        <v>2.3342846131978595E-2</v>
      </c>
    </row>
    <row r="3269" spans="1:13">
      <c r="I3269" t="s">
        <v>192</v>
      </c>
      <c r="J3269" s="15">
        <v>0.8</v>
      </c>
      <c r="K3269" s="2">
        <v>2.5319498638774074</v>
      </c>
      <c r="L3269" s="2">
        <f>SUM(TimeEntries756766[Time delta in h])</f>
        <v>27.984722222259734</v>
      </c>
      <c r="M3269" s="16">
        <f>Tabelle7367757767[[#This Row],[EBS self time]]/Tabelle7367757767[[#This Row],[Total time]]</f>
        <v>9.0476147798366657E-2</v>
      </c>
    </row>
    <row r="3270" spans="1:13">
      <c r="I3270" t="s">
        <v>193</v>
      </c>
      <c r="J3270" s="15">
        <v>0.95</v>
      </c>
      <c r="K3270" s="2">
        <v>2.5319498638774074</v>
      </c>
      <c r="L3270" s="2">
        <f>SUM(TimeEntries756766[Time delta in h])</f>
        <v>27.984722222259734</v>
      </c>
      <c r="M3270" s="16">
        <f>Tabelle7367757767[[#This Row],[EBS self time]]/Tabelle7367757767[[#This Row],[Total time]]</f>
        <v>9.0476147798366657E-2</v>
      </c>
    </row>
    <row r="3272" spans="1:13">
      <c r="A3272" t="s">
        <v>189</v>
      </c>
      <c r="B3272" t="s">
        <v>603</v>
      </c>
      <c r="C3272" t="s">
        <v>190</v>
      </c>
      <c r="D3272">
        <v>18</v>
      </c>
      <c r="E3272" t="s">
        <v>191</v>
      </c>
      <c r="F3272">
        <v>13</v>
      </c>
    </row>
    <row r="3273" spans="1:13">
      <c r="A3273" s="4" t="s">
        <v>24</v>
      </c>
      <c r="I3273" t="s">
        <v>135</v>
      </c>
      <c r="J3273" t="s">
        <v>136</v>
      </c>
    </row>
    <row r="3274" spans="1:13">
      <c r="A3274" t="s">
        <v>3</v>
      </c>
      <c r="B3274" t="s">
        <v>605</v>
      </c>
    </row>
    <row r="3275" spans="1:13">
      <c r="A3275" t="s">
        <v>77</v>
      </c>
      <c r="B3275" s="2" t="s">
        <v>92</v>
      </c>
      <c r="C3275" t="s">
        <v>4</v>
      </c>
    </row>
    <row r="3276" spans="1:13">
      <c r="A3276" t="s">
        <v>0</v>
      </c>
      <c r="B3276" s="2">
        <f>SUM(TimeEntries758768[Time delta in h])</f>
        <v>22.596388888719957</v>
      </c>
      <c r="C3276" t="s">
        <v>4</v>
      </c>
    </row>
    <row r="3277" spans="1:13">
      <c r="A3277" t="s">
        <v>13</v>
      </c>
      <c r="B3277" s="5" t="s">
        <v>92</v>
      </c>
    </row>
    <row r="3278" spans="1:13">
      <c r="A3278" t="s">
        <v>14</v>
      </c>
      <c r="B3278" s="5" t="s">
        <v>18</v>
      </c>
    </row>
    <row r="3279" spans="1:13">
      <c r="A3279" t="s">
        <v>1</v>
      </c>
      <c r="B3279" t="s">
        <v>91</v>
      </c>
    </row>
    <row r="3280" spans="1:13">
      <c r="A3280" t="s">
        <v>15</v>
      </c>
      <c r="B3280" s="5" t="s">
        <v>92</v>
      </c>
    </row>
    <row r="3281" spans="1:13">
      <c r="A3281" t="s">
        <v>2</v>
      </c>
    </row>
    <row r="3282" spans="1:13">
      <c r="A3282" t="s">
        <v>46</v>
      </c>
      <c r="B3282" t="s">
        <v>603</v>
      </c>
    </row>
    <row r="3283" spans="1:13">
      <c r="A3283" t="s">
        <v>5</v>
      </c>
      <c r="B3283" s="2" t="e">
        <f>B3275/SUM(TimeEntries758768[Time delta in h])</f>
        <v>#VALUE!</v>
      </c>
      <c r="C3283" t="s">
        <v>6</v>
      </c>
    </row>
    <row r="3284" spans="1:13">
      <c r="A3284" t="s">
        <v>93</v>
      </c>
    </row>
    <row r="3285" spans="1:13">
      <c r="A3285" t="s">
        <v>94</v>
      </c>
    </row>
    <row r="3286" spans="1:13">
      <c r="A3286" t="s">
        <v>129</v>
      </c>
      <c r="B3286" s="1">
        <v>44161.954479166663</v>
      </c>
    </row>
    <row r="3288" spans="1:13">
      <c r="A3288" t="s">
        <v>10</v>
      </c>
      <c r="B3288" t="s">
        <v>7</v>
      </c>
      <c r="C3288" t="s">
        <v>8</v>
      </c>
      <c r="D3288" t="s">
        <v>9</v>
      </c>
      <c r="E3288" t="s">
        <v>134</v>
      </c>
      <c r="F3288" t="s">
        <v>84</v>
      </c>
      <c r="G3288" t="s">
        <v>85</v>
      </c>
      <c r="I3288" t="s">
        <v>70</v>
      </c>
      <c r="J3288" s="15" t="s">
        <v>68</v>
      </c>
      <c r="K3288" s="2" t="s">
        <v>69</v>
      </c>
      <c r="L3288" t="s">
        <v>71</v>
      </c>
      <c r="M3288" t="s">
        <v>72</v>
      </c>
    </row>
    <row r="3289" spans="1:13">
      <c r="A3289" t="s">
        <v>126</v>
      </c>
      <c r="B3289" s="1">
        <v>44161.012962962966</v>
      </c>
      <c r="C3289" s="1">
        <v>44161.954479166663</v>
      </c>
      <c r="D3289" s="2">
        <f>MAX((TimeEntries758768[[#This Row],[End time]]-TimeEntries758768[[#This Row],[Start time]])*24,0)</f>
        <v>22.596388888719957</v>
      </c>
      <c r="F3289" s="54" t="s">
        <v>184</v>
      </c>
      <c r="G3289" s="22" t="s">
        <v>185</v>
      </c>
      <c r="J3289" s="15"/>
      <c r="K3289" s="2"/>
      <c r="L3289" s="2">
        <f>SUM(TimeEntries758768[Time delta in h])</f>
        <v>22.596388888719957</v>
      </c>
      <c r="M3289" s="16">
        <f>Tabelle7367759769[[#This Row],[EBS self time]]/Tabelle7367759769[[#This Row],[Total time]]</f>
        <v>0</v>
      </c>
    </row>
    <row r="3290" spans="1:13">
      <c r="B3290" s="1"/>
      <c r="C3290" s="1"/>
      <c r="D3290" s="2"/>
    </row>
    <row r="3292" spans="1:13">
      <c r="A3292" t="s">
        <v>189</v>
      </c>
      <c r="B3292" t="s">
        <v>606</v>
      </c>
      <c r="C3292" t="s">
        <v>190</v>
      </c>
      <c r="D3292">
        <v>23</v>
      </c>
      <c r="E3292" t="s">
        <v>191</v>
      </c>
      <c r="F3292">
        <v>13</v>
      </c>
    </row>
    <row r="3293" spans="1:13">
      <c r="A3293" s="4" t="s">
        <v>24</v>
      </c>
      <c r="I3293" t="s">
        <v>135</v>
      </c>
      <c r="J3293" t="s">
        <v>136</v>
      </c>
    </row>
    <row r="3294" spans="1:13">
      <c r="A3294" t="s">
        <v>3</v>
      </c>
      <c r="B3294" t="s">
        <v>608</v>
      </c>
    </row>
    <row r="3295" spans="1:13">
      <c r="A3295" t="s">
        <v>77</v>
      </c>
      <c r="B3295" s="2">
        <v>13.115969657897949</v>
      </c>
      <c r="C3295" t="s">
        <v>4</v>
      </c>
    </row>
    <row r="3296" spans="1:13">
      <c r="A3296" t="s">
        <v>0</v>
      </c>
      <c r="B3296" s="2">
        <f>SUM(TimeEntries760770[Time delta in h])</f>
        <v>14.231388888903894</v>
      </c>
      <c r="C3296" t="s">
        <v>4</v>
      </c>
    </row>
    <row r="3297" spans="1:13">
      <c r="A3297" t="s">
        <v>13</v>
      </c>
      <c r="B3297" s="5" t="s">
        <v>92</v>
      </c>
    </row>
    <row r="3298" spans="1:13">
      <c r="A3298" t="s">
        <v>14</v>
      </c>
      <c r="B3298" s="5" t="s">
        <v>18</v>
      </c>
    </row>
    <row r="3299" spans="1:13">
      <c r="A3299" t="s">
        <v>1</v>
      </c>
      <c r="B3299" t="s">
        <v>91</v>
      </c>
    </row>
    <row r="3300" spans="1:13">
      <c r="A3300" t="s">
        <v>15</v>
      </c>
      <c r="B3300" s="5" t="s">
        <v>92</v>
      </c>
    </row>
    <row r="3301" spans="1:13">
      <c r="A3301" t="s">
        <v>2</v>
      </c>
    </row>
    <row r="3302" spans="1:13">
      <c r="A3302" t="s">
        <v>46</v>
      </c>
      <c r="B3302" t="s">
        <v>606</v>
      </c>
    </row>
    <row r="3303" spans="1:13">
      <c r="A3303" t="s">
        <v>5</v>
      </c>
      <c r="B3303" s="2">
        <f>B3295/SUM(TimeEntries760770[Time delta in h])</f>
        <v>0.92162260200228041</v>
      </c>
      <c r="C3303" t="s">
        <v>6</v>
      </c>
    </row>
    <row r="3304" spans="1:13">
      <c r="A3304" t="s">
        <v>93</v>
      </c>
    </row>
    <row r="3305" spans="1:13">
      <c r="A3305" t="s">
        <v>94</v>
      </c>
    </row>
    <row r="3306" spans="1:13">
      <c r="A3306" t="s">
        <v>129</v>
      </c>
      <c r="B3306" s="1">
        <v>44161.95449074074</v>
      </c>
    </row>
    <row r="3308" spans="1:13">
      <c r="A3308" t="s">
        <v>10</v>
      </c>
      <c r="B3308" t="s">
        <v>7</v>
      </c>
      <c r="C3308" t="s">
        <v>8</v>
      </c>
      <c r="D3308" t="s">
        <v>9</v>
      </c>
      <c r="E3308" t="s">
        <v>134</v>
      </c>
      <c r="F3308" t="s">
        <v>84</v>
      </c>
      <c r="G3308" t="s">
        <v>85</v>
      </c>
      <c r="I3308" t="s">
        <v>70</v>
      </c>
      <c r="J3308" s="15" t="s">
        <v>68</v>
      </c>
      <c r="K3308" s="2" t="s">
        <v>69</v>
      </c>
      <c r="L3308" t="s">
        <v>71</v>
      </c>
      <c r="M3308" t="s">
        <v>72</v>
      </c>
    </row>
    <row r="3309" spans="1:13">
      <c r="A3309" t="s">
        <v>126</v>
      </c>
      <c r="B3309" s="1">
        <v>44161.361527777779</v>
      </c>
      <c r="C3309" s="1">
        <v>44161.954502314817</v>
      </c>
      <c r="D3309" s="2">
        <f>MAX((TimeEntries760770[[#This Row],[End time]]-TimeEntries760770[[#This Row],[Start time]])*24,0)</f>
        <v>14.231388888903894</v>
      </c>
      <c r="F3309" s="54" t="s">
        <v>184</v>
      </c>
      <c r="G3309" s="22" t="s">
        <v>185</v>
      </c>
      <c r="I3309" t="s">
        <v>126</v>
      </c>
      <c r="J3309" s="15">
        <v>0.05</v>
      </c>
      <c r="K3309" s="2">
        <v>6.5579848289489746</v>
      </c>
      <c r="L3309" s="2">
        <f>SUM(TimeEntries760770[Time delta in h])</f>
        <v>14.231388888903894</v>
      </c>
      <c r="M3309" s="16">
        <f>Tabelle7367761771[[#This Row],[EBS self time]]/Tabelle7367761771[[#This Row],[Total time]]</f>
        <v>0.46081130100114021</v>
      </c>
    </row>
    <row r="3310" spans="1:13">
      <c r="B3310" s="1"/>
      <c r="C3310" s="1"/>
      <c r="D3310" s="2"/>
      <c r="I3310" t="s">
        <v>127</v>
      </c>
      <c r="J3310" s="15">
        <v>0.2</v>
      </c>
      <c r="K3310" s="2">
        <v>6.5579848289489746</v>
      </c>
      <c r="L3310" s="2">
        <f>SUM(TimeEntries760770[Time delta in h])</f>
        <v>14.231388888903894</v>
      </c>
      <c r="M3310" s="16">
        <f>Tabelle7367761771[[#This Row],[EBS self time]]/Tabelle7367761771[[#This Row],[Total time]]</f>
        <v>0.46081130100114021</v>
      </c>
    </row>
    <row r="3311" spans="1:13">
      <c r="I3311" t="s">
        <v>169</v>
      </c>
      <c r="J3311" s="15">
        <v>0.35</v>
      </c>
      <c r="K3311" s="2">
        <v>6.5579848289489746</v>
      </c>
      <c r="L3311" s="2">
        <f>SUM(TimeEntries760770[Time delta in h])</f>
        <v>14.231388888903894</v>
      </c>
      <c r="M3311" s="16">
        <f>Tabelle7367761771[[#This Row],[EBS self time]]/Tabelle7367761771[[#This Row],[Total time]]</f>
        <v>0.46081130100114021</v>
      </c>
    </row>
    <row r="3312" spans="1:13">
      <c r="I3312" t="s">
        <v>172</v>
      </c>
      <c r="J3312" s="15">
        <v>0.5</v>
      </c>
      <c r="K3312" s="2">
        <v>6.5579848289489746</v>
      </c>
      <c r="L3312" s="2">
        <f>SUM(TimeEntries760770[Time delta in h])</f>
        <v>14.231388888903894</v>
      </c>
      <c r="M3312" s="16">
        <f>Tabelle7367761771[[#This Row],[EBS self time]]/Tabelle7367761771[[#This Row],[Total time]]</f>
        <v>0.46081130100114021</v>
      </c>
    </row>
    <row r="3313" spans="1:13">
      <c r="I3313" t="s">
        <v>187</v>
      </c>
      <c r="J3313" s="15">
        <v>0.65</v>
      </c>
      <c r="K3313" s="2">
        <v>6.5579848289489746</v>
      </c>
      <c r="L3313" s="2">
        <f>SUM(TimeEntries760770[Time delta in h])</f>
        <v>14.231388888903894</v>
      </c>
      <c r="M3313" s="16">
        <f>Tabelle7367761771[[#This Row],[EBS self time]]/Tabelle7367761771[[#This Row],[Total time]]</f>
        <v>0.46081130100114021</v>
      </c>
    </row>
    <row r="3314" spans="1:13">
      <c r="I3314" t="s">
        <v>192</v>
      </c>
      <c r="J3314" s="15">
        <v>0.8</v>
      </c>
      <c r="K3314" s="2">
        <v>25.418545848639436</v>
      </c>
      <c r="L3314" s="2">
        <f>SUM(TimeEntries760770[Time delta in h])</f>
        <v>14.231388888903894</v>
      </c>
      <c r="M3314" s="16">
        <f>Tabelle7367761771[[#This Row],[EBS self time]]/Tabelle7367761771[[#This Row],[Total time]]</f>
        <v>1.7860903139579078</v>
      </c>
    </row>
    <row r="3315" spans="1:13">
      <c r="I3315" t="s">
        <v>193</v>
      </c>
      <c r="J3315" s="15">
        <v>0.95</v>
      </c>
      <c r="K3315" s="2">
        <v>25.418545848639436</v>
      </c>
      <c r="L3315" s="2">
        <f>SUM(TimeEntries760770[Time delta in h])</f>
        <v>14.231388888903894</v>
      </c>
      <c r="M3315" s="16">
        <f>Tabelle7367761771[[#This Row],[EBS self time]]/Tabelle7367761771[[#This Row],[Total time]]</f>
        <v>1.7860903139579078</v>
      </c>
    </row>
    <row r="3317" spans="1:13">
      <c r="A3317" t="s">
        <v>189</v>
      </c>
      <c r="B3317" t="s">
        <v>609</v>
      </c>
      <c r="C3317" t="s">
        <v>190</v>
      </c>
      <c r="D3317">
        <v>23</v>
      </c>
      <c r="E3317" t="s">
        <v>191</v>
      </c>
      <c r="F3317">
        <v>13</v>
      </c>
    </row>
    <row r="3318" spans="1:13">
      <c r="A3318" s="4" t="s">
        <v>24</v>
      </c>
      <c r="I3318" t="s">
        <v>135</v>
      </c>
      <c r="J3318" t="s">
        <v>136</v>
      </c>
    </row>
    <row r="3319" spans="1:13">
      <c r="A3319" t="s">
        <v>3</v>
      </c>
      <c r="B3319" t="s">
        <v>611</v>
      </c>
    </row>
    <row r="3320" spans="1:13">
      <c r="A3320" t="s">
        <v>77</v>
      </c>
      <c r="B3320" s="2">
        <v>7.2433395385742188</v>
      </c>
      <c r="C3320" t="s">
        <v>4</v>
      </c>
    </row>
    <row r="3321" spans="1:13">
      <c r="A3321" t="s">
        <v>0</v>
      </c>
      <c r="B3321" s="2">
        <f>SUM(TimeEntries762772776786[Time delta in h])</f>
        <v>0.10194444435182959</v>
      </c>
      <c r="C3321" t="s">
        <v>4</v>
      </c>
    </row>
    <row r="3322" spans="1:13">
      <c r="A3322" t="s">
        <v>13</v>
      </c>
      <c r="B3322" s="5" t="s">
        <v>92</v>
      </c>
    </row>
    <row r="3323" spans="1:13">
      <c r="A3323" t="s">
        <v>14</v>
      </c>
      <c r="B3323" s="5" t="s">
        <v>18</v>
      </c>
    </row>
    <row r="3324" spans="1:13">
      <c r="A3324" t="s">
        <v>1</v>
      </c>
      <c r="B3324" t="s">
        <v>131</v>
      </c>
    </row>
    <row r="3325" spans="1:13">
      <c r="A3325" t="s">
        <v>15</v>
      </c>
      <c r="B3325" s="5">
        <v>44161.954583333332</v>
      </c>
    </row>
    <row r="3326" spans="1:13">
      <c r="A3326" t="s">
        <v>2</v>
      </c>
    </row>
    <row r="3327" spans="1:13">
      <c r="A3327" t="s">
        <v>46</v>
      </c>
      <c r="B3327" t="s">
        <v>609</v>
      </c>
    </row>
    <row r="3328" spans="1:13">
      <c r="A3328" t="s">
        <v>5</v>
      </c>
      <c r="B3328" s="2">
        <f>B3320/SUM(TimeEntries762772776786[Time delta in h])</f>
        <v>71.051832050563561</v>
      </c>
      <c r="C3328" t="s">
        <v>6</v>
      </c>
    </row>
    <row r="3329" spans="1:13">
      <c r="A3329" t="s">
        <v>93</v>
      </c>
    </row>
    <row r="3330" spans="1:13">
      <c r="A3330" t="s">
        <v>94</v>
      </c>
    </row>
    <row r="3331" spans="1:13">
      <c r="A3331" t="s">
        <v>129</v>
      </c>
      <c r="B3331" s="1">
        <v>44161.954513888886</v>
      </c>
    </row>
    <row r="3333" spans="1:13">
      <c r="A3333" t="s">
        <v>10</v>
      </c>
      <c r="B3333" t="s">
        <v>7</v>
      </c>
      <c r="C3333" t="s">
        <v>8</v>
      </c>
      <c r="D3333" t="s">
        <v>9</v>
      </c>
      <c r="E3333" t="s">
        <v>134</v>
      </c>
      <c r="F3333" t="s">
        <v>84</v>
      </c>
      <c r="G3333" t="s">
        <v>85</v>
      </c>
      <c r="I3333" t="s">
        <v>70</v>
      </c>
      <c r="J3333" s="15" t="s">
        <v>68</v>
      </c>
      <c r="K3333" s="2" t="s">
        <v>69</v>
      </c>
      <c r="L3333" t="s">
        <v>71</v>
      </c>
      <c r="M3333" t="s">
        <v>72</v>
      </c>
    </row>
    <row r="3334" spans="1:13">
      <c r="A3334" t="s">
        <v>126</v>
      </c>
      <c r="B3334" s="1">
        <v>44161.950335648151</v>
      </c>
      <c r="C3334" s="1">
        <v>44161.954583333332</v>
      </c>
      <c r="D3334" s="2">
        <f>MAX((TimeEntries762772776786[[#This Row],[End time]]-TimeEntries762772776786[[#This Row],[Start time]])*24,0)</f>
        <v>0.10194444435182959</v>
      </c>
      <c r="F3334" s="54" t="s">
        <v>184</v>
      </c>
      <c r="G3334" s="22" t="s">
        <v>185</v>
      </c>
      <c r="I3334" t="s">
        <v>126</v>
      </c>
      <c r="J3334" s="15">
        <v>0.05</v>
      </c>
      <c r="K3334" s="2">
        <v>3.6216697692871094</v>
      </c>
      <c r="L3334" s="2">
        <f>SUM(TimeEntries762772776786[Time delta in h])</f>
        <v>0.10194444435182959</v>
      </c>
      <c r="M3334" s="16">
        <f>Tabelle7367763773777787[[#This Row],[EBS self time]]/Tabelle7367763773777787[[#This Row],[Total time]]</f>
        <v>35.525916025281781</v>
      </c>
    </row>
    <row r="3335" spans="1:13">
      <c r="B3335" s="1"/>
      <c r="C3335" s="1"/>
      <c r="D3335" s="2"/>
      <c r="I3335" t="s">
        <v>127</v>
      </c>
      <c r="J3335" s="15">
        <v>0.2</v>
      </c>
      <c r="K3335" s="2">
        <v>3.6216697692871094</v>
      </c>
      <c r="L3335" s="2">
        <f>SUM(TimeEntries762772776786[Time delta in h])</f>
        <v>0.10194444435182959</v>
      </c>
      <c r="M3335" s="16">
        <f>Tabelle7367763773777787[[#This Row],[EBS self time]]/Tabelle7367763773777787[[#This Row],[Total time]]</f>
        <v>35.525916025281781</v>
      </c>
    </row>
    <row r="3336" spans="1:13">
      <c r="I3336" t="s">
        <v>169</v>
      </c>
      <c r="J3336" s="15">
        <v>0.35</v>
      </c>
      <c r="K3336" s="2">
        <v>3.6216697692871094</v>
      </c>
      <c r="L3336" s="2">
        <f>SUM(TimeEntries762772776786[Time delta in h])</f>
        <v>0.10194444435182959</v>
      </c>
      <c r="M3336" s="16">
        <f>Tabelle7367763773777787[[#This Row],[EBS self time]]/Tabelle7367763773777787[[#This Row],[Total time]]</f>
        <v>35.525916025281781</v>
      </c>
    </row>
    <row r="3337" spans="1:13">
      <c r="I3337" t="s">
        <v>172</v>
      </c>
      <c r="J3337" s="15">
        <v>0.5</v>
      </c>
      <c r="K3337" s="2">
        <v>3.6216697692871094</v>
      </c>
      <c r="L3337" s="2">
        <f>SUM(TimeEntries762772776786[Time delta in h])</f>
        <v>0.10194444435182959</v>
      </c>
      <c r="M3337" s="16">
        <f>Tabelle7367763773777787[[#This Row],[EBS self time]]/Tabelle7367763773777787[[#This Row],[Total time]]</f>
        <v>35.525916025281781</v>
      </c>
    </row>
    <row r="3338" spans="1:13">
      <c r="I3338" t="s">
        <v>187</v>
      </c>
      <c r="J3338" s="15">
        <v>0.65</v>
      </c>
      <c r="K3338" s="2">
        <v>14.037479725919027</v>
      </c>
      <c r="L3338" s="2">
        <f>SUM(TimeEntries762772776786[Time delta in h])</f>
        <v>0.10194444435182959</v>
      </c>
      <c r="M3338" s="16">
        <f>Tabelle7367763773777787[[#This Row],[EBS self time]]/Tabelle7367763773777787[[#This Row],[Total time]]</f>
        <v>137.69734893520069</v>
      </c>
    </row>
    <row r="3339" spans="1:13">
      <c r="I3339" t="s">
        <v>192</v>
      </c>
      <c r="J3339" s="15">
        <v>0.8</v>
      </c>
      <c r="K3339" s="2">
        <v>14.037479725919027</v>
      </c>
      <c r="L3339" s="2">
        <f>SUM(TimeEntries762772776786[Time delta in h])</f>
        <v>0.10194444435182959</v>
      </c>
      <c r="M3339" s="16">
        <f>Tabelle7367763773777787[[#This Row],[EBS self time]]/Tabelle7367763773777787[[#This Row],[Total time]]</f>
        <v>137.69734893520069</v>
      </c>
    </row>
    <row r="3340" spans="1:13">
      <c r="I3340" t="s">
        <v>193</v>
      </c>
      <c r="J3340" s="15">
        <v>0.95</v>
      </c>
      <c r="K3340" s="2">
        <v>14.037479725919027</v>
      </c>
      <c r="L3340" s="2">
        <f>SUM(TimeEntries762772776786[Time delta in h])</f>
        <v>0.10194444435182959</v>
      </c>
      <c r="M3340" s="16">
        <f>Tabelle7367763773777787[[#This Row],[EBS self time]]/Tabelle7367763773777787[[#This Row],[Total time]]</f>
        <v>137.69734893520069</v>
      </c>
    </row>
    <row r="3342" spans="1:13">
      <c r="A3342" t="s">
        <v>189</v>
      </c>
      <c r="B3342" t="s">
        <v>612</v>
      </c>
      <c r="C3342" t="s">
        <v>190</v>
      </c>
      <c r="D3342">
        <v>23</v>
      </c>
      <c r="E3342" t="s">
        <v>191</v>
      </c>
      <c r="F3342">
        <v>13</v>
      </c>
    </row>
    <row r="3343" spans="1:13">
      <c r="A3343" s="4" t="s">
        <v>24</v>
      </c>
      <c r="I3343" t="s">
        <v>135</v>
      </c>
      <c r="J3343" t="s">
        <v>136</v>
      </c>
    </row>
    <row r="3344" spans="1:13">
      <c r="A3344" t="s">
        <v>3</v>
      </c>
      <c r="B3344" t="s">
        <v>614</v>
      </c>
    </row>
    <row r="3345" spans="1:13">
      <c r="A3345" t="s">
        <v>77</v>
      </c>
      <c r="B3345" s="2">
        <v>11.374558448791504</v>
      </c>
      <c r="C3345" t="s">
        <v>4</v>
      </c>
    </row>
    <row r="3346" spans="1:13">
      <c r="A3346" t="s">
        <v>0</v>
      </c>
      <c r="B3346" s="2">
        <f>SUM(TimeEntries778788[Time delta in h])</f>
        <v>18.457222222234122</v>
      </c>
      <c r="C3346" t="s">
        <v>4</v>
      </c>
    </row>
    <row r="3347" spans="1:13">
      <c r="A3347" t="s">
        <v>13</v>
      </c>
      <c r="B3347" s="5" t="s">
        <v>92</v>
      </c>
    </row>
    <row r="3348" spans="1:13">
      <c r="A3348" t="s">
        <v>14</v>
      </c>
      <c r="B3348" s="5" t="s">
        <v>18</v>
      </c>
    </row>
    <row r="3349" spans="1:13">
      <c r="A3349" t="s">
        <v>1</v>
      </c>
      <c r="B3349" t="s">
        <v>91</v>
      </c>
    </row>
    <row r="3350" spans="1:13">
      <c r="A3350" t="s">
        <v>15</v>
      </c>
      <c r="B3350" s="5" t="s">
        <v>92</v>
      </c>
    </row>
    <row r="3351" spans="1:13">
      <c r="A3351" t="s">
        <v>2</v>
      </c>
    </row>
    <row r="3352" spans="1:13">
      <c r="A3352" t="s">
        <v>46</v>
      </c>
      <c r="B3352" t="s">
        <v>612</v>
      </c>
    </row>
    <row r="3353" spans="1:13">
      <c r="A3353" t="s">
        <v>5</v>
      </c>
      <c r="B3353" s="2">
        <f>B3345/SUM(TimeEntries778788[Time delta in h])</f>
        <v>0.61626599668336712</v>
      </c>
      <c r="C3353" t="s">
        <v>6</v>
      </c>
    </row>
    <row r="3354" spans="1:13">
      <c r="A3354" t="s">
        <v>93</v>
      </c>
    </row>
    <row r="3355" spans="1:13">
      <c r="A3355" t="s">
        <v>94</v>
      </c>
    </row>
    <row r="3356" spans="1:13">
      <c r="A3356" t="s">
        <v>129</v>
      </c>
      <c r="B3356" s="1">
        <v>44161.954594907409</v>
      </c>
    </row>
    <row r="3358" spans="1:13">
      <c r="A3358" t="s">
        <v>10</v>
      </c>
      <c r="B3358" t="s">
        <v>7</v>
      </c>
      <c r="C3358" t="s">
        <v>8</v>
      </c>
      <c r="D3358" t="s">
        <v>9</v>
      </c>
      <c r="E3358" t="s">
        <v>134</v>
      </c>
      <c r="F3358" t="s">
        <v>84</v>
      </c>
      <c r="G3358" t="s">
        <v>85</v>
      </c>
      <c r="I3358" t="s">
        <v>70</v>
      </c>
      <c r="J3358" s="15" t="s">
        <v>68</v>
      </c>
      <c r="K3358" s="2" t="s">
        <v>69</v>
      </c>
      <c r="L3358" t="s">
        <v>71</v>
      </c>
      <c r="M3358" t="s">
        <v>72</v>
      </c>
    </row>
    <row r="3359" spans="1:13">
      <c r="A3359" t="s">
        <v>126</v>
      </c>
      <c r="B3359" s="1">
        <v>44161.185543981483</v>
      </c>
      <c r="C3359" s="1">
        <v>44161.954594907409</v>
      </c>
      <c r="D3359" s="2">
        <f>MAX((TimeEntries778788[[#This Row],[End time]]-TimeEntries778788[[#This Row],[Start time]])*24,0)</f>
        <v>18.457222222234122</v>
      </c>
      <c r="F3359" s="54" t="s">
        <v>184</v>
      </c>
      <c r="G3359" s="22" t="s">
        <v>185</v>
      </c>
      <c r="I3359" t="s">
        <v>126</v>
      </c>
      <c r="J3359" s="15">
        <v>0.05</v>
      </c>
      <c r="K3359" s="2">
        <v>5.687279224395752</v>
      </c>
      <c r="L3359" s="2">
        <f>SUM(TimeEntries778788[Time delta in h])</f>
        <v>18.457222222234122</v>
      </c>
      <c r="M3359" s="16">
        <f>Tabelle7367779789[[#This Row],[EBS self time]]/Tabelle7367779789[[#This Row],[Total time]]</f>
        <v>0.30813299834168356</v>
      </c>
    </row>
    <row r="3360" spans="1:13">
      <c r="B3360" s="1"/>
      <c r="C3360" s="1"/>
      <c r="D3360" s="2"/>
      <c r="I3360" t="s">
        <v>127</v>
      </c>
      <c r="J3360" s="15">
        <v>0.2</v>
      </c>
      <c r="K3360" s="2">
        <v>5.687279224395752</v>
      </c>
      <c r="L3360" s="2">
        <f>SUM(TimeEntries778788[Time delta in h])</f>
        <v>18.457222222234122</v>
      </c>
      <c r="M3360" s="16">
        <f>Tabelle7367779789[[#This Row],[EBS self time]]/Tabelle7367779789[[#This Row],[Total time]]</f>
        <v>0.30813299834168356</v>
      </c>
    </row>
    <row r="3361" spans="1:13">
      <c r="I3361" t="s">
        <v>169</v>
      </c>
      <c r="J3361" s="15">
        <v>0.35</v>
      </c>
      <c r="K3361" s="2">
        <v>5.687279224395752</v>
      </c>
      <c r="L3361" s="2">
        <f>SUM(TimeEntries778788[Time delta in h])</f>
        <v>18.457222222234122</v>
      </c>
      <c r="M3361" s="16">
        <f>Tabelle7367779789[[#This Row],[EBS self time]]/Tabelle7367779789[[#This Row],[Total time]]</f>
        <v>0.30813299834168356</v>
      </c>
    </row>
    <row r="3362" spans="1:13">
      <c r="I3362" t="s">
        <v>172</v>
      </c>
      <c r="J3362" s="15">
        <v>0.5</v>
      </c>
      <c r="K3362" s="2">
        <v>5.687279224395752</v>
      </c>
      <c r="L3362" s="2">
        <f>SUM(TimeEntries778788[Time delta in h])</f>
        <v>18.457222222234122</v>
      </c>
      <c r="M3362" s="16">
        <f>Tabelle7367779789[[#This Row],[EBS self time]]/Tabelle7367779789[[#This Row],[Total time]]</f>
        <v>0.30813299834168356</v>
      </c>
    </row>
    <row r="3363" spans="1:13">
      <c r="I3363" t="s">
        <v>187</v>
      </c>
      <c r="J3363" s="15">
        <v>0.65</v>
      </c>
      <c r="K3363" s="2">
        <v>22.04371792401454</v>
      </c>
      <c r="L3363" s="2">
        <f>SUM(TimeEntries778788[Time delta in h])</f>
        <v>18.457222222234122</v>
      </c>
      <c r="M3363" s="16">
        <f>Tabelle7367779789[[#This Row],[EBS self time]]/Tabelle7367779789[[#This Row],[Total time]]</f>
        <v>1.1943139470607889</v>
      </c>
    </row>
    <row r="3364" spans="1:13">
      <c r="I3364" t="s">
        <v>192</v>
      </c>
      <c r="J3364" s="15">
        <v>0.8</v>
      </c>
      <c r="K3364" s="2">
        <v>22.04371792401454</v>
      </c>
      <c r="L3364" s="2">
        <f>SUM(TimeEntries778788[Time delta in h])</f>
        <v>18.457222222234122</v>
      </c>
      <c r="M3364" s="16">
        <f>Tabelle7367779789[[#This Row],[EBS self time]]/Tabelle7367779789[[#This Row],[Total time]]</f>
        <v>1.1943139470607889</v>
      </c>
    </row>
    <row r="3365" spans="1:13">
      <c r="I3365" t="s">
        <v>193</v>
      </c>
      <c r="J3365" s="15">
        <v>0.95</v>
      </c>
      <c r="K3365" s="2">
        <v>22.04371792401454</v>
      </c>
      <c r="L3365" s="2">
        <f>SUM(TimeEntries778788[Time delta in h])</f>
        <v>18.457222222234122</v>
      </c>
      <c r="M3365" s="16">
        <f>Tabelle7367779789[[#This Row],[EBS self time]]/Tabelle7367779789[[#This Row],[Total time]]</f>
        <v>1.1943139470607889</v>
      </c>
    </row>
    <row r="3367" spans="1:13">
      <c r="A3367" t="s">
        <v>189</v>
      </c>
      <c r="B3367" t="s">
        <v>615</v>
      </c>
      <c r="C3367" t="s">
        <v>190</v>
      </c>
      <c r="D3367">
        <v>23</v>
      </c>
      <c r="E3367" t="s">
        <v>191</v>
      </c>
      <c r="F3367">
        <v>13</v>
      </c>
    </row>
    <row r="3368" spans="1:13">
      <c r="A3368" s="4" t="s">
        <v>24</v>
      </c>
      <c r="I3368" t="s">
        <v>135</v>
      </c>
      <c r="J3368" t="s">
        <v>136</v>
      </c>
    </row>
    <row r="3369" spans="1:13">
      <c r="A3369" t="s">
        <v>3</v>
      </c>
      <c r="B3369" t="s">
        <v>617</v>
      </c>
    </row>
    <row r="3370" spans="1:13">
      <c r="A3370" t="s">
        <v>77</v>
      </c>
      <c r="B3370" s="2">
        <v>5.1160259246826172</v>
      </c>
      <c r="C3370" t="s">
        <v>4</v>
      </c>
    </row>
    <row r="3371" spans="1:13">
      <c r="A3371" t="s">
        <v>0</v>
      </c>
      <c r="B3371" s="2">
        <f>SUM(TimeEntries780790[Time delta in h])</f>
        <v>10.064999999944121</v>
      </c>
      <c r="C3371" t="s">
        <v>4</v>
      </c>
    </row>
    <row r="3372" spans="1:13">
      <c r="A3372" t="s">
        <v>13</v>
      </c>
      <c r="B3372" s="5" t="s">
        <v>92</v>
      </c>
    </row>
    <row r="3373" spans="1:13">
      <c r="A3373" t="s">
        <v>14</v>
      </c>
      <c r="B3373" s="5" t="s">
        <v>18</v>
      </c>
    </row>
    <row r="3374" spans="1:13">
      <c r="A3374" t="s">
        <v>1</v>
      </c>
      <c r="B3374" t="s">
        <v>91</v>
      </c>
    </row>
    <row r="3375" spans="1:13">
      <c r="A3375" t="s">
        <v>15</v>
      </c>
      <c r="B3375" s="5" t="s">
        <v>92</v>
      </c>
    </row>
    <row r="3376" spans="1:13">
      <c r="A3376" t="s">
        <v>2</v>
      </c>
    </row>
    <row r="3377" spans="1:13">
      <c r="A3377" t="s">
        <v>46</v>
      </c>
      <c r="B3377" t="s">
        <v>615</v>
      </c>
    </row>
    <row r="3378" spans="1:13">
      <c r="A3378" t="s">
        <v>5</v>
      </c>
      <c r="B3378" s="2">
        <f>B3370/SUM(TimeEntries780790[Time delta in h])</f>
        <v>0.50829865123805473</v>
      </c>
      <c r="C3378" t="s">
        <v>6</v>
      </c>
    </row>
    <row r="3379" spans="1:13">
      <c r="A3379" t="s">
        <v>93</v>
      </c>
    </row>
    <row r="3380" spans="1:13">
      <c r="A3380" t="s">
        <v>94</v>
      </c>
    </row>
    <row r="3381" spans="1:13">
      <c r="A3381" t="s">
        <v>129</v>
      </c>
      <c r="B3381" s="1">
        <v>44161.954606481479</v>
      </c>
    </row>
    <row r="3383" spans="1:13">
      <c r="A3383" t="s">
        <v>10</v>
      </c>
      <c r="B3383" t="s">
        <v>7</v>
      </c>
      <c r="C3383" t="s">
        <v>8</v>
      </c>
      <c r="D3383" t="s">
        <v>9</v>
      </c>
      <c r="E3383" t="s">
        <v>134</v>
      </c>
      <c r="F3383" t="s">
        <v>84</v>
      </c>
      <c r="G3383" t="s">
        <v>85</v>
      </c>
      <c r="I3383" t="s">
        <v>70</v>
      </c>
      <c r="J3383" s="15" t="s">
        <v>68</v>
      </c>
      <c r="K3383" s="2" t="s">
        <v>69</v>
      </c>
      <c r="L3383" t="s">
        <v>71</v>
      </c>
      <c r="M3383" t="s">
        <v>72</v>
      </c>
    </row>
    <row r="3384" spans="1:13">
      <c r="A3384" t="s">
        <v>126</v>
      </c>
      <c r="B3384" s="1">
        <v>44161.535231481481</v>
      </c>
      <c r="C3384" s="1">
        <v>44161.954606481479</v>
      </c>
      <c r="D3384" s="2">
        <f>MAX((TimeEntries780790[[#This Row],[End time]]-TimeEntries780790[[#This Row],[Start time]])*24,0)</f>
        <v>10.064999999944121</v>
      </c>
      <c r="F3384" s="54" t="s">
        <v>184</v>
      </c>
      <c r="G3384" s="22" t="s">
        <v>185</v>
      </c>
      <c r="I3384" t="s">
        <v>126</v>
      </c>
      <c r="J3384" s="15">
        <v>0.05</v>
      </c>
      <c r="K3384" s="2">
        <v>2.5580129623413086</v>
      </c>
      <c r="L3384" s="2">
        <f>SUM(TimeEntries780790[Time delta in h])</f>
        <v>10.064999999944121</v>
      </c>
      <c r="M3384" s="16">
        <f>Tabelle7367781791[[#This Row],[EBS self time]]/Tabelle7367781791[[#This Row],[Total time]]</f>
        <v>0.25414932561902737</v>
      </c>
    </row>
    <row r="3385" spans="1:13">
      <c r="B3385" s="1"/>
      <c r="C3385" s="1"/>
      <c r="D3385" s="2"/>
      <c r="I3385" t="s">
        <v>127</v>
      </c>
      <c r="J3385" s="15">
        <v>0.2</v>
      </c>
      <c r="K3385" s="2">
        <v>2.5580129623413086</v>
      </c>
      <c r="L3385" s="2">
        <f>SUM(TimeEntries780790[Time delta in h])</f>
        <v>10.064999999944121</v>
      </c>
      <c r="M3385" s="16">
        <f>Tabelle7367781791[[#This Row],[EBS self time]]/Tabelle7367781791[[#This Row],[Total time]]</f>
        <v>0.25414932561902737</v>
      </c>
    </row>
    <row r="3386" spans="1:13">
      <c r="I3386" t="s">
        <v>169</v>
      </c>
      <c r="J3386" s="15">
        <v>0.35</v>
      </c>
      <c r="K3386" s="2">
        <v>2.5580129623413086</v>
      </c>
      <c r="L3386" s="2">
        <f>SUM(TimeEntries780790[Time delta in h])</f>
        <v>10.064999999944121</v>
      </c>
      <c r="M3386" s="16">
        <f>Tabelle7367781791[[#This Row],[EBS self time]]/Tabelle7367781791[[#This Row],[Total time]]</f>
        <v>0.25414932561902737</v>
      </c>
    </row>
    <row r="3387" spans="1:13">
      <c r="I3387" t="s">
        <v>172</v>
      </c>
      <c r="J3387" s="15">
        <v>0.5</v>
      </c>
      <c r="K3387" s="2">
        <v>2.5580129623413086</v>
      </c>
      <c r="L3387" s="2">
        <f>SUM(TimeEntries780790[Time delta in h])</f>
        <v>10.064999999944121</v>
      </c>
      <c r="M3387" s="16">
        <f>Tabelle7367781791[[#This Row],[EBS self time]]/Tabelle7367781791[[#This Row],[Total time]]</f>
        <v>0.25414932561902737</v>
      </c>
    </row>
    <row r="3388" spans="1:13">
      <c r="I3388" t="s">
        <v>187</v>
      </c>
      <c r="J3388" s="15">
        <v>0.65</v>
      </c>
      <c r="K3388" s="2">
        <v>2.5580129623413086</v>
      </c>
      <c r="L3388" s="2">
        <f>SUM(TimeEntries780790[Time delta in h])</f>
        <v>10.064999999944121</v>
      </c>
      <c r="M3388" s="16">
        <f>Tabelle7367781791[[#This Row],[EBS self time]]/Tabelle7367781791[[#This Row],[Total time]]</f>
        <v>0.25414932561902737</v>
      </c>
    </row>
    <row r="3389" spans="1:13">
      <c r="I3389" t="s">
        <v>192</v>
      </c>
      <c r="J3389" s="15">
        <v>0.8</v>
      </c>
      <c r="K3389" s="2">
        <v>9.9147789238035209</v>
      </c>
      <c r="L3389" s="2">
        <f>SUM(TimeEntries780790[Time delta in h])</f>
        <v>10.064999999944121</v>
      </c>
      <c r="M3389" s="16">
        <f>Tabelle7367781791[[#This Row],[EBS self time]]/Tabelle7367781791[[#This Row],[Total time]]</f>
        <v>0.9850749055001059</v>
      </c>
    </row>
    <row r="3390" spans="1:13">
      <c r="I3390" t="s">
        <v>193</v>
      </c>
      <c r="J3390" s="15">
        <v>0.95</v>
      </c>
      <c r="K3390" s="2">
        <v>9.9147789238035209</v>
      </c>
      <c r="L3390" s="2">
        <f>SUM(TimeEntries780790[Time delta in h])</f>
        <v>10.064999999944121</v>
      </c>
      <c r="M3390" s="16">
        <f>Tabelle7367781791[[#This Row],[EBS self time]]/Tabelle7367781791[[#This Row],[Total time]]</f>
        <v>0.9850749055001059</v>
      </c>
    </row>
    <row r="3392" spans="1:13">
      <c r="A3392" t="s">
        <v>189</v>
      </c>
      <c r="B3392" t="s">
        <v>618</v>
      </c>
      <c r="C3392" t="s">
        <v>190</v>
      </c>
      <c r="D3392">
        <v>18</v>
      </c>
      <c r="E3392" t="s">
        <v>191</v>
      </c>
      <c r="F3392">
        <v>13</v>
      </c>
    </row>
    <row r="3393" spans="1:13">
      <c r="A3393" s="4" t="s">
        <v>24</v>
      </c>
      <c r="I3393" t="s">
        <v>135</v>
      </c>
      <c r="J3393" t="s">
        <v>136</v>
      </c>
    </row>
    <row r="3394" spans="1:13">
      <c r="A3394" t="s">
        <v>3</v>
      </c>
      <c r="B3394" t="s">
        <v>620</v>
      </c>
    </row>
    <row r="3395" spans="1:13">
      <c r="A3395" t="s">
        <v>77</v>
      </c>
      <c r="B3395" s="2" t="s">
        <v>92</v>
      </c>
      <c r="C3395" t="s">
        <v>4</v>
      </c>
    </row>
    <row r="3396" spans="1:13">
      <c r="A3396" t="s">
        <v>0</v>
      </c>
      <c r="B3396" s="2">
        <f>SUM(TimeEntries782792[Time delta in h])</f>
        <v>9.4702777778729796</v>
      </c>
      <c r="C3396" t="s">
        <v>4</v>
      </c>
    </row>
    <row r="3397" spans="1:13">
      <c r="A3397" t="s">
        <v>13</v>
      </c>
      <c r="B3397" s="5" t="s">
        <v>92</v>
      </c>
    </row>
    <row r="3398" spans="1:13">
      <c r="A3398" t="s">
        <v>14</v>
      </c>
      <c r="B3398" s="5" t="s">
        <v>18</v>
      </c>
    </row>
    <row r="3399" spans="1:13">
      <c r="A3399" t="s">
        <v>1</v>
      </c>
      <c r="B3399" t="s">
        <v>91</v>
      </c>
    </row>
    <row r="3400" spans="1:13">
      <c r="A3400" t="s">
        <v>15</v>
      </c>
      <c r="B3400" s="5" t="s">
        <v>92</v>
      </c>
    </row>
    <row r="3401" spans="1:13">
      <c r="A3401" t="s">
        <v>2</v>
      </c>
    </row>
    <row r="3402" spans="1:13">
      <c r="A3402" t="s">
        <v>46</v>
      </c>
      <c r="B3402" t="s">
        <v>618</v>
      </c>
    </row>
    <row r="3403" spans="1:13">
      <c r="A3403" t="s">
        <v>5</v>
      </c>
      <c r="B3403" s="2" t="e">
        <f>B3395/SUM(TimeEntries782792[Time delta in h])</f>
        <v>#VALUE!</v>
      </c>
      <c r="C3403" t="s">
        <v>6</v>
      </c>
    </row>
    <row r="3404" spans="1:13">
      <c r="A3404" t="s">
        <v>93</v>
      </c>
    </row>
    <row r="3405" spans="1:13">
      <c r="A3405" t="s">
        <v>94</v>
      </c>
    </row>
    <row r="3406" spans="1:13">
      <c r="A3406" t="s">
        <v>129</v>
      </c>
      <c r="B3406" s="1">
        <v>44161.954629629632</v>
      </c>
    </row>
    <row r="3408" spans="1:13">
      <c r="A3408" t="s">
        <v>10</v>
      </c>
      <c r="B3408" t="s">
        <v>7</v>
      </c>
      <c r="C3408" t="s">
        <v>8</v>
      </c>
      <c r="D3408" t="s">
        <v>9</v>
      </c>
      <c r="E3408" t="s">
        <v>134</v>
      </c>
      <c r="F3408" t="s">
        <v>84</v>
      </c>
      <c r="G3408" t="s">
        <v>85</v>
      </c>
      <c r="I3408" t="s">
        <v>70</v>
      </c>
      <c r="J3408" s="15" t="s">
        <v>68</v>
      </c>
      <c r="K3408" s="2" t="s">
        <v>69</v>
      </c>
      <c r="L3408" t="s">
        <v>71</v>
      </c>
      <c r="M3408" t="s">
        <v>72</v>
      </c>
    </row>
    <row r="3409" spans="1:13">
      <c r="A3409" t="s">
        <v>126</v>
      </c>
      <c r="B3409" s="1">
        <v>44161.560034722221</v>
      </c>
      <c r="C3409" s="1">
        <v>44161.954629629632</v>
      </c>
      <c r="D3409" s="2">
        <f>MAX((TimeEntries782792[[#This Row],[End time]]-TimeEntries782792[[#This Row],[Start time]])*24,0)</f>
        <v>9.4702777778729796</v>
      </c>
      <c r="F3409" s="54" t="s">
        <v>184</v>
      </c>
      <c r="G3409" s="22" t="s">
        <v>185</v>
      </c>
      <c r="J3409" s="15"/>
      <c r="K3409" s="2"/>
      <c r="L3409" s="2">
        <f>SUM(TimeEntries782792[Time delta in h])</f>
        <v>9.4702777778729796</v>
      </c>
      <c r="M3409" s="16">
        <f>Tabelle7367783793[[#This Row],[EBS self time]]/Tabelle7367783793[[#This Row],[Total time]]</f>
        <v>0</v>
      </c>
    </row>
    <row r="3410" spans="1:13">
      <c r="B3410" s="1"/>
      <c r="C3410" s="1"/>
      <c r="D3410" s="2"/>
    </row>
    <row r="3412" spans="1:13">
      <c r="A3412" t="s">
        <v>189</v>
      </c>
      <c r="B3412" t="s">
        <v>621</v>
      </c>
      <c r="C3412" t="s">
        <v>190</v>
      </c>
      <c r="D3412">
        <v>23</v>
      </c>
      <c r="E3412" t="s">
        <v>191</v>
      </c>
      <c r="F3412">
        <v>13</v>
      </c>
    </row>
    <row r="3413" spans="1:13">
      <c r="A3413" s="4" t="s">
        <v>24</v>
      </c>
      <c r="I3413" t="s">
        <v>135</v>
      </c>
      <c r="J3413" t="s">
        <v>136</v>
      </c>
    </row>
    <row r="3414" spans="1:13">
      <c r="A3414" t="s">
        <v>3</v>
      </c>
      <c r="B3414" t="s">
        <v>623</v>
      </c>
    </row>
    <row r="3415" spans="1:13">
      <c r="A3415" t="s">
        <v>77</v>
      </c>
      <c r="B3415" s="2">
        <v>13.736178398132324</v>
      </c>
      <c r="C3415" t="s">
        <v>4</v>
      </c>
    </row>
    <row r="3416" spans="1:13">
      <c r="A3416" t="s">
        <v>0</v>
      </c>
      <c r="B3416" s="2">
        <f>SUM(TimeEntries784794798808[Time delta in h])</f>
        <v>31.697500000067521</v>
      </c>
      <c r="C3416" t="s">
        <v>4</v>
      </c>
    </row>
    <row r="3417" spans="1:13">
      <c r="A3417" t="s">
        <v>13</v>
      </c>
      <c r="B3417" s="5" t="s">
        <v>92</v>
      </c>
    </row>
    <row r="3418" spans="1:13">
      <c r="A3418" t="s">
        <v>14</v>
      </c>
      <c r="B3418" s="5" t="s">
        <v>18</v>
      </c>
    </row>
    <row r="3419" spans="1:13">
      <c r="A3419" t="s">
        <v>1</v>
      </c>
      <c r="B3419" t="s">
        <v>91</v>
      </c>
    </row>
    <row r="3420" spans="1:13">
      <c r="A3420" t="s">
        <v>15</v>
      </c>
      <c r="B3420" s="5" t="s">
        <v>92</v>
      </c>
    </row>
    <row r="3421" spans="1:13">
      <c r="A3421" t="s">
        <v>2</v>
      </c>
    </row>
    <row r="3422" spans="1:13">
      <c r="A3422" t="s">
        <v>46</v>
      </c>
      <c r="B3422" t="s">
        <v>621</v>
      </c>
    </row>
    <row r="3423" spans="1:13">
      <c r="A3423" t="s">
        <v>5</v>
      </c>
      <c r="B3423" s="2">
        <f>B3415/SUM(TimeEntries784794798808[Time delta in h])</f>
        <v>0.43335210657317025</v>
      </c>
      <c r="C3423" t="s">
        <v>6</v>
      </c>
    </row>
    <row r="3424" spans="1:13">
      <c r="A3424" t="s">
        <v>93</v>
      </c>
    </row>
    <row r="3425" spans="1:13">
      <c r="A3425" t="s">
        <v>94</v>
      </c>
    </row>
    <row r="3426" spans="1:13">
      <c r="A3426" t="s">
        <v>129</v>
      </c>
      <c r="B3426" s="1">
        <v>44161.954641203702</v>
      </c>
    </row>
    <row r="3428" spans="1:13">
      <c r="A3428" t="s">
        <v>10</v>
      </c>
      <c r="B3428" t="s">
        <v>7</v>
      </c>
      <c r="C3428" t="s">
        <v>8</v>
      </c>
      <c r="D3428" t="s">
        <v>9</v>
      </c>
      <c r="E3428" t="s">
        <v>134</v>
      </c>
      <c r="F3428" t="s">
        <v>84</v>
      </c>
      <c r="G3428" t="s">
        <v>85</v>
      </c>
      <c r="I3428" t="s">
        <v>70</v>
      </c>
      <c r="J3428" s="15" t="s">
        <v>68</v>
      </c>
      <c r="K3428" s="2" t="s">
        <v>69</v>
      </c>
      <c r="L3428" t="s">
        <v>71</v>
      </c>
      <c r="M3428" t="s">
        <v>72</v>
      </c>
    </row>
    <row r="3429" spans="1:13">
      <c r="A3429" t="s">
        <v>126</v>
      </c>
      <c r="B3429" s="1">
        <v>44160.633981481478</v>
      </c>
      <c r="C3429" s="1">
        <v>44161.954710648148</v>
      </c>
      <c r="D3429" s="2">
        <f>MAX((TimeEntries784794798808[[#This Row],[End time]]-TimeEntries784794798808[[#This Row],[Start time]])*24,0)</f>
        <v>31.697500000067521</v>
      </c>
      <c r="F3429" s="54" t="s">
        <v>184</v>
      </c>
      <c r="G3429" s="22" t="s">
        <v>185</v>
      </c>
      <c r="I3429" t="s">
        <v>126</v>
      </c>
      <c r="J3429" s="15">
        <v>0.05</v>
      </c>
      <c r="K3429" s="2">
        <v>6.8680891990661621</v>
      </c>
      <c r="L3429" s="2">
        <f>SUM(TimeEntries784794798808[Time delta in h])</f>
        <v>31.697500000067521</v>
      </c>
      <c r="M3429" s="16">
        <f>Tabelle7367785795799809[[#This Row],[EBS self time]]/Tabelle7367785795799809[[#This Row],[Total time]]</f>
        <v>0.21667605328658512</v>
      </c>
    </row>
    <row r="3430" spans="1:13">
      <c r="B3430" s="1"/>
      <c r="C3430" s="1"/>
      <c r="D3430" s="2"/>
      <c r="I3430" t="s">
        <v>127</v>
      </c>
      <c r="J3430" s="15">
        <v>0.2</v>
      </c>
      <c r="K3430" s="2">
        <v>6.8680891990661621</v>
      </c>
      <c r="L3430" s="2">
        <f>SUM(TimeEntries784794798808[Time delta in h])</f>
        <v>31.697500000067521</v>
      </c>
      <c r="M3430" s="16">
        <f>Tabelle7367785795799809[[#This Row],[EBS self time]]/Tabelle7367785795799809[[#This Row],[Total time]]</f>
        <v>0.21667605328658512</v>
      </c>
    </row>
    <row r="3431" spans="1:13">
      <c r="I3431" t="s">
        <v>169</v>
      </c>
      <c r="J3431" s="15">
        <v>0.35</v>
      </c>
      <c r="K3431" s="2">
        <v>6.8680891990661621</v>
      </c>
      <c r="L3431" s="2">
        <f>SUM(TimeEntries784794798808[Time delta in h])</f>
        <v>31.697500000067521</v>
      </c>
      <c r="M3431" s="16">
        <f>Tabelle7367785795799809[[#This Row],[EBS self time]]/Tabelle7367785795799809[[#This Row],[Total time]]</f>
        <v>0.21667605328658512</v>
      </c>
    </row>
    <row r="3432" spans="1:13">
      <c r="I3432" t="s">
        <v>172</v>
      </c>
      <c r="J3432" s="15">
        <v>0.5</v>
      </c>
      <c r="K3432" s="2">
        <v>6.8680891990661621</v>
      </c>
      <c r="L3432" s="2">
        <f>SUM(TimeEntries784794798808[Time delta in h])</f>
        <v>31.697500000067521</v>
      </c>
      <c r="M3432" s="16">
        <f>Tabelle7367785795799809[[#This Row],[EBS self time]]/Tabelle7367785795799809[[#This Row],[Total time]]</f>
        <v>0.21667605328658512</v>
      </c>
    </row>
    <row r="3433" spans="1:13">
      <c r="I3433" t="s">
        <v>187</v>
      </c>
      <c r="J3433" s="15">
        <v>0.65</v>
      </c>
      <c r="K3433" s="2">
        <v>15.262864117382115</v>
      </c>
      <c r="L3433" s="2">
        <f>SUM(TimeEntries784794798808[Time delta in h])</f>
        <v>31.697500000067521</v>
      </c>
      <c r="M3433" s="16">
        <f>Tabelle7367785795799809[[#This Row],[EBS self time]]/Tabelle7367785795799809[[#This Row],[Total time]]</f>
        <v>0.48151633779792108</v>
      </c>
    </row>
    <row r="3434" spans="1:13">
      <c r="I3434" t="s">
        <v>192</v>
      </c>
      <c r="J3434" s="15">
        <v>0.8</v>
      </c>
      <c r="K3434" s="2">
        <v>26.620500771574271</v>
      </c>
      <c r="L3434" s="2">
        <f>SUM(TimeEntries784794798808[Time delta in h])</f>
        <v>31.697500000067521</v>
      </c>
      <c r="M3434" s="16">
        <f>Tabelle7367785795799809[[#This Row],[EBS self time]]/Tabelle7367785795799809[[#This Row],[Total time]]</f>
        <v>0.83982966390149272</v>
      </c>
    </row>
    <row r="3435" spans="1:13">
      <c r="I3435" t="s">
        <v>193</v>
      </c>
      <c r="J3435" s="15">
        <v>0.95</v>
      </c>
      <c r="K3435" s="2">
        <v>26.620500771574271</v>
      </c>
      <c r="L3435" s="2">
        <f>SUM(TimeEntries784794798808[Time delta in h])</f>
        <v>31.697500000067521</v>
      </c>
      <c r="M3435" s="16">
        <f>Tabelle7367785795799809[[#This Row],[EBS self time]]/Tabelle7367785795799809[[#This Row],[Total time]]</f>
        <v>0.83982966390149272</v>
      </c>
    </row>
    <row r="3437" spans="1:13">
      <c r="A3437" t="s">
        <v>189</v>
      </c>
      <c r="B3437" t="s">
        <v>624</v>
      </c>
      <c r="C3437" t="s">
        <v>190</v>
      </c>
      <c r="D3437">
        <v>18</v>
      </c>
      <c r="E3437" t="s">
        <v>191</v>
      </c>
      <c r="F3437">
        <v>13</v>
      </c>
    </row>
    <row r="3438" spans="1:13">
      <c r="A3438" s="4" t="s">
        <v>24</v>
      </c>
      <c r="I3438" t="s">
        <v>135</v>
      </c>
      <c r="J3438" t="s">
        <v>136</v>
      </c>
    </row>
    <row r="3439" spans="1:13">
      <c r="A3439" t="s">
        <v>3</v>
      </c>
      <c r="B3439" t="s">
        <v>626</v>
      </c>
    </row>
    <row r="3440" spans="1:13">
      <c r="A3440" t="s">
        <v>77</v>
      </c>
      <c r="B3440" s="2" t="s">
        <v>92</v>
      </c>
      <c r="C3440" t="s">
        <v>4</v>
      </c>
    </row>
    <row r="3441" spans="1:13">
      <c r="A3441" t="s">
        <v>0</v>
      </c>
      <c r="B3441" s="2">
        <f>SUM(TimeEntries800810[Time delta in h])</f>
        <v>0.26500000013038516</v>
      </c>
      <c r="C3441" t="s">
        <v>4</v>
      </c>
    </row>
    <row r="3442" spans="1:13">
      <c r="A3442" t="s">
        <v>13</v>
      </c>
      <c r="B3442" s="5" t="s">
        <v>92</v>
      </c>
    </row>
    <row r="3443" spans="1:13">
      <c r="A3443" t="s">
        <v>14</v>
      </c>
      <c r="B3443" s="5" t="s">
        <v>18</v>
      </c>
    </row>
    <row r="3444" spans="1:13">
      <c r="A3444" t="s">
        <v>1</v>
      </c>
      <c r="B3444" t="s">
        <v>91</v>
      </c>
    </row>
    <row r="3445" spans="1:13">
      <c r="A3445" t="s">
        <v>15</v>
      </c>
      <c r="B3445" s="5" t="s">
        <v>92</v>
      </c>
    </row>
    <row r="3446" spans="1:13">
      <c r="A3446" t="s">
        <v>2</v>
      </c>
    </row>
    <row r="3447" spans="1:13">
      <c r="A3447" t="s">
        <v>46</v>
      </c>
      <c r="B3447" t="s">
        <v>624</v>
      </c>
    </row>
    <row r="3448" spans="1:13">
      <c r="A3448" t="s">
        <v>5</v>
      </c>
      <c r="B3448" s="2" t="e">
        <f>B3440/SUM(TimeEntries800810[Time delta in h])</f>
        <v>#VALUE!</v>
      </c>
      <c r="C3448" t="s">
        <v>6</v>
      </c>
    </row>
    <row r="3449" spans="1:13">
      <c r="A3449" t="s">
        <v>93</v>
      </c>
    </row>
    <row r="3450" spans="1:13">
      <c r="A3450" t="s">
        <v>94</v>
      </c>
    </row>
    <row r="3451" spans="1:13">
      <c r="A3451" t="s">
        <v>129</v>
      </c>
      <c r="B3451" s="1">
        <v>44161.954722222225</v>
      </c>
    </row>
    <row r="3453" spans="1:13">
      <c r="A3453" t="s">
        <v>10</v>
      </c>
      <c r="B3453" t="s">
        <v>7</v>
      </c>
      <c r="C3453" t="s">
        <v>8</v>
      </c>
      <c r="D3453" t="s">
        <v>9</v>
      </c>
      <c r="E3453" t="s">
        <v>134</v>
      </c>
      <c r="F3453" t="s">
        <v>84</v>
      </c>
      <c r="G3453" t="s">
        <v>85</v>
      </c>
      <c r="I3453" t="s">
        <v>70</v>
      </c>
      <c r="J3453" s="15" t="s">
        <v>68</v>
      </c>
      <c r="K3453" s="2" t="s">
        <v>69</v>
      </c>
      <c r="L3453" t="s">
        <v>71</v>
      </c>
      <c r="M3453" t="s">
        <v>72</v>
      </c>
    </row>
    <row r="3454" spans="1:13">
      <c r="A3454" t="s">
        <v>126</v>
      </c>
      <c r="B3454" s="1">
        <v>44161.943680555552</v>
      </c>
      <c r="C3454" s="1">
        <v>44161.954722222225</v>
      </c>
      <c r="D3454" s="2">
        <f>MAX((TimeEntries800810[[#This Row],[End time]]-TimeEntries800810[[#This Row],[Start time]])*24,0)</f>
        <v>0.26500000013038516</v>
      </c>
      <c r="F3454" s="54" t="s">
        <v>184</v>
      </c>
      <c r="G3454" s="22" t="s">
        <v>185</v>
      </c>
      <c r="J3454" s="15"/>
      <c r="K3454" s="2"/>
      <c r="L3454" s="2">
        <f>SUM(TimeEntries800810[Time delta in h])</f>
        <v>0.26500000013038516</v>
      </c>
      <c r="M3454" s="16">
        <f>Tabelle7367801811[[#This Row],[EBS self time]]/Tabelle7367801811[[#This Row],[Total time]]</f>
        <v>0</v>
      </c>
    </row>
    <row r="3455" spans="1:13">
      <c r="B3455" s="1"/>
      <c r="C3455" s="1"/>
      <c r="D3455" s="2"/>
    </row>
    <row r="3457" spans="1:10">
      <c r="A3457" t="s">
        <v>189</v>
      </c>
      <c r="B3457" t="s">
        <v>627</v>
      </c>
      <c r="C3457" t="s">
        <v>190</v>
      </c>
      <c r="D3457">
        <v>23</v>
      </c>
      <c r="E3457" t="s">
        <v>191</v>
      </c>
      <c r="F3457">
        <v>13</v>
      </c>
    </row>
    <row r="3458" spans="1:10">
      <c r="A3458" s="4" t="s">
        <v>24</v>
      </c>
      <c r="I3458" t="s">
        <v>135</v>
      </c>
      <c r="J3458" t="s">
        <v>136</v>
      </c>
    </row>
    <row r="3459" spans="1:10">
      <c r="A3459" t="s">
        <v>3</v>
      </c>
      <c r="B3459" t="s">
        <v>629</v>
      </c>
    </row>
    <row r="3460" spans="1:10">
      <c r="A3460" t="s">
        <v>77</v>
      </c>
      <c r="B3460" s="2">
        <v>6.0058250427246094</v>
      </c>
      <c r="C3460" t="s">
        <v>4</v>
      </c>
    </row>
    <row r="3461" spans="1:10">
      <c r="A3461" t="s">
        <v>0</v>
      </c>
      <c r="B3461" s="2">
        <f>SUM(TimeEntries802812[Time delta in h])</f>
        <v>12.722222222189885</v>
      </c>
      <c r="C3461" t="s">
        <v>4</v>
      </c>
    </row>
    <row r="3462" spans="1:10">
      <c r="A3462" t="s">
        <v>13</v>
      </c>
      <c r="B3462" s="5" t="s">
        <v>92</v>
      </c>
    </row>
    <row r="3463" spans="1:10">
      <c r="A3463" t="s">
        <v>14</v>
      </c>
      <c r="B3463" s="5" t="s">
        <v>18</v>
      </c>
    </row>
    <row r="3464" spans="1:10">
      <c r="A3464" t="s">
        <v>1</v>
      </c>
      <c r="B3464" t="s">
        <v>131</v>
      </c>
    </row>
    <row r="3465" spans="1:10">
      <c r="A3465" t="s">
        <v>15</v>
      </c>
      <c r="B3465" s="5">
        <v>44161.954733796294</v>
      </c>
    </row>
    <row r="3466" spans="1:10">
      <c r="A3466" t="s">
        <v>2</v>
      </c>
    </row>
    <row r="3467" spans="1:10">
      <c r="A3467" t="s">
        <v>46</v>
      </c>
      <c r="B3467" t="s">
        <v>627</v>
      </c>
    </row>
    <row r="3468" spans="1:10">
      <c r="A3468" t="s">
        <v>5</v>
      </c>
      <c r="B3468" s="2">
        <f>B3460/SUM(TimeEntries802812[Time delta in h])</f>
        <v>0.47207358414549239</v>
      </c>
      <c r="C3468" t="s">
        <v>6</v>
      </c>
    </row>
    <row r="3469" spans="1:10">
      <c r="A3469" t="s">
        <v>93</v>
      </c>
    </row>
    <row r="3470" spans="1:10">
      <c r="A3470" t="s">
        <v>94</v>
      </c>
    </row>
    <row r="3471" spans="1:10">
      <c r="A3471" t="s">
        <v>129</v>
      </c>
      <c r="B3471" s="1">
        <v>44161.954733796294</v>
      </c>
    </row>
    <row r="3473" spans="1:13">
      <c r="A3473" t="s">
        <v>10</v>
      </c>
      <c r="B3473" t="s">
        <v>7</v>
      </c>
      <c r="C3473" t="s">
        <v>8</v>
      </c>
      <c r="D3473" t="s">
        <v>9</v>
      </c>
      <c r="E3473" t="s">
        <v>134</v>
      </c>
      <c r="F3473" t="s">
        <v>84</v>
      </c>
      <c r="G3473" t="s">
        <v>85</v>
      </c>
      <c r="I3473" t="s">
        <v>70</v>
      </c>
      <c r="J3473" s="15" t="s">
        <v>68</v>
      </c>
      <c r="K3473" s="2" t="s">
        <v>69</v>
      </c>
      <c r="L3473" t="s">
        <v>71</v>
      </c>
      <c r="M3473" t="s">
        <v>72</v>
      </c>
    </row>
    <row r="3474" spans="1:13">
      <c r="A3474" t="s">
        <v>126</v>
      </c>
      <c r="B3474" s="1">
        <v>44161.424641203703</v>
      </c>
      <c r="C3474" s="1">
        <v>44161.954733796294</v>
      </c>
      <c r="D3474" s="2">
        <f>MAX((TimeEntries802812[[#This Row],[End time]]-TimeEntries802812[[#This Row],[Start time]])*24,0)</f>
        <v>12.722222222189885</v>
      </c>
      <c r="F3474" s="54" t="s">
        <v>184</v>
      </c>
      <c r="G3474" s="22" t="s">
        <v>185</v>
      </c>
      <c r="I3474" t="s">
        <v>126</v>
      </c>
      <c r="J3474" s="15">
        <v>0.05</v>
      </c>
      <c r="K3474" s="2">
        <v>3.0029125213623047</v>
      </c>
      <c r="L3474" s="2">
        <f>SUM(TimeEntries802812[Time delta in h])</f>
        <v>12.722222222189885</v>
      </c>
      <c r="M3474" s="16">
        <f>Tabelle7367803813[[#This Row],[EBS self time]]/Tabelle7367803813[[#This Row],[Total time]]</f>
        <v>0.23603679207274619</v>
      </c>
    </row>
    <row r="3475" spans="1:13">
      <c r="B3475" s="1"/>
      <c r="C3475" s="1"/>
      <c r="D3475" s="2"/>
      <c r="I3475" t="s">
        <v>127</v>
      </c>
      <c r="J3475" s="15">
        <v>0.2</v>
      </c>
      <c r="K3475" s="2">
        <v>3.0029125213623047</v>
      </c>
      <c r="L3475" s="2">
        <f>SUM(TimeEntries802812[Time delta in h])</f>
        <v>12.722222222189885</v>
      </c>
      <c r="M3475" s="16">
        <f>Tabelle7367803813[[#This Row],[EBS self time]]/Tabelle7367803813[[#This Row],[Total time]]</f>
        <v>0.23603679207274619</v>
      </c>
    </row>
    <row r="3476" spans="1:13">
      <c r="I3476" t="s">
        <v>169</v>
      </c>
      <c r="J3476" s="15">
        <v>0.35</v>
      </c>
      <c r="K3476" s="2">
        <v>3.0029125213623047</v>
      </c>
      <c r="L3476" s="2">
        <f>SUM(TimeEntries802812[Time delta in h])</f>
        <v>12.722222222189885</v>
      </c>
      <c r="M3476" s="16">
        <f>Tabelle7367803813[[#This Row],[EBS self time]]/Tabelle7367803813[[#This Row],[Total time]]</f>
        <v>0.23603679207274619</v>
      </c>
    </row>
    <row r="3477" spans="1:13">
      <c r="I3477" t="s">
        <v>172</v>
      </c>
      <c r="J3477" s="15">
        <v>0.5</v>
      </c>
      <c r="K3477" s="2">
        <v>3.0029125213623047</v>
      </c>
      <c r="L3477" s="2">
        <f>SUM(TimeEntries802812[Time delta in h])</f>
        <v>12.722222222189885</v>
      </c>
      <c r="M3477" s="16">
        <f>Tabelle7367803813[[#This Row],[EBS self time]]/Tabelle7367803813[[#This Row],[Total time]]</f>
        <v>0.23603679207274619</v>
      </c>
    </row>
    <row r="3478" spans="1:13">
      <c r="I3478" t="s">
        <v>187</v>
      </c>
      <c r="J3478" s="15">
        <v>0.65</v>
      </c>
      <c r="K3478" s="2">
        <v>3.0029125213623047</v>
      </c>
      <c r="L3478" s="2">
        <f>SUM(TimeEntries802812[Time delta in h])</f>
        <v>12.722222222189885</v>
      </c>
      <c r="M3478" s="16">
        <f>Tabelle7367803813[[#This Row],[EBS self time]]/Tabelle7367803813[[#This Row],[Total time]]</f>
        <v>0.23603679207274619</v>
      </c>
    </row>
    <row r="3479" spans="1:13">
      <c r="I3479" t="s">
        <v>192</v>
      </c>
      <c r="J3479" s="15">
        <v>0.8</v>
      </c>
      <c r="K3479" s="2">
        <v>11.639195819233739</v>
      </c>
      <c r="L3479" s="2">
        <f>SUM(TimeEntries802812[Time delta in h])</f>
        <v>12.722222222189885</v>
      </c>
      <c r="M3479" s="16">
        <f>Tabelle7367803813[[#This Row],[EBS self time]]/Tabelle7367803813[[#This Row],[Total time]]</f>
        <v>0.91487128710366739</v>
      </c>
    </row>
    <row r="3480" spans="1:13">
      <c r="I3480" t="s">
        <v>193</v>
      </c>
      <c r="J3480" s="15">
        <v>0.95</v>
      </c>
      <c r="K3480" s="2">
        <v>11.639195819233739</v>
      </c>
      <c r="L3480" s="2">
        <f>SUM(TimeEntries802812[Time delta in h])</f>
        <v>12.722222222189885</v>
      </c>
      <c r="M3480" s="16">
        <f>Tabelle7367803813[[#This Row],[EBS self time]]/Tabelle7367803813[[#This Row],[Total time]]</f>
        <v>0.91487128710366739</v>
      </c>
    </row>
    <row r="3482" spans="1:13">
      <c r="A3482" t="s">
        <v>189</v>
      </c>
      <c r="B3482" t="s">
        <v>630</v>
      </c>
      <c r="C3482" t="s">
        <v>190</v>
      </c>
      <c r="D3482">
        <v>23</v>
      </c>
      <c r="E3482" t="s">
        <v>191</v>
      </c>
      <c r="F3482">
        <v>13</v>
      </c>
    </row>
    <row r="3483" spans="1:13">
      <c r="A3483" s="4" t="s">
        <v>24</v>
      </c>
      <c r="I3483" t="s">
        <v>135</v>
      </c>
      <c r="J3483" t="s">
        <v>136</v>
      </c>
    </row>
    <row r="3484" spans="1:13">
      <c r="A3484" t="s">
        <v>3</v>
      </c>
      <c r="B3484" t="s">
        <v>632</v>
      </c>
    </row>
    <row r="3485" spans="1:13">
      <c r="A3485" t="s">
        <v>77</v>
      </c>
      <c r="B3485" s="2">
        <v>8.574131965637207</v>
      </c>
      <c r="C3485" t="s">
        <v>4</v>
      </c>
    </row>
    <row r="3486" spans="1:13">
      <c r="A3486" t="s">
        <v>0</v>
      </c>
      <c r="B3486" s="2">
        <f>SUM(TimeEntries804814[Time delta in h])</f>
        <v>28.111111111182254</v>
      </c>
      <c r="C3486" t="s">
        <v>4</v>
      </c>
    </row>
    <row r="3487" spans="1:13">
      <c r="A3487" t="s">
        <v>13</v>
      </c>
      <c r="B3487" s="5" t="s">
        <v>92</v>
      </c>
    </row>
    <row r="3488" spans="1:13">
      <c r="A3488" t="s">
        <v>14</v>
      </c>
      <c r="B3488" s="5" t="s">
        <v>18</v>
      </c>
    </row>
    <row r="3489" spans="1:13">
      <c r="A3489" t="s">
        <v>1</v>
      </c>
      <c r="B3489" t="s">
        <v>91</v>
      </c>
    </row>
    <row r="3490" spans="1:13">
      <c r="A3490" t="s">
        <v>15</v>
      </c>
      <c r="B3490" s="5" t="s">
        <v>92</v>
      </c>
    </row>
    <row r="3491" spans="1:13">
      <c r="A3491" t="s">
        <v>2</v>
      </c>
    </row>
    <row r="3492" spans="1:13">
      <c r="A3492" t="s">
        <v>46</v>
      </c>
      <c r="B3492" t="s">
        <v>630</v>
      </c>
    </row>
    <row r="3493" spans="1:13">
      <c r="A3493" t="s">
        <v>5</v>
      </c>
      <c r="B3493" s="2">
        <f>B3485/SUM(TimeEntries804814[Time delta in h])</f>
        <v>0.30500864699818014</v>
      </c>
      <c r="C3493" t="s">
        <v>6</v>
      </c>
    </row>
    <row r="3494" spans="1:13">
      <c r="A3494" t="s">
        <v>93</v>
      </c>
    </row>
    <row r="3495" spans="1:13">
      <c r="A3495" t="s">
        <v>94</v>
      </c>
    </row>
    <row r="3496" spans="1:13">
      <c r="A3496" t="s">
        <v>129</v>
      </c>
      <c r="B3496" s="1">
        <v>44161.954756944448</v>
      </c>
    </row>
    <row r="3498" spans="1:13">
      <c r="A3498" t="s">
        <v>10</v>
      </c>
      <c r="B3498" t="s">
        <v>7</v>
      </c>
      <c r="C3498" t="s">
        <v>8</v>
      </c>
      <c r="D3498" t="s">
        <v>9</v>
      </c>
      <c r="E3498" t="s">
        <v>134</v>
      </c>
      <c r="F3498" t="s">
        <v>84</v>
      </c>
      <c r="G3498" t="s">
        <v>85</v>
      </c>
      <c r="I3498" t="s">
        <v>70</v>
      </c>
      <c r="J3498" s="15" t="s">
        <v>68</v>
      </c>
      <c r="K3498" s="2" t="s">
        <v>69</v>
      </c>
      <c r="L3498" t="s">
        <v>71</v>
      </c>
      <c r="M3498" t="s">
        <v>72</v>
      </c>
    </row>
    <row r="3499" spans="1:13">
      <c r="A3499" t="s">
        <v>126</v>
      </c>
      <c r="B3499" s="1">
        <v>44160.783460648148</v>
      </c>
      <c r="C3499" s="1">
        <v>44161.954756944448</v>
      </c>
      <c r="D3499" s="2">
        <f>MAX((TimeEntries804814[[#This Row],[End time]]-TimeEntries804814[[#This Row],[Start time]])*24,0)</f>
        <v>28.111111111182254</v>
      </c>
      <c r="F3499" s="54" t="s">
        <v>184</v>
      </c>
      <c r="G3499" s="22" t="s">
        <v>185</v>
      </c>
      <c r="I3499" t="s">
        <v>126</v>
      </c>
      <c r="J3499" s="15">
        <v>0.05</v>
      </c>
      <c r="K3499" s="2">
        <v>4.2870659828186035</v>
      </c>
      <c r="L3499" s="2">
        <f>SUM(TimeEntries804814[Time delta in h])</f>
        <v>28.111111111182254</v>
      </c>
      <c r="M3499" s="16">
        <f>Tabelle7367805815[[#This Row],[EBS self time]]/Tabelle7367805815[[#This Row],[Total time]]</f>
        <v>0.15250432349909007</v>
      </c>
    </row>
    <row r="3500" spans="1:13">
      <c r="B3500" s="1"/>
      <c r="C3500" s="1"/>
      <c r="D3500" s="2"/>
      <c r="I3500" t="s">
        <v>127</v>
      </c>
      <c r="J3500" s="15">
        <v>0.2</v>
      </c>
      <c r="K3500" s="2">
        <v>4.2870659828186035</v>
      </c>
      <c r="L3500" s="2">
        <f>SUM(TimeEntries804814[Time delta in h])</f>
        <v>28.111111111182254</v>
      </c>
      <c r="M3500" s="16">
        <f>Tabelle7367805815[[#This Row],[EBS self time]]/Tabelle7367805815[[#This Row],[Total time]]</f>
        <v>0.15250432349909007</v>
      </c>
    </row>
    <row r="3501" spans="1:13">
      <c r="I3501" t="s">
        <v>169</v>
      </c>
      <c r="J3501" s="15">
        <v>0.35</v>
      </c>
      <c r="K3501" s="2">
        <v>4.2870659828186035</v>
      </c>
      <c r="L3501" s="2">
        <f>SUM(TimeEntries804814[Time delta in h])</f>
        <v>28.111111111182254</v>
      </c>
      <c r="M3501" s="16">
        <f>Tabelle7367805815[[#This Row],[EBS self time]]/Tabelle7367805815[[#This Row],[Total time]]</f>
        <v>0.15250432349909007</v>
      </c>
    </row>
    <row r="3502" spans="1:13">
      <c r="I3502" t="s">
        <v>172</v>
      </c>
      <c r="J3502" s="15">
        <v>0.5</v>
      </c>
      <c r="K3502" s="2">
        <v>4.2870659828186035</v>
      </c>
      <c r="L3502" s="2">
        <f>SUM(TimeEntries804814[Time delta in h])</f>
        <v>28.111111111182254</v>
      </c>
      <c r="M3502" s="16">
        <f>Tabelle7367805815[[#This Row],[EBS self time]]/Tabelle7367805815[[#This Row],[Total time]]</f>
        <v>0.15250432349909007</v>
      </c>
    </row>
    <row r="3503" spans="1:13">
      <c r="I3503" t="s">
        <v>187</v>
      </c>
      <c r="J3503" s="15">
        <v>0.65</v>
      </c>
      <c r="K3503" s="2">
        <v>4.2870659828186035</v>
      </c>
      <c r="L3503" s="2">
        <f>SUM(TimeEntries804814[Time delta in h])</f>
        <v>28.111111111182254</v>
      </c>
      <c r="M3503" s="16">
        <f>Tabelle7367805815[[#This Row],[EBS self time]]/Tabelle7367805815[[#This Row],[Total time]]</f>
        <v>0.15250432349909007</v>
      </c>
    </row>
    <row r="3504" spans="1:13">
      <c r="I3504" t="s">
        <v>192</v>
      </c>
      <c r="J3504" s="15">
        <v>0.8</v>
      </c>
      <c r="K3504" s="2">
        <v>4.2870659828186035</v>
      </c>
      <c r="L3504" s="2">
        <f>SUM(TimeEntries804814[Time delta in h])</f>
        <v>28.111111111182254</v>
      </c>
      <c r="M3504" s="16">
        <f>Tabelle7367805815[[#This Row],[EBS self time]]/Tabelle7367805815[[#This Row],[Total time]]</f>
        <v>0.15250432349909007</v>
      </c>
    </row>
    <row r="3505" spans="1:13">
      <c r="I3505" t="s">
        <v>193</v>
      </c>
      <c r="J3505" s="15">
        <v>0.95</v>
      </c>
      <c r="K3505" s="2">
        <v>16.616534817126368</v>
      </c>
      <c r="L3505" s="2">
        <f>SUM(TimeEntries804814[Time delta in h])</f>
        <v>28.111111111182254</v>
      </c>
      <c r="M3505" s="16">
        <f>Tabelle7367805815[[#This Row],[EBS self time]]/Tabelle7367805815[[#This Row],[Total time]]</f>
        <v>0.59110202906624043</v>
      </c>
    </row>
    <row r="3507" spans="1:13">
      <c r="A3507" t="s">
        <v>189</v>
      </c>
      <c r="B3507" t="s">
        <v>633</v>
      </c>
      <c r="C3507" t="s">
        <v>190</v>
      </c>
      <c r="D3507">
        <v>23</v>
      </c>
      <c r="E3507" t="s">
        <v>191</v>
      </c>
      <c r="F3507">
        <v>13</v>
      </c>
    </row>
    <row r="3508" spans="1:13">
      <c r="A3508" s="4" t="s">
        <v>24</v>
      </c>
      <c r="I3508" t="s">
        <v>135</v>
      </c>
      <c r="J3508" t="s">
        <v>136</v>
      </c>
    </row>
    <row r="3509" spans="1:13">
      <c r="A3509" t="s">
        <v>3</v>
      </c>
      <c r="B3509" t="s">
        <v>635</v>
      </c>
    </row>
    <row r="3510" spans="1:13">
      <c r="A3510" t="s">
        <v>77</v>
      </c>
      <c r="B3510" s="2">
        <v>15.726625442504883</v>
      </c>
      <c r="C3510" t="s">
        <v>4</v>
      </c>
    </row>
    <row r="3511" spans="1:13">
      <c r="A3511" t="s">
        <v>0</v>
      </c>
      <c r="B3511" s="2">
        <f>SUM(TimeEntries806816820830[Time delta in h])</f>
        <v>19.534166666620877</v>
      </c>
      <c r="C3511" t="s">
        <v>4</v>
      </c>
    </row>
    <row r="3512" spans="1:13">
      <c r="A3512" t="s">
        <v>13</v>
      </c>
      <c r="B3512" s="5" t="s">
        <v>92</v>
      </c>
    </row>
    <row r="3513" spans="1:13">
      <c r="A3513" t="s">
        <v>14</v>
      </c>
      <c r="B3513" s="5" t="s">
        <v>18</v>
      </c>
    </row>
    <row r="3514" spans="1:13">
      <c r="A3514" t="s">
        <v>1</v>
      </c>
      <c r="B3514" t="s">
        <v>91</v>
      </c>
    </row>
    <row r="3515" spans="1:13">
      <c r="A3515" t="s">
        <v>15</v>
      </c>
      <c r="B3515" s="5" t="s">
        <v>92</v>
      </c>
    </row>
    <row r="3516" spans="1:13">
      <c r="A3516" t="s">
        <v>2</v>
      </c>
    </row>
    <row r="3517" spans="1:13">
      <c r="A3517" t="s">
        <v>46</v>
      </c>
      <c r="B3517" t="s">
        <v>633</v>
      </c>
    </row>
    <row r="3518" spans="1:13">
      <c r="A3518" t="s">
        <v>5</v>
      </c>
      <c r="B3518" s="2">
        <f>B3510/SUM(TimeEntries806816820830[Time delta in h])</f>
        <v>0.80508299693059582</v>
      </c>
      <c r="C3518" t="s">
        <v>6</v>
      </c>
    </row>
    <row r="3519" spans="1:13">
      <c r="A3519" t="s">
        <v>93</v>
      </c>
    </row>
    <row r="3520" spans="1:13">
      <c r="A3520" t="s">
        <v>94</v>
      </c>
    </row>
    <row r="3521" spans="1:13">
      <c r="A3521" t="s">
        <v>129</v>
      </c>
      <c r="B3521" s="1">
        <v>44161.954768518517</v>
      </c>
    </row>
    <row r="3523" spans="1:13">
      <c r="A3523" t="s">
        <v>10</v>
      </c>
      <c r="B3523" t="s">
        <v>7</v>
      </c>
      <c r="C3523" t="s">
        <v>8</v>
      </c>
      <c r="D3523" t="s">
        <v>9</v>
      </c>
      <c r="E3523" t="s">
        <v>134</v>
      </c>
      <c r="F3523" t="s">
        <v>84</v>
      </c>
      <c r="G3523" t="s">
        <v>85</v>
      </c>
      <c r="I3523" t="s">
        <v>70</v>
      </c>
      <c r="J3523" s="15" t="s">
        <v>68</v>
      </c>
      <c r="K3523" s="2" t="s">
        <v>69</v>
      </c>
      <c r="L3523" t="s">
        <v>71</v>
      </c>
      <c r="M3523" t="s">
        <v>72</v>
      </c>
    </row>
    <row r="3524" spans="1:13">
      <c r="A3524" t="s">
        <v>126</v>
      </c>
      <c r="B3524" s="1">
        <v>44161.140914351854</v>
      </c>
      <c r="C3524" s="1">
        <v>44161.954837962963</v>
      </c>
      <c r="D3524" s="2">
        <f>MAX((TimeEntries806816820830[[#This Row],[End time]]-TimeEntries806816820830[[#This Row],[Start time]])*24,0)</f>
        <v>19.534166666620877</v>
      </c>
      <c r="F3524" s="54" t="s">
        <v>184</v>
      </c>
      <c r="G3524" s="22" t="s">
        <v>185</v>
      </c>
      <c r="I3524" t="s">
        <v>126</v>
      </c>
      <c r="J3524" s="15">
        <v>0.05</v>
      </c>
      <c r="K3524" s="2">
        <v>7.8633127212524414</v>
      </c>
      <c r="L3524" s="2">
        <f>SUM(TimeEntries806816820830[Time delta in h])</f>
        <v>19.534166666620877</v>
      </c>
      <c r="M3524" s="16">
        <f>Tabelle7367807817821831[[#This Row],[EBS self time]]/Tabelle7367807817821831[[#This Row],[Total time]]</f>
        <v>0.40254149846529791</v>
      </c>
    </row>
    <row r="3525" spans="1:13">
      <c r="B3525" s="1"/>
      <c r="C3525" s="1"/>
      <c r="D3525" s="2"/>
      <c r="I3525" t="s">
        <v>127</v>
      </c>
      <c r="J3525" s="15">
        <v>0.2</v>
      </c>
      <c r="K3525" s="2">
        <v>7.8633127212524414</v>
      </c>
      <c r="L3525" s="2">
        <f>SUM(TimeEntries806816820830[Time delta in h])</f>
        <v>19.534166666620877</v>
      </c>
      <c r="M3525" s="16">
        <f>Tabelle7367807817821831[[#This Row],[EBS self time]]/Tabelle7367807817821831[[#This Row],[Total time]]</f>
        <v>0.40254149846529791</v>
      </c>
    </row>
    <row r="3526" spans="1:13">
      <c r="I3526" t="s">
        <v>169</v>
      </c>
      <c r="J3526" s="15">
        <v>0.35</v>
      </c>
      <c r="K3526" s="2">
        <v>7.8633127212524414</v>
      </c>
      <c r="L3526" s="2">
        <f>SUM(TimeEntries806816820830[Time delta in h])</f>
        <v>19.534166666620877</v>
      </c>
      <c r="M3526" s="16">
        <f>Tabelle7367807817821831[[#This Row],[EBS self time]]/Tabelle7367807817821831[[#This Row],[Total time]]</f>
        <v>0.40254149846529791</v>
      </c>
    </row>
    <row r="3527" spans="1:13">
      <c r="I3527" t="s">
        <v>172</v>
      </c>
      <c r="J3527" s="15">
        <v>0.5</v>
      </c>
      <c r="K3527" s="2">
        <v>7.8633127212524414</v>
      </c>
      <c r="L3527" s="2">
        <f>SUM(TimeEntries806816820830[Time delta in h])</f>
        <v>19.534166666620877</v>
      </c>
      <c r="M3527" s="16">
        <f>Tabelle7367807817821831[[#This Row],[EBS self time]]/Tabelle7367807817821831[[#This Row],[Total time]]</f>
        <v>0.40254149846529791</v>
      </c>
    </row>
    <row r="3528" spans="1:13">
      <c r="I3528" t="s">
        <v>187</v>
      </c>
      <c r="J3528" s="15">
        <v>0.65</v>
      </c>
      <c r="K3528" s="2">
        <v>30.47795628392419</v>
      </c>
      <c r="L3528" s="2">
        <f>SUM(TimeEntries806816820830[Time delta in h])</f>
        <v>19.534166666620877</v>
      </c>
      <c r="M3528" s="16">
        <f>Tabelle7367807817821831[[#This Row],[EBS self time]]/Tabelle7367807817821831[[#This Row],[Total time]]</f>
        <v>1.5602383661445656</v>
      </c>
    </row>
    <row r="3529" spans="1:13">
      <c r="I3529" t="s">
        <v>192</v>
      </c>
      <c r="J3529" s="15">
        <v>0.8</v>
      </c>
      <c r="K3529" s="2">
        <v>30.47795628392419</v>
      </c>
      <c r="L3529" s="2">
        <f>SUM(TimeEntries806816820830[Time delta in h])</f>
        <v>19.534166666620877</v>
      </c>
      <c r="M3529" s="16">
        <f>Tabelle7367807817821831[[#This Row],[EBS self time]]/Tabelle7367807817821831[[#This Row],[Total time]]</f>
        <v>1.5602383661445656</v>
      </c>
    </row>
    <row r="3530" spans="1:13">
      <c r="I3530" t="s">
        <v>193</v>
      </c>
      <c r="J3530" s="15">
        <v>0.95</v>
      </c>
      <c r="K3530" s="2">
        <v>30.47795628392419</v>
      </c>
      <c r="L3530" s="2">
        <f>SUM(TimeEntries806816820830[Time delta in h])</f>
        <v>19.534166666620877</v>
      </c>
      <c r="M3530" s="16">
        <f>Tabelle7367807817821831[[#This Row],[EBS self time]]/Tabelle7367807817821831[[#This Row],[Total time]]</f>
        <v>1.5602383661445656</v>
      </c>
    </row>
    <row r="3532" spans="1:13">
      <c r="A3532" t="s">
        <v>189</v>
      </c>
      <c r="B3532" t="s">
        <v>636</v>
      </c>
      <c r="C3532" t="s">
        <v>190</v>
      </c>
      <c r="D3532">
        <v>23</v>
      </c>
      <c r="E3532" t="s">
        <v>191</v>
      </c>
      <c r="F3532">
        <v>13</v>
      </c>
    </row>
    <row r="3533" spans="1:13">
      <c r="A3533" s="4" t="s">
        <v>24</v>
      </c>
      <c r="I3533" t="s">
        <v>135</v>
      </c>
      <c r="J3533" t="s">
        <v>136</v>
      </c>
    </row>
    <row r="3534" spans="1:13">
      <c r="A3534" t="s">
        <v>3</v>
      </c>
      <c r="B3534" t="s">
        <v>638</v>
      </c>
    </row>
    <row r="3535" spans="1:13">
      <c r="A3535" t="s">
        <v>77</v>
      </c>
      <c r="B3535" s="2">
        <v>4.6151762008666992</v>
      </c>
      <c r="C3535" t="s">
        <v>4</v>
      </c>
    </row>
    <row r="3536" spans="1:13">
      <c r="A3536" t="s">
        <v>0</v>
      </c>
      <c r="B3536" s="2">
        <f>SUM(TimeEntries822832[Time delta in h])</f>
        <v>29.611111111182254</v>
      </c>
      <c r="C3536" t="s">
        <v>4</v>
      </c>
    </row>
    <row r="3537" spans="1:13">
      <c r="A3537" t="s">
        <v>13</v>
      </c>
      <c r="B3537" s="5" t="s">
        <v>92</v>
      </c>
    </row>
    <row r="3538" spans="1:13">
      <c r="A3538" t="s">
        <v>14</v>
      </c>
      <c r="B3538" s="5" t="s">
        <v>18</v>
      </c>
    </row>
    <row r="3539" spans="1:13">
      <c r="A3539" t="s">
        <v>1</v>
      </c>
      <c r="B3539" t="s">
        <v>91</v>
      </c>
    </row>
    <row r="3540" spans="1:13">
      <c r="A3540" t="s">
        <v>15</v>
      </c>
      <c r="B3540" s="5" t="s">
        <v>92</v>
      </c>
    </row>
    <row r="3541" spans="1:13">
      <c r="A3541" t="s">
        <v>2</v>
      </c>
    </row>
    <row r="3542" spans="1:13">
      <c r="A3542" t="s">
        <v>46</v>
      </c>
      <c r="B3542" t="s">
        <v>636</v>
      </c>
    </row>
    <row r="3543" spans="1:13">
      <c r="A3543" t="s">
        <v>5</v>
      </c>
      <c r="B3543" s="2">
        <f>B3535/SUM(TimeEntries822832[Time delta in h])</f>
        <v>0.15585960903452345</v>
      </c>
      <c r="C3543" t="s">
        <v>6</v>
      </c>
    </row>
    <row r="3544" spans="1:13">
      <c r="A3544" t="s">
        <v>93</v>
      </c>
    </row>
    <row r="3545" spans="1:13">
      <c r="A3545" t="s">
        <v>94</v>
      </c>
    </row>
    <row r="3546" spans="1:13">
      <c r="A3546" t="s">
        <v>129</v>
      </c>
      <c r="B3546" s="1">
        <v>44161.95484953704</v>
      </c>
    </row>
    <row r="3548" spans="1:13">
      <c r="A3548" t="s">
        <v>10</v>
      </c>
      <c r="B3548" t="s">
        <v>7</v>
      </c>
      <c r="C3548" t="s">
        <v>8</v>
      </c>
      <c r="D3548" t="s">
        <v>9</v>
      </c>
      <c r="E3548" t="s">
        <v>134</v>
      </c>
      <c r="F3548" t="s">
        <v>84</v>
      </c>
      <c r="G3548" t="s">
        <v>85</v>
      </c>
      <c r="I3548" t="s">
        <v>70</v>
      </c>
      <c r="J3548" s="15" t="s">
        <v>68</v>
      </c>
      <c r="K3548" s="2" t="s">
        <v>69</v>
      </c>
      <c r="L3548" t="s">
        <v>71</v>
      </c>
      <c r="M3548" t="s">
        <v>72</v>
      </c>
    </row>
    <row r="3549" spans="1:13">
      <c r="A3549" t="s">
        <v>126</v>
      </c>
      <c r="B3549" s="1">
        <v>44160.721053240741</v>
      </c>
      <c r="C3549" s="1">
        <v>44161.95484953704</v>
      </c>
      <c r="D3549" s="2">
        <f>MAX((TimeEntries822832[[#This Row],[End time]]-TimeEntries822832[[#This Row],[Start time]])*24,0)</f>
        <v>29.611111111182254</v>
      </c>
      <c r="F3549" s="54" t="s">
        <v>184</v>
      </c>
      <c r="G3549" s="22" t="s">
        <v>185</v>
      </c>
      <c r="I3549" t="s">
        <v>126</v>
      </c>
      <c r="J3549" s="15">
        <v>0.05</v>
      </c>
      <c r="K3549" s="2">
        <v>2.3075881004333496</v>
      </c>
      <c r="L3549" s="2">
        <f>SUM(TimeEntries822832[Time delta in h])</f>
        <v>29.611111111182254</v>
      </c>
      <c r="M3549" s="16">
        <f>Tabelle7367823833[[#This Row],[EBS self time]]/Tabelle7367823833[[#This Row],[Total time]]</f>
        <v>7.7929804517261725E-2</v>
      </c>
    </row>
    <row r="3550" spans="1:13">
      <c r="B3550" s="1"/>
      <c r="C3550" s="1"/>
      <c r="D3550" s="2"/>
      <c r="I3550" t="s">
        <v>127</v>
      </c>
      <c r="J3550" s="15">
        <v>0.2</v>
      </c>
      <c r="K3550" s="2">
        <v>2.3075881004333496</v>
      </c>
      <c r="L3550" s="2">
        <f>SUM(TimeEntries822832[Time delta in h])</f>
        <v>29.611111111182254</v>
      </c>
      <c r="M3550" s="16">
        <f>Tabelle7367823833[[#This Row],[EBS self time]]/Tabelle7367823833[[#This Row],[Total time]]</f>
        <v>7.7929804517261725E-2</v>
      </c>
    </row>
    <row r="3551" spans="1:13">
      <c r="I3551" t="s">
        <v>169</v>
      </c>
      <c r="J3551" s="15">
        <v>0.35</v>
      </c>
      <c r="K3551" s="2">
        <v>2.3075881004333496</v>
      </c>
      <c r="L3551" s="2">
        <f>SUM(TimeEntries822832[Time delta in h])</f>
        <v>29.611111111182254</v>
      </c>
      <c r="M3551" s="16">
        <f>Tabelle7367823833[[#This Row],[EBS self time]]/Tabelle7367823833[[#This Row],[Total time]]</f>
        <v>7.7929804517261725E-2</v>
      </c>
    </row>
    <row r="3552" spans="1:13">
      <c r="I3552" t="s">
        <v>172</v>
      </c>
      <c r="J3552" s="15">
        <v>0.5</v>
      </c>
      <c r="K3552" s="2">
        <v>2.3075881004333496</v>
      </c>
      <c r="L3552" s="2">
        <f>SUM(TimeEntries822832[Time delta in h])</f>
        <v>29.611111111182254</v>
      </c>
      <c r="M3552" s="16">
        <f>Tabelle7367823833[[#This Row],[EBS self time]]/Tabelle7367823833[[#This Row],[Total time]]</f>
        <v>7.7929804517261725E-2</v>
      </c>
    </row>
    <row r="3553" spans="1:13">
      <c r="I3553" t="s">
        <v>187</v>
      </c>
      <c r="J3553" s="15">
        <v>0.65</v>
      </c>
      <c r="K3553" s="2">
        <v>8.9441399241602699</v>
      </c>
      <c r="L3553" s="2">
        <f>SUM(TimeEntries822832[Time delta in h])</f>
        <v>29.611111111182254</v>
      </c>
      <c r="M3553" s="16">
        <f>Tabelle7367823833[[#This Row],[EBS self time]]/Tabelle7367823833[[#This Row],[Total time]]</f>
        <v>0.30205350588085939</v>
      </c>
    </row>
    <row r="3554" spans="1:13">
      <c r="I3554" t="s">
        <v>192</v>
      </c>
      <c r="J3554" s="15">
        <v>0.8</v>
      </c>
      <c r="K3554" s="2">
        <v>8.9441399241602699</v>
      </c>
      <c r="L3554" s="2">
        <f>SUM(TimeEntries822832[Time delta in h])</f>
        <v>29.611111111182254</v>
      </c>
      <c r="M3554" s="16">
        <f>Tabelle7367823833[[#This Row],[EBS self time]]/Tabelle7367823833[[#This Row],[Total time]]</f>
        <v>0.30205350588085939</v>
      </c>
    </row>
    <row r="3555" spans="1:13">
      <c r="I3555" t="s">
        <v>193</v>
      </c>
      <c r="J3555" s="15">
        <v>0.95</v>
      </c>
      <c r="K3555" s="2">
        <v>8.9441399241602699</v>
      </c>
      <c r="L3555" s="2">
        <f>SUM(TimeEntries822832[Time delta in h])</f>
        <v>29.611111111182254</v>
      </c>
      <c r="M3555" s="16">
        <f>Tabelle7367823833[[#This Row],[EBS self time]]/Tabelle7367823833[[#This Row],[Total time]]</f>
        <v>0.30205350588085939</v>
      </c>
    </row>
    <row r="3557" spans="1:13">
      <c r="A3557" t="s">
        <v>189</v>
      </c>
      <c r="B3557" t="s">
        <v>639</v>
      </c>
      <c r="C3557" t="s">
        <v>190</v>
      </c>
      <c r="D3557">
        <v>23</v>
      </c>
      <c r="E3557" t="s">
        <v>191</v>
      </c>
      <c r="F3557">
        <v>13</v>
      </c>
    </row>
    <row r="3558" spans="1:13">
      <c r="A3558" s="4" t="s">
        <v>24</v>
      </c>
      <c r="I3558" t="s">
        <v>135</v>
      </c>
      <c r="J3558" t="s">
        <v>136</v>
      </c>
    </row>
    <row r="3559" spans="1:13">
      <c r="A3559" t="s">
        <v>3</v>
      </c>
      <c r="B3559" t="s">
        <v>641</v>
      </c>
    </row>
    <row r="3560" spans="1:13">
      <c r="A3560" t="s">
        <v>77</v>
      </c>
      <c r="B3560" s="2">
        <v>8.1834640502929688</v>
      </c>
      <c r="C3560" t="s">
        <v>4</v>
      </c>
    </row>
    <row r="3561" spans="1:13">
      <c r="A3561" t="s">
        <v>0</v>
      </c>
      <c r="B3561" s="2">
        <f>SUM(TimeEntries824834[Time delta in h])</f>
        <v>13.836111111100763</v>
      </c>
      <c r="C3561" t="s">
        <v>4</v>
      </c>
    </row>
    <row r="3562" spans="1:13">
      <c r="A3562" t="s">
        <v>13</v>
      </c>
      <c r="B3562" s="5" t="s">
        <v>92</v>
      </c>
    </row>
    <row r="3563" spans="1:13">
      <c r="A3563" t="s">
        <v>14</v>
      </c>
      <c r="B3563" s="5" t="s">
        <v>18</v>
      </c>
    </row>
    <row r="3564" spans="1:13">
      <c r="A3564" t="s">
        <v>1</v>
      </c>
      <c r="B3564" t="s">
        <v>91</v>
      </c>
    </row>
    <row r="3565" spans="1:13">
      <c r="A3565" t="s">
        <v>15</v>
      </c>
      <c r="B3565" s="5" t="s">
        <v>92</v>
      </c>
    </row>
    <row r="3566" spans="1:13">
      <c r="A3566" t="s">
        <v>2</v>
      </c>
    </row>
    <row r="3567" spans="1:13">
      <c r="A3567" t="s">
        <v>46</v>
      </c>
      <c r="B3567" t="s">
        <v>639</v>
      </c>
    </row>
    <row r="3568" spans="1:13">
      <c r="A3568" t="s">
        <v>5</v>
      </c>
      <c r="B3568" s="2">
        <f>B3560/SUM(TimeEntries824834[Time delta in h])</f>
        <v>0.59145694802402571</v>
      </c>
      <c r="C3568" t="s">
        <v>6</v>
      </c>
    </row>
    <row r="3569" spans="1:13">
      <c r="A3569" t="s">
        <v>93</v>
      </c>
    </row>
    <row r="3570" spans="1:13">
      <c r="A3570" t="s">
        <v>94</v>
      </c>
    </row>
    <row r="3571" spans="1:13">
      <c r="A3571" t="s">
        <v>129</v>
      </c>
      <c r="B3571" s="1">
        <v>44161.954872685186</v>
      </c>
    </row>
    <row r="3573" spans="1:13">
      <c r="A3573" t="s">
        <v>10</v>
      </c>
      <c r="B3573" t="s">
        <v>7</v>
      </c>
      <c r="C3573" t="s">
        <v>8</v>
      </c>
      <c r="D3573" t="s">
        <v>9</v>
      </c>
      <c r="E3573" t="s">
        <v>134</v>
      </c>
      <c r="F3573" t="s">
        <v>84</v>
      </c>
      <c r="G3573" t="s">
        <v>85</v>
      </c>
      <c r="I3573" t="s">
        <v>70</v>
      </c>
      <c r="J3573" s="15" t="s">
        <v>68</v>
      </c>
      <c r="K3573" s="2" t="s">
        <v>69</v>
      </c>
      <c r="L3573" t="s">
        <v>71</v>
      </c>
      <c r="M3573" t="s">
        <v>72</v>
      </c>
    </row>
    <row r="3574" spans="1:13">
      <c r="A3574" t="s">
        <v>126</v>
      </c>
      <c r="B3574" s="1">
        <v>44161.378368055557</v>
      </c>
      <c r="C3574" s="1">
        <v>44161.954872685186</v>
      </c>
      <c r="D3574" s="2">
        <f>MAX((TimeEntries824834[[#This Row],[End time]]-TimeEntries824834[[#This Row],[Start time]])*24,0)</f>
        <v>13.836111111100763</v>
      </c>
      <c r="F3574" s="54" t="s">
        <v>184</v>
      </c>
      <c r="G3574" s="22" t="s">
        <v>185</v>
      </c>
      <c r="I3574" t="s">
        <v>126</v>
      </c>
      <c r="J3574" s="15">
        <v>0.05</v>
      </c>
      <c r="K3574" s="2">
        <v>4.0917320251464844</v>
      </c>
      <c r="L3574" s="2">
        <f>SUM(TimeEntries824834[Time delta in h])</f>
        <v>13.836111111100763</v>
      </c>
      <c r="M3574" s="16">
        <f>Tabelle7367825835[[#This Row],[EBS self time]]/Tabelle7367825835[[#This Row],[Total time]]</f>
        <v>0.29572847401201285</v>
      </c>
    </row>
    <row r="3575" spans="1:13">
      <c r="B3575" s="1"/>
      <c r="C3575" s="1"/>
      <c r="D3575" s="2"/>
      <c r="I3575" t="s">
        <v>127</v>
      </c>
      <c r="J3575" s="15">
        <v>0.2</v>
      </c>
      <c r="K3575" s="2">
        <v>4.0917320251464844</v>
      </c>
      <c r="L3575" s="2">
        <f>SUM(TimeEntries824834[Time delta in h])</f>
        <v>13.836111111100763</v>
      </c>
      <c r="M3575" s="16">
        <f>Tabelle7367825835[[#This Row],[EBS self time]]/Tabelle7367825835[[#This Row],[Total time]]</f>
        <v>0.29572847401201285</v>
      </c>
    </row>
    <row r="3576" spans="1:13">
      <c r="I3576" t="s">
        <v>169</v>
      </c>
      <c r="J3576" s="15">
        <v>0.35</v>
      </c>
      <c r="K3576" s="2">
        <v>4.0917320251464844</v>
      </c>
      <c r="L3576" s="2">
        <f>SUM(TimeEntries824834[Time delta in h])</f>
        <v>13.836111111100763</v>
      </c>
      <c r="M3576" s="16">
        <f>Tabelle7367825835[[#This Row],[EBS self time]]/Tabelle7367825835[[#This Row],[Total time]]</f>
        <v>0.29572847401201285</v>
      </c>
    </row>
    <row r="3577" spans="1:13">
      <c r="I3577" t="s">
        <v>172</v>
      </c>
      <c r="J3577" s="15">
        <v>0.5</v>
      </c>
      <c r="K3577" s="2">
        <v>4.0917320251464844</v>
      </c>
      <c r="L3577" s="2">
        <f>SUM(TimeEntries824834[Time delta in h])</f>
        <v>13.836111111100763</v>
      </c>
      <c r="M3577" s="16">
        <f>Tabelle7367825835[[#This Row],[EBS self time]]/Tabelle7367825835[[#This Row],[Total time]]</f>
        <v>0.29572847401201285</v>
      </c>
    </row>
    <row r="3578" spans="1:13">
      <c r="I3578" t="s">
        <v>187</v>
      </c>
      <c r="J3578" s="15">
        <v>0.65</v>
      </c>
      <c r="K3578" s="2">
        <v>4.0917320251464844</v>
      </c>
      <c r="L3578" s="2">
        <f>SUM(TimeEntries824834[Time delta in h])</f>
        <v>13.836111111100763</v>
      </c>
      <c r="M3578" s="16">
        <f>Tabelle7367825835[[#This Row],[EBS self time]]/Tabelle7367825835[[#This Row],[Total time]]</f>
        <v>0.29572847401201285</v>
      </c>
    </row>
    <row r="3579" spans="1:13">
      <c r="I3579" t="s">
        <v>192</v>
      </c>
      <c r="J3579" s="15">
        <v>0.8</v>
      </c>
      <c r="K3579" s="2">
        <v>15.859426454056141</v>
      </c>
      <c r="L3579" s="2">
        <f>SUM(TimeEntries824834[Time delta in h])</f>
        <v>13.836111111100763</v>
      </c>
      <c r="M3579" s="16">
        <f>Tabelle7367825835[[#This Row],[EBS self time]]/Tabelle7367825835[[#This Row],[Total time]]</f>
        <v>1.1462343953953986</v>
      </c>
    </row>
    <row r="3580" spans="1:13">
      <c r="I3580" t="s">
        <v>193</v>
      </c>
      <c r="J3580" s="15">
        <v>0.95</v>
      </c>
      <c r="K3580" s="2">
        <v>15.859426454056141</v>
      </c>
      <c r="L3580" s="2">
        <f>SUM(TimeEntries824834[Time delta in h])</f>
        <v>13.836111111100763</v>
      </c>
      <c r="M3580" s="16">
        <f>Tabelle7367825835[[#This Row],[EBS self time]]/Tabelle7367825835[[#This Row],[Total time]]</f>
        <v>1.1462343953953986</v>
      </c>
    </row>
    <row r="3582" spans="1:13">
      <c r="A3582" t="s">
        <v>189</v>
      </c>
      <c r="B3582" t="s">
        <v>642</v>
      </c>
      <c r="C3582" t="s">
        <v>190</v>
      </c>
      <c r="D3582">
        <v>23</v>
      </c>
      <c r="E3582" t="s">
        <v>191</v>
      </c>
      <c r="F3582">
        <v>13</v>
      </c>
    </row>
    <row r="3583" spans="1:13">
      <c r="A3583" s="4" t="s">
        <v>24</v>
      </c>
      <c r="I3583" t="s">
        <v>135</v>
      </c>
      <c r="J3583" t="s">
        <v>136</v>
      </c>
    </row>
    <row r="3584" spans="1:13">
      <c r="A3584" t="s">
        <v>3</v>
      </c>
      <c r="B3584" t="s">
        <v>644</v>
      </c>
    </row>
    <row r="3585" spans="1:13">
      <c r="A3585" t="s">
        <v>77</v>
      </c>
      <c r="B3585" s="2">
        <v>2.0954446792602539</v>
      </c>
      <c r="C3585" t="s">
        <v>4</v>
      </c>
    </row>
    <row r="3586" spans="1:13">
      <c r="A3586" t="s">
        <v>0</v>
      </c>
      <c r="B3586" s="2">
        <f>SUM(TimeEntries826836[Time delta in h])</f>
        <v>12.506666666537058</v>
      </c>
      <c r="C3586" t="s">
        <v>4</v>
      </c>
    </row>
    <row r="3587" spans="1:13">
      <c r="A3587" t="s">
        <v>13</v>
      </c>
      <c r="B3587" s="5" t="s">
        <v>92</v>
      </c>
    </row>
    <row r="3588" spans="1:13">
      <c r="A3588" t="s">
        <v>14</v>
      </c>
      <c r="B3588" s="5" t="s">
        <v>18</v>
      </c>
    </row>
    <row r="3589" spans="1:13">
      <c r="A3589" t="s">
        <v>1</v>
      </c>
      <c r="B3589" t="s">
        <v>91</v>
      </c>
    </row>
    <row r="3590" spans="1:13">
      <c r="A3590" t="s">
        <v>15</v>
      </c>
      <c r="B3590" s="5" t="s">
        <v>92</v>
      </c>
    </row>
    <row r="3591" spans="1:13">
      <c r="A3591" t="s">
        <v>2</v>
      </c>
    </row>
    <row r="3592" spans="1:13">
      <c r="A3592" t="s">
        <v>46</v>
      </c>
      <c r="B3592" t="s">
        <v>642</v>
      </c>
    </row>
    <row r="3593" spans="1:13">
      <c r="A3593" t="s">
        <v>5</v>
      </c>
      <c r="B3593" s="2">
        <f>B3585/SUM(TimeEntries826836[Time delta in h])</f>
        <v>0.16754621636049863</v>
      </c>
      <c r="C3593" t="s">
        <v>6</v>
      </c>
    </row>
    <row r="3594" spans="1:13">
      <c r="A3594" t="s">
        <v>93</v>
      </c>
    </row>
    <row r="3595" spans="1:13">
      <c r="A3595" t="s">
        <v>94</v>
      </c>
    </row>
    <row r="3596" spans="1:13">
      <c r="A3596" t="s">
        <v>129</v>
      </c>
      <c r="B3596" s="1">
        <v>44161.954884259256</v>
      </c>
    </row>
    <row r="3598" spans="1:13">
      <c r="A3598" t="s">
        <v>10</v>
      </c>
      <c r="B3598" t="s">
        <v>7</v>
      </c>
      <c r="C3598" t="s">
        <v>8</v>
      </c>
      <c r="D3598" t="s">
        <v>9</v>
      </c>
      <c r="E3598" t="s">
        <v>134</v>
      </c>
      <c r="F3598" t="s">
        <v>84</v>
      </c>
      <c r="G3598" t="s">
        <v>85</v>
      </c>
      <c r="I3598" t="s">
        <v>70</v>
      </c>
      <c r="J3598" s="15" t="s">
        <v>68</v>
      </c>
      <c r="K3598" s="2" t="s">
        <v>69</v>
      </c>
      <c r="L3598" t="s">
        <v>71</v>
      </c>
      <c r="M3598" t="s">
        <v>72</v>
      </c>
    </row>
    <row r="3599" spans="1:13">
      <c r="A3599" t="s">
        <v>126</v>
      </c>
      <c r="B3599" s="1">
        <v>44161.43377314815</v>
      </c>
      <c r="C3599" s="1">
        <v>44161.954884259256</v>
      </c>
      <c r="D3599" s="2">
        <f>MAX((TimeEntries826836[[#This Row],[End time]]-TimeEntries826836[[#This Row],[Start time]])*24,0)</f>
        <v>12.506666666537058</v>
      </c>
      <c r="F3599" s="54" t="s">
        <v>184</v>
      </c>
      <c r="G3599" s="22" t="s">
        <v>185</v>
      </c>
      <c r="I3599" t="s">
        <v>126</v>
      </c>
      <c r="J3599" s="15">
        <v>0.05</v>
      </c>
      <c r="K3599" s="2">
        <v>1.047722339630127</v>
      </c>
      <c r="L3599" s="2">
        <f>SUM(TimeEntries826836[Time delta in h])</f>
        <v>12.506666666537058</v>
      </c>
      <c r="M3599" s="16">
        <f>Tabelle7367827837[[#This Row],[EBS self time]]/Tabelle7367827837[[#This Row],[Total time]]</f>
        <v>8.3773108180249314E-2</v>
      </c>
    </row>
    <row r="3600" spans="1:13">
      <c r="B3600" s="1"/>
      <c r="C3600" s="1"/>
      <c r="D3600" s="2"/>
      <c r="I3600" t="s">
        <v>127</v>
      </c>
      <c r="J3600" s="15">
        <v>0.2</v>
      </c>
      <c r="K3600" s="2">
        <v>1.047722339630127</v>
      </c>
      <c r="L3600" s="2">
        <f>SUM(TimeEntries826836[Time delta in h])</f>
        <v>12.506666666537058</v>
      </c>
      <c r="M3600" s="16">
        <f>Tabelle7367827837[[#This Row],[EBS self time]]/Tabelle7367827837[[#This Row],[Total time]]</f>
        <v>8.3773108180249314E-2</v>
      </c>
    </row>
    <row r="3601" spans="1:13">
      <c r="I3601" t="s">
        <v>169</v>
      </c>
      <c r="J3601" s="15">
        <v>0.35</v>
      </c>
      <c r="K3601" s="2">
        <v>1.047722339630127</v>
      </c>
      <c r="L3601" s="2">
        <f>SUM(TimeEntries826836[Time delta in h])</f>
        <v>12.506666666537058</v>
      </c>
      <c r="M3601" s="16">
        <f>Tabelle7367827837[[#This Row],[EBS self time]]/Tabelle7367827837[[#This Row],[Total time]]</f>
        <v>8.3773108180249314E-2</v>
      </c>
    </row>
    <row r="3602" spans="1:13">
      <c r="I3602" t="s">
        <v>172</v>
      </c>
      <c r="J3602" s="15">
        <v>0.5</v>
      </c>
      <c r="K3602" s="2">
        <v>1.047722339630127</v>
      </c>
      <c r="L3602" s="2">
        <f>SUM(TimeEntries826836[Time delta in h])</f>
        <v>12.506666666537058</v>
      </c>
      <c r="M3602" s="16">
        <f>Tabelle7367827837[[#This Row],[EBS self time]]/Tabelle7367827837[[#This Row],[Total time]]</f>
        <v>8.3773108180249314E-2</v>
      </c>
    </row>
    <row r="3603" spans="1:13">
      <c r="I3603" t="s">
        <v>187</v>
      </c>
      <c r="J3603" s="15">
        <v>0.65</v>
      </c>
      <c r="K3603" s="2">
        <v>1.047722339630127</v>
      </c>
      <c r="L3603" s="2">
        <f>SUM(TimeEntries826836[Time delta in h])</f>
        <v>12.506666666537058</v>
      </c>
      <c r="M3603" s="16">
        <f>Tabelle7367827837[[#This Row],[EBS self time]]/Tabelle7367827837[[#This Row],[Total time]]</f>
        <v>8.3773108180249314E-2</v>
      </c>
    </row>
    <row r="3604" spans="1:13">
      <c r="I3604" t="s">
        <v>192</v>
      </c>
      <c r="J3604" s="15">
        <v>0.8</v>
      </c>
      <c r="K3604" s="2">
        <v>4.060939300891965</v>
      </c>
      <c r="L3604" s="2">
        <f>SUM(TimeEntries826836[Time delta in h])</f>
        <v>12.506666666537058</v>
      </c>
      <c r="M3604" s="16">
        <f>Tabelle7367827837[[#This Row],[EBS self time]]/Tabelle7367827837[[#This Row],[Total time]]</f>
        <v>0.32470196969088883</v>
      </c>
    </row>
    <row r="3605" spans="1:13">
      <c r="I3605" t="s">
        <v>193</v>
      </c>
      <c r="J3605" s="15">
        <v>0.95</v>
      </c>
      <c r="K3605" s="2">
        <v>4.060939300891965</v>
      </c>
      <c r="L3605" s="2">
        <f>SUM(TimeEntries826836[Time delta in h])</f>
        <v>12.506666666537058</v>
      </c>
      <c r="M3605" s="16">
        <f>Tabelle7367827837[[#This Row],[EBS self time]]/Tabelle7367827837[[#This Row],[Total time]]</f>
        <v>0.32470196969088883</v>
      </c>
    </row>
    <row r="3607" spans="1:13">
      <c r="A3607" t="s">
        <v>189</v>
      </c>
      <c r="B3607" t="s">
        <v>645</v>
      </c>
      <c r="C3607" t="s">
        <v>190</v>
      </c>
      <c r="D3607">
        <v>23</v>
      </c>
      <c r="E3607" t="s">
        <v>191</v>
      </c>
      <c r="F3607">
        <v>13</v>
      </c>
    </row>
    <row r="3608" spans="1:13">
      <c r="A3608" s="4" t="s">
        <v>24</v>
      </c>
      <c r="I3608" t="s">
        <v>135</v>
      </c>
      <c r="J3608" t="s">
        <v>136</v>
      </c>
    </row>
    <row r="3609" spans="1:13">
      <c r="A3609" t="s">
        <v>3</v>
      </c>
      <c r="B3609" t="s">
        <v>647</v>
      </c>
    </row>
    <row r="3610" spans="1:13">
      <c r="A3610" t="s">
        <v>77</v>
      </c>
      <c r="B3610" s="2">
        <v>9.9641094207763672</v>
      </c>
      <c r="C3610" t="s">
        <v>4</v>
      </c>
    </row>
    <row r="3611" spans="1:13">
      <c r="A3611" t="s">
        <v>0</v>
      </c>
      <c r="B3611" s="2">
        <f>SUM(TimeEntries828838842852[Time delta in h])</f>
        <v>27.851388889015652</v>
      </c>
      <c r="C3611" t="s">
        <v>4</v>
      </c>
    </row>
    <row r="3612" spans="1:13">
      <c r="A3612" t="s">
        <v>13</v>
      </c>
      <c r="B3612" s="5" t="s">
        <v>92</v>
      </c>
    </row>
    <row r="3613" spans="1:13">
      <c r="A3613" t="s">
        <v>14</v>
      </c>
      <c r="B3613" s="5" t="s">
        <v>18</v>
      </c>
    </row>
    <row r="3614" spans="1:13">
      <c r="A3614" t="s">
        <v>1</v>
      </c>
      <c r="B3614" t="s">
        <v>91</v>
      </c>
    </row>
    <row r="3615" spans="1:13">
      <c r="A3615" t="s">
        <v>15</v>
      </c>
      <c r="B3615" s="5" t="s">
        <v>92</v>
      </c>
    </row>
    <row r="3616" spans="1:13">
      <c r="A3616" t="s">
        <v>2</v>
      </c>
    </row>
    <row r="3617" spans="1:13">
      <c r="A3617" t="s">
        <v>46</v>
      </c>
      <c r="B3617" t="s">
        <v>645</v>
      </c>
    </row>
    <row r="3618" spans="1:13">
      <c r="A3618" t="s">
        <v>5</v>
      </c>
      <c r="B3618" s="2">
        <f>B3610/SUM(TimeEntries828838842852[Time delta in h])</f>
        <v>0.35775987547630439</v>
      </c>
      <c r="C3618" t="s">
        <v>6</v>
      </c>
    </row>
    <row r="3619" spans="1:13">
      <c r="A3619" t="s">
        <v>93</v>
      </c>
    </row>
    <row r="3620" spans="1:13">
      <c r="A3620" t="s">
        <v>94</v>
      </c>
    </row>
    <row r="3621" spans="1:13">
      <c r="A3621" t="s">
        <v>129</v>
      </c>
      <c r="B3621" s="1">
        <v>44161.954895833333</v>
      </c>
    </row>
    <row r="3623" spans="1:13">
      <c r="A3623" t="s">
        <v>10</v>
      </c>
      <c r="B3623" t="s">
        <v>7</v>
      </c>
      <c r="C3623" t="s">
        <v>8</v>
      </c>
      <c r="D3623" t="s">
        <v>9</v>
      </c>
      <c r="E3623" t="s">
        <v>134</v>
      </c>
      <c r="F3623" t="s">
        <v>84</v>
      </c>
      <c r="G3623" t="s">
        <v>85</v>
      </c>
      <c r="I3623" t="s">
        <v>70</v>
      </c>
      <c r="J3623" s="15" t="s">
        <v>68</v>
      </c>
      <c r="K3623" s="2" t="s">
        <v>69</v>
      </c>
      <c r="L3623" t="s">
        <v>71</v>
      </c>
      <c r="M3623" t="s">
        <v>72</v>
      </c>
    </row>
    <row r="3624" spans="1:13">
      <c r="A3624" t="s">
        <v>126</v>
      </c>
      <c r="B3624" s="1">
        <v>44160.794502314813</v>
      </c>
      <c r="C3624" s="1">
        <v>44161.954976851855</v>
      </c>
      <c r="D3624" s="2">
        <f>MAX((TimeEntries828838842852[[#This Row],[End time]]-TimeEntries828838842852[[#This Row],[Start time]])*24,0)</f>
        <v>27.851388889015652</v>
      </c>
      <c r="F3624" s="54" t="s">
        <v>184</v>
      </c>
      <c r="G3624" s="22" t="s">
        <v>185</v>
      </c>
      <c r="I3624" t="s">
        <v>126</v>
      </c>
      <c r="J3624" s="15">
        <v>0.05</v>
      </c>
      <c r="K3624" s="2">
        <v>4.9820547103881836</v>
      </c>
      <c r="L3624" s="2">
        <f>SUM(TimeEntries828838842852[Time delta in h])</f>
        <v>27.851388889015652</v>
      </c>
      <c r="M3624" s="16">
        <f>Tabelle7367829839843853[[#This Row],[EBS self time]]/Tabelle7367829839843853[[#This Row],[Total time]]</f>
        <v>0.17887993773815219</v>
      </c>
    </row>
    <row r="3625" spans="1:13">
      <c r="B3625" s="1"/>
      <c r="C3625" s="1"/>
      <c r="D3625" s="2"/>
      <c r="I3625" t="s">
        <v>127</v>
      </c>
      <c r="J3625" s="15">
        <v>0.2</v>
      </c>
      <c r="K3625" s="2">
        <v>4.9820547103881836</v>
      </c>
      <c r="L3625" s="2">
        <f>SUM(TimeEntries828838842852[Time delta in h])</f>
        <v>27.851388889015652</v>
      </c>
      <c r="M3625" s="16">
        <f>Tabelle7367829839843853[[#This Row],[EBS self time]]/Tabelle7367829839843853[[#This Row],[Total time]]</f>
        <v>0.17887993773815219</v>
      </c>
    </row>
    <row r="3626" spans="1:13">
      <c r="I3626" t="s">
        <v>169</v>
      </c>
      <c r="J3626" s="15">
        <v>0.35</v>
      </c>
      <c r="K3626" s="2">
        <v>4.9820547103881836</v>
      </c>
      <c r="L3626" s="2">
        <f>SUM(TimeEntries828838842852[Time delta in h])</f>
        <v>27.851388889015652</v>
      </c>
      <c r="M3626" s="16">
        <f>Tabelle7367829839843853[[#This Row],[EBS self time]]/Tabelle7367829839843853[[#This Row],[Total time]]</f>
        <v>0.17887993773815219</v>
      </c>
    </row>
    <row r="3627" spans="1:13">
      <c r="I3627" t="s">
        <v>172</v>
      </c>
      <c r="J3627" s="15">
        <v>0.5</v>
      </c>
      <c r="K3627" s="2">
        <v>4.9820547103881836</v>
      </c>
      <c r="L3627" s="2">
        <f>SUM(TimeEntries828838842852[Time delta in h])</f>
        <v>27.851388889015652</v>
      </c>
      <c r="M3627" s="16">
        <f>Tabelle7367829839843853[[#This Row],[EBS self time]]/Tabelle7367829839843853[[#This Row],[Total time]]</f>
        <v>0.17887993773815219</v>
      </c>
    </row>
    <row r="3628" spans="1:13">
      <c r="I3628" t="s">
        <v>187</v>
      </c>
      <c r="J3628" s="15">
        <v>0.65</v>
      </c>
      <c r="K3628" s="2">
        <v>11.071554527911109</v>
      </c>
      <c r="L3628" s="2">
        <f>SUM(TimeEntries828838842852[Time delta in h])</f>
        <v>27.851388889015652</v>
      </c>
      <c r="M3628" s="16">
        <f>Tabelle7367829839843853[[#This Row],[EBS self time]]/Tabelle7367829839843853[[#This Row],[Total time]]</f>
        <v>0.39752252830298296</v>
      </c>
    </row>
    <row r="3629" spans="1:13">
      <c r="I3629" t="s">
        <v>192</v>
      </c>
      <c r="J3629" s="15">
        <v>0.8</v>
      </c>
      <c r="K3629" s="2">
        <v>19.310289575147998</v>
      </c>
      <c r="L3629" s="2">
        <f>SUM(TimeEntries828838842852[Time delta in h])</f>
        <v>27.851388889015652</v>
      </c>
      <c r="M3629" s="16">
        <f>Tabelle7367829839843853[[#This Row],[EBS self time]]/Tabelle7367829839843853[[#This Row],[Total time]]</f>
        <v>0.69333309200834181</v>
      </c>
    </row>
    <row r="3630" spans="1:13">
      <c r="I3630" t="s">
        <v>193</v>
      </c>
      <c r="J3630" s="15">
        <v>0.95</v>
      </c>
      <c r="K3630" s="2">
        <v>19.310289575147998</v>
      </c>
      <c r="L3630" s="2">
        <f>SUM(TimeEntries828838842852[Time delta in h])</f>
        <v>27.851388889015652</v>
      </c>
      <c r="M3630" s="16">
        <f>Tabelle7367829839843853[[#This Row],[EBS self time]]/Tabelle7367829839843853[[#This Row],[Total time]]</f>
        <v>0.69333309200834181</v>
      </c>
    </row>
    <row r="3632" spans="1:13">
      <c r="A3632" t="s">
        <v>189</v>
      </c>
      <c r="B3632" t="s">
        <v>648</v>
      </c>
      <c r="C3632" t="s">
        <v>190</v>
      </c>
      <c r="D3632">
        <v>23</v>
      </c>
      <c r="E3632" t="s">
        <v>191</v>
      </c>
      <c r="F3632">
        <v>13</v>
      </c>
    </row>
    <row r="3633" spans="1:13">
      <c r="A3633" s="4" t="s">
        <v>24</v>
      </c>
      <c r="I3633" t="s">
        <v>135</v>
      </c>
      <c r="J3633" t="s">
        <v>136</v>
      </c>
    </row>
    <row r="3634" spans="1:13">
      <c r="A3634" t="s">
        <v>3</v>
      </c>
      <c r="B3634" t="s">
        <v>650</v>
      </c>
    </row>
    <row r="3635" spans="1:13">
      <c r="A3635" t="s">
        <v>77</v>
      </c>
      <c r="B3635" s="2">
        <v>9.4464559555053711</v>
      </c>
      <c r="C3635" t="s">
        <v>4</v>
      </c>
    </row>
    <row r="3636" spans="1:13">
      <c r="A3636" t="s">
        <v>0</v>
      </c>
      <c r="B3636" s="2">
        <f>SUM(TimeEntries844854[Time delta in h])</f>
        <v>21.959444444335531</v>
      </c>
      <c r="C3636" t="s">
        <v>4</v>
      </c>
    </row>
    <row r="3637" spans="1:13">
      <c r="A3637" t="s">
        <v>13</v>
      </c>
      <c r="B3637" s="5" t="s">
        <v>92</v>
      </c>
    </row>
    <row r="3638" spans="1:13">
      <c r="A3638" t="s">
        <v>14</v>
      </c>
      <c r="B3638" s="5" t="s">
        <v>18</v>
      </c>
    </row>
    <row r="3639" spans="1:13">
      <c r="A3639" t="s">
        <v>1</v>
      </c>
      <c r="B3639" t="s">
        <v>131</v>
      </c>
    </row>
    <row r="3640" spans="1:13">
      <c r="A3640" t="s">
        <v>15</v>
      </c>
      <c r="B3640" s="5">
        <v>44161.954988425925</v>
      </c>
    </row>
    <row r="3641" spans="1:13">
      <c r="A3641" t="s">
        <v>2</v>
      </c>
    </row>
    <row r="3642" spans="1:13">
      <c r="A3642" t="s">
        <v>46</v>
      </c>
      <c r="B3642" t="s">
        <v>648</v>
      </c>
    </row>
    <row r="3643" spans="1:13">
      <c r="A3643" t="s">
        <v>5</v>
      </c>
      <c r="B3643" s="2">
        <f>B3635/SUM(TimeEntries844854[Time delta in h])</f>
        <v>0.4301773653450553</v>
      </c>
      <c r="C3643" t="s">
        <v>6</v>
      </c>
    </row>
    <row r="3644" spans="1:13">
      <c r="A3644" t="s">
        <v>93</v>
      </c>
    </row>
    <row r="3645" spans="1:13">
      <c r="A3645" t="s">
        <v>94</v>
      </c>
    </row>
    <row r="3646" spans="1:13">
      <c r="A3646" t="s">
        <v>129</v>
      </c>
      <c r="B3646" s="1">
        <v>44161.954988425925</v>
      </c>
    </row>
    <row r="3648" spans="1:13">
      <c r="A3648" t="s">
        <v>10</v>
      </c>
      <c r="B3648" t="s">
        <v>7</v>
      </c>
      <c r="C3648" t="s">
        <v>8</v>
      </c>
      <c r="D3648" t="s">
        <v>9</v>
      </c>
      <c r="E3648" t="s">
        <v>134</v>
      </c>
      <c r="F3648" t="s">
        <v>84</v>
      </c>
      <c r="G3648" t="s">
        <v>85</v>
      </c>
      <c r="I3648" t="s">
        <v>70</v>
      </c>
      <c r="J3648" s="15" t="s">
        <v>68</v>
      </c>
      <c r="K3648" s="2" t="s">
        <v>69</v>
      </c>
      <c r="L3648" t="s">
        <v>71</v>
      </c>
      <c r="M3648" t="s">
        <v>72</v>
      </c>
    </row>
    <row r="3649" spans="1:13">
      <c r="A3649" t="s">
        <v>126</v>
      </c>
      <c r="B3649" s="1">
        <v>44161.040011574078</v>
      </c>
      <c r="C3649" s="1">
        <v>44161.954988425925</v>
      </c>
      <c r="D3649" s="2">
        <f>MAX((TimeEntries844854[[#This Row],[End time]]-TimeEntries844854[[#This Row],[Start time]])*24,0)</f>
        <v>21.959444444335531</v>
      </c>
      <c r="F3649" s="54" t="s">
        <v>184</v>
      </c>
      <c r="G3649" s="22" t="s">
        <v>185</v>
      </c>
      <c r="I3649" t="s">
        <v>126</v>
      </c>
      <c r="J3649" s="15">
        <v>0.05</v>
      </c>
      <c r="K3649" s="2">
        <v>4.7232279777526855</v>
      </c>
      <c r="L3649" s="2">
        <f>SUM(TimeEntries844854[Time delta in h])</f>
        <v>21.959444444335531</v>
      </c>
      <c r="M3649" s="16">
        <f>Tabelle7367845855[[#This Row],[EBS self time]]/Tabelle7367845855[[#This Row],[Total time]]</f>
        <v>0.21508868267252765</v>
      </c>
    </row>
    <row r="3650" spans="1:13">
      <c r="B3650" s="1"/>
      <c r="C3650" s="1"/>
      <c r="D3650" s="2"/>
      <c r="I3650" t="s">
        <v>127</v>
      </c>
      <c r="J3650" s="15">
        <v>0.2</v>
      </c>
      <c r="K3650" s="2">
        <v>4.7232279777526855</v>
      </c>
      <c r="L3650" s="2">
        <f>SUM(TimeEntries844854[Time delta in h])</f>
        <v>21.959444444335531</v>
      </c>
      <c r="M3650" s="16">
        <f>Tabelle7367845855[[#This Row],[EBS self time]]/Tabelle7367845855[[#This Row],[Total time]]</f>
        <v>0.21508868267252765</v>
      </c>
    </row>
    <row r="3651" spans="1:13">
      <c r="I3651" t="s">
        <v>169</v>
      </c>
      <c r="J3651" s="15">
        <v>0.35</v>
      </c>
      <c r="K3651" s="2">
        <v>4.7232279777526855</v>
      </c>
      <c r="L3651" s="2">
        <f>SUM(TimeEntries844854[Time delta in h])</f>
        <v>21.959444444335531</v>
      </c>
      <c r="M3651" s="16">
        <f>Tabelle7367845855[[#This Row],[EBS self time]]/Tabelle7367845855[[#This Row],[Total time]]</f>
        <v>0.21508868267252765</v>
      </c>
    </row>
    <row r="3652" spans="1:13">
      <c r="I3652" t="s">
        <v>172</v>
      </c>
      <c r="J3652" s="15">
        <v>0.5</v>
      </c>
      <c r="K3652" s="2">
        <v>4.7232279777526855</v>
      </c>
      <c r="L3652" s="2">
        <f>SUM(TimeEntries844854[Time delta in h])</f>
        <v>21.959444444335531</v>
      </c>
      <c r="M3652" s="16">
        <f>Tabelle7367845855[[#This Row],[EBS self time]]/Tabelle7367845855[[#This Row],[Total time]]</f>
        <v>0.21508868267252765</v>
      </c>
    </row>
    <row r="3653" spans="1:13">
      <c r="I3653" t="s">
        <v>187</v>
      </c>
      <c r="J3653" s="15">
        <v>0.65</v>
      </c>
      <c r="K3653" s="2">
        <v>18.307085185087928</v>
      </c>
      <c r="L3653" s="2">
        <f>SUM(TimeEntries844854[Time delta in h])</f>
        <v>21.959444444335531</v>
      </c>
      <c r="M3653" s="16">
        <f>Tabelle7367845855[[#This Row],[EBS self time]]/Tabelle7367845855[[#This Row],[Total time]]</f>
        <v>0.83367706462220015</v>
      </c>
    </row>
    <row r="3654" spans="1:13">
      <c r="I3654" t="s">
        <v>192</v>
      </c>
      <c r="J3654" s="15">
        <v>0.8</v>
      </c>
      <c r="K3654" s="2">
        <v>18.307085185087928</v>
      </c>
      <c r="L3654" s="2">
        <f>SUM(TimeEntries844854[Time delta in h])</f>
        <v>21.959444444335531</v>
      </c>
      <c r="M3654" s="16">
        <f>Tabelle7367845855[[#This Row],[EBS self time]]/Tabelle7367845855[[#This Row],[Total time]]</f>
        <v>0.83367706462220015</v>
      </c>
    </row>
    <row r="3655" spans="1:13">
      <c r="I3655" t="s">
        <v>193</v>
      </c>
      <c r="J3655" s="15">
        <v>0.95</v>
      </c>
      <c r="K3655" s="2">
        <v>18.307085185087928</v>
      </c>
      <c r="L3655" s="2">
        <f>SUM(TimeEntries844854[Time delta in h])</f>
        <v>21.959444444335531</v>
      </c>
      <c r="M3655" s="16">
        <f>Tabelle7367845855[[#This Row],[EBS self time]]/Tabelle7367845855[[#This Row],[Total time]]</f>
        <v>0.83367706462220015</v>
      </c>
    </row>
    <row r="3657" spans="1:13">
      <c r="A3657" t="s">
        <v>189</v>
      </c>
      <c r="B3657" t="s">
        <v>651</v>
      </c>
      <c r="C3657" t="s">
        <v>190</v>
      </c>
      <c r="D3657">
        <v>23</v>
      </c>
      <c r="E3657" t="s">
        <v>191</v>
      </c>
      <c r="F3657">
        <v>13</v>
      </c>
    </row>
    <row r="3658" spans="1:13">
      <c r="A3658" s="4" t="s">
        <v>24</v>
      </c>
      <c r="I3658" t="s">
        <v>135</v>
      </c>
      <c r="J3658" t="s">
        <v>136</v>
      </c>
    </row>
    <row r="3659" spans="1:13">
      <c r="A3659" t="s">
        <v>3</v>
      </c>
      <c r="B3659" t="s">
        <v>653</v>
      </c>
    </row>
    <row r="3660" spans="1:13">
      <c r="A3660" t="s">
        <v>77</v>
      </c>
      <c r="B3660" s="2">
        <v>5.3418769836425781</v>
      </c>
      <c r="C3660" t="s">
        <v>4</v>
      </c>
    </row>
    <row r="3661" spans="1:13">
      <c r="A3661" t="s">
        <v>0</v>
      </c>
      <c r="B3661" s="2">
        <f>SUM(TimeEntries846856[Time delta in h])</f>
        <v>23.69027777784504</v>
      </c>
      <c r="C3661" t="s">
        <v>4</v>
      </c>
    </row>
    <row r="3662" spans="1:13">
      <c r="A3662" t="s">
        <v>13</v>
      </c>
      <c r="B3662" s="5" t="s">
        <v>92</v>
      </c>
    </row>
    <row r="3663" spans="1:13">
      <c r="A3663" t="s">
        <v>14</v>
      </c>
      <c r="B3663" s="5" t="s">
        <v>18</v>
      </c>
    </row>
    <row r="3664" spans="1:13">
      <c r="A3664" t="s">
        <v>1</v>
      </c>
      <c r="B3664" t="s">
        <v>131</v>
      </c>
    </row>
    <row r="3665" spans="1:13">
      <c r="A3665" t="s">
        <v>15</v>
      </c>
      <c r="B3665" s="5">
        <v>44161.955000000002</v>
      </c>
    </row>
    <row r="3666" spans="1:13">
      <c r="A3666" t="s">
        <v>2</v>
      </c>
    </row>
    <row r="3667" spans="1:13">
      <c r="A3667" t="s">
        <v>46</v>
      </c>
      <c r="B3667" t="s">
        <v>651</v>
      </c>
    </row>
    <row r="3668" spans="1:13">
      <c r="A3668" t="s">
        <v>5</v>
      </c>
      <c r="B3668" s="2">
        <f>B3660/SUM(TimeEntries846856[Time delta in h])</f>
        <v>0.22548815314602427</v>
      </c>
      <c r="C3668" t="s">
        <v>6</v>
      </c>
    </row>
    <row r="3669" spans="1:13">
      <c r="A3669" t="s">
        <v>93</v>
      </c>
    </row>
    <row r="3670" spans="1:13">
      <c r="A3670" t="s">
        <v>94</v>
      </c>
    </row>
    <row r="3671" spans="1:13">
      <c r="A3671" t="s">
        <v>129</v>
      </c>
      <c r="B3671" s="1">
        <v>44161.955000000002</v>
      </c>
    </row>
    <row r="3673" spans="1:13">
      <c r="A3673" t="s">
        <v>10</v>
      </c>
      <c r="B3673" t="s">
        <v>7</v>
      </c>
      <c r="C3673" t="s">
        <v>8</v>
      </c>
      <c r="D3673" t="s">
        <v>9</v>
      </c>
      <c r="E3673" t="s">
        <v>134</v>
      </c>
      <c r="F3673" t="s">
        <v>84</v>
      </c>
      <c r="G3673" t="s">
        <v>85</v>
      </c>
      <c r="I3673" t="s">
        <v>70</v>
      </c>
      <c r="J3673" s="15" t="s">
        <v>68</v>
      </c>
      <c r="K3673" s="2" t="s">
        <v>69</v>
      </c>
      <c r="L3673" t="s">
        <v>71</v>
      </c>
      <c r="M3673" t="s">
        <v>72</v>
      </c>
    </row>
    <row r="3674" spans="1:13">
      <c r="A3674" t="s">
        <v>126</v>
      </c>
      <c r="B3674" s="1">
        <v>44160.967905092592</v>
      </c>
      <c r="C3674" s="1">
        <v>44161.955000000002</v>
      </c>
      <c r="D3674" s="2">
        <f>MAX((TimeEntries846856[[#This Row],[End time]]-TimeEntries846856[[#This Row],[Start time]])*24,0)</f>
        <v>23.69027777784504</v>
      </c>
      <c r="F3674" s="54" t="s">
        <v>184</v>
      </c>
      <c r="G3674" s="22" t="s">
        <v>185</v>
      </c>
      <c r="I3674" t="s">
        <v>126</v>
      </c>
      <c r="J3674" s="15">
        <v>0.05</v>
      </c>
      <c r="K3674" s="2">
        <v>2.6709384918212891</v>
      </c>
      <c r="L3674" s="2">
        <f>SUM(TimeEntries846856[Time delta in h])</f>
        <v>23.69027777784504</v>
      </c>
      <c r="M3674" s="16">
        <f>Tabelle7367847857[[#This Row],[EBS self time]]/Tabelle7367847857[[#This Row],[Total time]]</f>
        <v>0.11274407657301214</v>
      </c>
    </row>
    <row r="3675" spans="1:13">
      <c r="B3675" s="1"/>
      <c r="C3675" s="1"/>
      <c r="D3675" s="2"/>
      <c r="I3675" t="s">
        <v>127</v>
      </c>
      <c r="J3675" s="15">
        <v>0.2</v>
      </c>
      <c r="K3675" s="2">
        <v>2.6709384918212891</v>
      </c>
      <c r="L3675" s="2">
        <f>SUM(TimeEntries846856[Time delta in h])</f>
        <v>23.69027777784504</v>
      </c>
      <c r="M3675" s="16">
        <f>Tabelle7367847857[[#This Row],[EBS self time]]/Tabelle7367847857[[#This Row],[Total time]]</f>
        <v>0.11274407657301214</v>
      </c>
    </row>
    <row r="3676" spans="1:13">
      <c r="I3676" t="s">
        <v>169</v>
      </c>
      <c r="J3676" s="15">
        <v>0.35</v>
      </c>
      <c r="K3676" s="2">
        <v>2.6709384918212891</v>
      </c>
      <c r="L3676" s="2">
        <f>SUM(TimeEntries846856[Time delta in h])</f>
        <v>23.69027777784504</v>
      </c>
      <c r="M3676" s="16">
        <f>Tabelle7367847857[[#This Row],[EBS self time]]/Tabelle7367847857[[#This Row],[Total time]]</f>
        <v>0.11274407657301214</v>
      </c>
    </row>
    <row r="3677" spans="1:13">
      <c r="I3677" t="s">
        <v>172</v>
      </c>
      <c r="J3677" s="15">
        <v>0.5</v>
      </c>
      <c r="K3677" s="2">
        <v>2.6709384918212891</v>
      </c>
      <c r="L3677" s="2">
        <f>SUM(TimeEntries846856[Time delta in h])</f>
        <v>23.69027777784504</v>
      </c>
      <c r="M3677" s="16">
        <f>Tabelle7367847857[[#This Row],[EBS self time]]/Tabelle7367847857[[#This Row],[Total time]]</f>
        <v>0.11274407657301214</v>
      </c>
    </row>
    <row r="3678" spans="1:13">
      <c r="I3678" t="s">
        <v>187</v>
      </c>
      <c r="J3678" s="15">
        <v>0.65</v>
      </c>
      <c r="K3678" s="2">
        <v>2.6709384918212891</v>
      </c>
      <c r="L3678" s="2">
        <f>SUM(TimeEntries846856[Time delta in h])</f>
        <v>23.69027777784504</v>
      </c>
      <c r="M3678" s="16">
        <f>Tabelle7367847857[[#This Row],[EBS self time]]/Tabelle7367847857[[#This Row],[Total time]]</f>
        <v>0.11274407657301214</v>
      </c>
    </row>
    <row r="3679" spans="1:13">
      <c r="I3679" t="s">
        <v>192</v>
      </c>
      <c r="J3679" s="15">
        <v>0.8</v>
      </c>
      <c r="K3679" s="2">
        <v>10.35247477450112</v>
      </c>
      <c r="L3679" s="2">
        <f>SUM(TimeEntries846856[Time delta in h])</f>
        <v>23.69027777784504</v>
      </c>
      <c r="M3679" s="16">
        <f>Tabelle7367847857[[#This Row],[EBS self time]]/Tabelle7367847857[[#This Row],[Total time]]</f>
        <v>0.43699254485663619</v>
      </c>
    </row>
    <row r="3680" spans="1:13">
      <c r="I3680" t="s">
        <v>193</v>
      </c>
      <c r="J3680" s="15">
        <v>0.95</v>
      </c>
      <c r="K3680" s="2">
        <v>10.35247477450112</v>
      </c>
      <c r="L3680" s="2">
        <f>SUM(TimeEntries846856[Time delta in h])</f>
        <v>23.69027777784504</v>
      </c>
      <c r="M3680" s="16">
        <f>Tabelle7367847857[[#This Row],[EBS self time]]/Tabelle7367847857[[#This Row],[Total time]]</f>
        <v>0.43699254485663619</v>
      </c>
    </row>
    <row r="3682" spans="1:10">
      <c r="A3682" t="s">
        <v>189</v>
      </c>
      <c r="B3682" t="s">
        <v>654</v>
      </c>
      <c r="C3682" t="s">
        <v>190</v>
      </c>
      <c r="D3682">
        <v>18</v>
      </c>
      <c r="E3682" t="s">
        <v>191</v>
      </c>
      <c r="F3682">
        <v>13</v>
      </c>
    </row>
    <row r="3683" spans="1:10">
      <c r="A3683" s="4" t="s">
        <v>24</v>
      </c>
      <c r="I3683" t="s">
        <v>135</v>
      </c>
      <c r="J3683" t="s">
        <v>136</v>
      </c>
    </row>
    <row r="3684" spans="1:10">
      <c r="A3684" t="s">
        <v>3</v>
      </c>
      <c r="B3684" t="s">
        <v>656</v>
      </c>
    </row>
    <row r="3685" spans="1:10">
      <c r="A3685" t="s">
        <v>77</v>
      </c>
      <c r="B3685" s="2" t="s">
        <v>92</v>
      </c>
      <c r="C3685" t="s">
        <v>4</v>
      </c>
    </row>
    <row r="3686" spans="1:10">
      <c r="A3686" t="s">
        <v>0</v>
      </c>
      <c r="B3686" s="2">
        <f>SUM(TimeEntries848858[Time delta in h])</f>
        <v>15.280555555480532</v>
      </c>
      <c r="C3686" t="s">
        <v>4</v>
      </c>
    </row>
    <row r="3687" spans="1:10">
      <c r="A3687" t="s">
        <v>13</v>
      </c>
      <c r="B3687" s="5" t="s">
        <v>92</v>
      </c>
    </row>
    <row r="3688" spans="1:10">
      <c r="A3688" t="s">
        <v>14</v>
      </c>
      <c r="B3688" s="5" t="s">
        <v>18</v>
      </c>
    </row>
    <row r="3689" spans="1:10">
      <c r="A3689" t="s">
        <v>1</v>
      </c>
      <c r="B3689" t="s">
        <v>91</v>
      </c>
    </row>
    <row r="3690" spans="1:10">
      <c r="A3690" t="s">
        <v>15</v>
      </c>
      <c r="B3690" s="5" t="s">
        <v>92</v>
      </c>
    </row>
    <row r="3691" spans="1:10">
      <c r="A3691" t="s">
        <v>2</v>
      </c>
    </row>
    <row r="3692" spans="1:10">
      <c r="A3692" t="s">
        <v>46</v>
      </c>
      <c r="B3692" t="s">
        <v>654</v>
      </c>
    </row>
    <row r="3693" spans="1:10">
      <c r="A3693" t="s">
        <v>5</v>
      </c>
      <c r="B3693" s="2" t="e">
        <f>B3685/SUM(TimeEntries848858[Time delta in h])</f>
        <v>#VALUE!</v>
      </c>
      <c r="C3693" t="s">
        <v>6</v>
      </c>
    </row>
    <row r="3694" spans="1:10">
      <c r="A3694" t="s">
        <v>93</v>
      </c>
    </row>
    <row r="3695" spans="1:10">
      <c r="A3695" t="s">
        <v>94</v>
      </c>
    </row>
    <row r="3696" spans="1:10">
      <c r="A3696" t="s">
        <v>129</v>
      </c>
      <c r="B3696" s="1">
        <v>44161.955023148148</v>
      </c>
    </row>
    <row r="3698" spans="1:13">
      <c r="A3698" t="s">
        <v>10</v>
      </c>
      <c r="B3698" t="s">
        <v>7</v>
      </c>
      <c r="C3698" t="s">
        <v>8</v>
      </c>
      <c r="D3698" t="s">
        <v>9</v>
      </c>
      <c r="E3698" t="s">
        <v>134</v>
      </c>
      <c r="F3698" t="s">
        <v>84</v>
      </c>
      <c r="G3698" t="s">
        <v>85</v>
      </c>
      <c r="I3698" t="s">
        <v>70</v>
      </c>
      <c r="J3698" s="15" t="s">
        <v>68</v>
      </c>
      <c r="K3698" s="2" t="s">
        <v>69</v>
      </c>
      <c r="L3698" t="s">
        <v>71</v>
      </c>
      <c r="M3698" t="s">
        <v>72</v>
      </c>
    </row>
    <row r="3699" spans="1:13">
      <c r="A3699" t="s">
        <v>126</v>
      </c>
      <c r="B3699" s="1">
        <v>44161.318333333336</v>
      </c>
      <c r="C3699" s="1">
        <v>44161.955023148148</v>
      </c>
      <c r="D3699" s="2">
        <f>MAX((TimeEntries848858[[#This Row],[End time]]-TimeEntries848858[[#This Row],[Start time]])*24,0)</f>
        <v>15.280555555480532</v>
      </c>
      <c r="F3699" s="54" t="s">
        <v>184</v>
      </c>
      <c r="G3699" s="22" t="s">
        <v>185</v>
      </c>
      <c r="J3699" s="15"/>
      <c r="K3699" s="2"/>
      <c r="L3699" s="2">
        <f>SUM(TimeEntries848858[Time delta in h])</f>
        <v>15.280555555480532</v>
      </c>
      <c r="M3699" s="16">
        <f>Tabelle7367849859[[#This Row],[EBS self time]]/Tabelle7367849859[[#This Row],[Total time]]</f>
        <v>0</v>
      </c>
    </row>
    <row r="3700" spans="1:13">
      <c r="B3700" s="1"/>
      <c r="C3700" s="1"/>
      <c r="D3700" s="2"/>
    </row>
    <row r="3702" spans="1:13">
      <c r="A3702" t="s">
        <v>189</v>
      </c>
      <c r="B3702" t="s">
        <v>657</v>
      </c>
      <c r="C3702" t="s">
        <v>190</v>
      </c>
      <c r="D3702">
        <v>23</v>
      </c>
      <c r="E3702" t="s">
        <v>191</v>
      </c>
      <c r="F3702">
        <v>13</v>
      </c>
    </row>
    <row r="3703" spans="1:13">
      <c r="A3703" s="4" t="s">
        <v>24</v>
      </c>
      <c r="I3703" t="s">
        <v>135</v>
      </c>
      <c r="J3703" t="s">
        <v>136</v>
      </c>
    </row>
    <row r="3704" spans="1:13">
      <c r="A3704" t="s">
        <v>3</v>
      </c>
      <c r="B3704" t="s">
        <v>659</v>
      </c>
    </row>
    <row r="3705" spans="1:13">
      <c r="A3705" t="s">
        <v>77</v>
      </c>
      <c r="B3705" s="2">
        <v>0.60286045074462891</v>
      </c>
      <c r="C3705" t="s">
        <v>4</v>
      </c>
    </row>
    <row r="3706" spans="1:13">
      <c r="A3706" t="s">
        <v>0</v>
      </c>
      <c r="B3706" s="2">
        <f>SUM(TimeEntries850860864874[Time delta in h])</f>
        <v>19.649722222122364</v>
      </c>
      <c r="C3706" t="s">
        <v>4</v>
      </c>
    </row>
    <row r="3707" spans="1:13">
      <c r="A3707" t="s">
        <v>13</v>
      </c>
      <c r="B3707" s="5" t="s">
        <v>92</v>
      </c>
    </row>
    <row r="3708" spans="1:13">
      <c r="A3708" t="s">
        <v>14</v>
      </c>
      <c r="B3708" s="5" t="s">
        <v>18</v>
      </c>
    </row>
    <row r="3709" spans="1:13">
      <c r="A3709" t="s">
        <v>1</v>
      </c>
      <c r="B3709" t="s">
        <v>91</v>
      </c>
    </row>
    <row r="3710" spans="1:13">
      <c r="A3710" t="s">
        <v>15</v>
      </c>
      <c r="B3710" s="5" t="s">
        <v>92</v>
      </c>
    </row>
    <row r="3711" spans="1:13">
      <c r="A3711" t="s">
        <v>2</v>
      </c>
    </row>
    <row r="3712" spans="1:13">
      <c r="A3712" t="s">
        <v>46</v>
      </c>
      <c r="B3712" t="s">
        <v>657</v>
      </c>
    </row>
    <row r="3713" spans="1:13">
      <c r="A3713" t="s">
        <v>5</v>
      </c>
      <c r="B3713" s="2">
        <f>B3705/SUM(TimeEntries850860864874[Time delta in h])</f>
        <v>3.0680354863536288E-2</v>
      </c>
      <c r="C3713" t="s">
        <v>6</v>
      </c>
    </row>
    <row r="3714" spans="1:13">
      <c r="A3714" t="s">
        <v>93</v>
      </c>
    </row>
    <row r="3715" spans="1:13">
      <c r="A3715" t="s">
        <v>94</v>
      </c>
    </row>
    <row r="3716" spans="1:13">
      <c r="A3716" t="s">
        <v>129</v>
      </c>
      <c r="B3716" s="1">
        <v>44161.955034722225</v>
      </c>
    </row>
    <row r="3718" spans="1:13">
      <c r="A3718" t="s">
        <v>10</v>
      </c>
      <c r="B3718" t="s">
        <v>7</v>
      </c>
      <c r="C3718" t="s">
        <v>8</v>
      </c>
      <c r="D3718" t="s">
        <v>9</v>
      </c>
      <c r="E3718" t="s">
        <v>134</v>
      </c>
      <c r="F3718" t="s">
        <v>84</v>
      </c>
      <c r="G3718" t="s">
        <v>85</v>
      </c>
      <c r="I3718" t="s">
        <v>70</v>
      </c>
      <c r="J3718" s="15" t="s">
        <v>68</v>
      </c>
      <c r="K3718" s="2" t="s">
        <v>69</v>
      </c>
      <c r="L3718" t="s">
        <v>71</v>
      </c>
      <c r="M3718" t="s">
        <v>72</v>
      </c>
    </row>
    <row r="3719" spans="1:13">
      <c r="A3719" t="s">
        <v>126</v>
      </c>
      <c r="B3719" s="1">
        <v>44161.136365740742</v>
      </c>
      <c r="C3719" s="1">
        <v>44161.955104166664</v>
      </c>
      <c r="D3719" s="2">
        <f>MAX((TimeEntries850860864874[[#This Row],[End time]]-TimeEntries850860864874[[#This Row],[Start time]])*24,0)</f>
        <v>19.649722222122364</v>
      </c>
      <c r="F3719" s="54" t="s">
        <v>184</v>
      </c>
      <c r="G3719" s="22" t="s">
        <v>185</v>
      </c>
      <c r="I3719" t="s">
        <v>126</v>
      </c>
      <c r="J3719" s="15">
        <v>0.05</v>
      </c>
      <c r="K3719" s="2">
        <v>0.30143022537231445</v>
      </c>
      <c r="L3719" s="2">
        <f>SUM(TimeEntries850860864874[Time delta in h])</f>
        <v>19.649722222122364</v>
      </c>
      <c r="M3719" s="16">
        <f>Tabelle7367851861865875[[#This Row],[EBS self time]]/Tabelle7367851861865875[[#This Row],[Total time]]</f>
        <v>1.5340177431768144E-2</v>
      </c>
    </row>
    <row r="3720" spans="1:13">
      <c r="B3720" s="1"/>
      <c r="C3720" s="1"/>
      <c r="D3720" s="2"/>
      <c r="I3720" t="s">
        <v>127</v>
      </c>
      <c r="J3720" s="15">
        <v>0.2</v>
      </c>
      <c r="K3720" s="2">
        <v>0.30143022537231445</v>
      </c>
      <c r="L3720" s="2">
        <f>SUM(TimeEntries850860864874[Time delta in h])</f>
        <v>19.649722222122364</v>
      </c>
      <c r="M3720" s="16">
        <f>Tabelle7367851861865875[[#This Row],[EBS self time]]/Tabelle7367851861865875[[#This Row],[Total time]]</f>
        <v>1.5340177431768144E-2</v>
      </c>
    </row>
    <row r="3721" spans="1:13">
      <c r="I3721" t="s">
        <v>169</v>
      </c>
      <c r="J3721" s="15">
        <v>0.35</v>
      </c>
      <c r="K3721" s="2">
        <v>0.30143022537231445</v>
      </c>
      <c r="L3721" s="2">
        <f>SUM(TimeEntries850860864874[Time delta in h])</f>
        <v>19.649722222122364</v>
      </c>
      <c r="M3721" s="16">
        <f>Tabelle7367851861865875[[#This Row],[EBS self time]]/Tabelle7367851861865875[[#This Row],[Total time]]</f>
        <v>1.5340177431768144E-2</v>
      </c>
    </row>
    <row r="3722" spans="1:13">
      <c r="I3722" t="s">
        <v>172</v>
      </c>
      <c r="J3722" s="15">
        <v>0.5</v>
      </c>
      <c r="K3722" s="2">
        <v>0.30143022537231445</v>
      </c>
      <c r="L3722" s="2">
        <f>SUM(TimeEntries850860864874[Time delta in h])</f>
        <v>19.649722222122364</v>
      </c>
      <c r="M3722" s="16">
        <f>Tabelle7367851861865875[[#This Row],[EBS self time]]/Tabelle7367851861865875[[#This Row],[Total time]]</f>
        <v>1.5340177431768144E-2</v>
      </c>
    </row>
    <row r="3723" spans="1:13">
      <c r="I3723" t="s">
        <v>187</v>
      </c>
      <c r="J3723" s="15">
        <v>0.65</v>
      </c>
      <c r="K3723" s="2">
        <v>0.30143022537231445</v>
      </c>
      <c r="L3723" s="2">
        <f>SUM(TimeEntries850860864874[Time delta in h])</f>
        <v>19.649722222122364</v>
      </c>
      <c r="M3723" s="16">
        <f>Tabelle7367851861865875[[#This Row],[EBS self time]]/Tabelle7367851861865875[[#This Row],[Total time]]</f>
        <v>1.5340177431768144E-2</v>
      </c>
    </row>
    <row r="3724" spans="1:13">
      <c r="I3724" t="s">
        <v>192</v>
      </c>
      <c r="J3724" s="15">
        <v>0.8</v>
      </c>
      <c r="K3724" s="2">
        <v>1.1683342068694358</v>
      </c>
      <c r="L3724" s="2">
        <f>SUM(TimeEntries850860864874[Time delta in h])</f>
        <v>19.649722222122364</v>
      </c>
      <c r="M3724" s="16">
        <f>Tabelle7367851861865875[[#This Row],[EBS self time]]/Tabelle7367851861865875[[#This Row],[Total time]]</f>
        <v>5.9458052061116831E-2</v>
      </c>
    </row>
    <row r="3725" spans="1:13">
      <c r="I3725" t="s">
        <v>193</v>
      </c>
      <c r="J3725" s="15">
        <v>0.95</v>
      </c>
      <c r="K3725" s="2">
        <v>1.1683342068694358</v>
      </c>
      <c r="L3725" s="2">
        <f>SUM(TimeEntries850860864874[Time delta in h])</f>
        <v>19.649722222122364</v>
      </c>
      <c r="M3725" s="16">
        <f>Tabelle7367851861865875[[#This Row],[EBS self time]]/Tabelle7367851861865875[[#This Row],[Total time]]</f>
        <v>5.9458052061116831E-2</v>
      </c>
    </row>
    <row r="3727" spans="1:13">
      <c r="A3727" t="s">
        <v>189</v>
      </c>
      <c r="B3727" t="s">
        <v>660</v>
      </c>
      <c r="C3727" t="s">
        <v>190</v>
      </c>
      <c r="D3727">
        <v>23</v>
      </c>
      <c r="E3727" t="s">
        <v>191</v>
      </c>
      <c r="F3727">
        <v>13</v>
      </c>
    </row>
    <row r="3728" spans="1:13">
      <c r="A3728" s="4" t="s">
        <v>24</v>
      </c>
      <c r="I3728" t="s">
        <v>135</v>
      </c>
      <c r="J3728" t="s">
        <v>136</v>
      </c>
    </row>
    <row r="3729" spans="1:13">
      <c r="A3729" t="s">
        <v>3</v>
      </c>
      <c r="B3729" t="s">
        <v>662</v>
      </c>
    </row>
    <row r="3730" spans="1:13">
      <c r="A3730" t="s">
        <v>77</v>
      </c>
      <c r="B3730" s="2">
        <v>5.3246746063232422</v>
      </c>
      <c r="C3730" t="s">
        <v>4</v>
      </c>
    </row>
    <row r="3731" spans="1:13">
      <c r="A3731" t="s">
        <v>0</v>
      </c>
      <c r="B3731" s="2">
        <f>SUM(TimeEntries866876[Time delta in h])</f>
        <v>13.1255555555108</v>
      </c>
      <c r="C3731" t="s">
        <v>4</v>
      </c>
    </row>
    <row r="3732" spans="1:13">
      <c r="A3732" t="s">
        <v>13</v>
      </c>
      <c r="B3732" s="5" t="s">
        <v>92</v>
      </c>
    </row>
    <row r="3733" spans="1:13">
      <c r="A3733" t="s">
        <v>14</v>
      </c>
      <c r="B3733" s="5" t="s">
        <v>18</v>
      </c>
    </row>
    <row r="3734" spans="1:13">
      <c r="A3734" t="s">
        <v>1</v>
      </c>
      <c r="B3734" t="s">
        <v>91</v>
      </c>
    </row>
    <row r="3735" spans="1:13">
      <c r="A3735" t="s">
        <v>15</v>
      </c>
      <c r="B3735" s="5" t="s">
        <v>92</v>
      </c>
    </row>
    <row r="3736" spans="1:13">
      <c r="A3736" t="s">
        <v>2</v>
      </c>
    </row>
    <row r="3737" spans="1:13">
      <c r="A3737" t="s">
        <v>46</v>
      </c>
      <c r="B3737" t="s">
        <v>660</v>
      </c>
    </row>
    <row r="3738" spans="1:13">
      <c r="A3738" t="s">
        <v>5</v>
      </c>
      <c r="B3738" s="2">
        <f>B3730/SUM(TimeEntries866876[Time delta in h])</f>
        <v>0.40567232250124935</v>
      </c>
      <c r="C3738" t="s">
        <v>6</v>
      </c>
    </row>
    <row r="3739" spans="1:13">
      <c r="A3739" t="s">
        <v>93</v>
      </c>
    </row>
    <row r="3740" spans="1:13">
      <c r="A3740" t="s">
        <v>94</v>
      </c>
    </row>
    <row r="3741" spans="1:13">
      <c r="A3741" t="s">
        <v>129</v>
      </c>
      <c r="B3741" s="1">
        <v>44161.95511574074</v>
      </c>
    </row>
    <row r="3743" spans="1:13">
      <c r="A3743" t="s">
        <v>10</v>
      </c>
      <c r="B3743" t="s">
        <v>7</v>
      </c>
      <c r="C3743" t="s">
        <v>8</v>
      </c>
      <c r="D3743" t="s">
        <v>9</v>
      </c>
      <c r="E3743" t="s">
        <v>134</v>
      </c>
      <c r="F3743" t="s">
        <v>84</v>
      </c>
      <c r="G3743" t="s">
        <v>85</v>
      </c>
      <c r="I3743" t="s">
        <v>70</v>
      </c>
      <c r="J3743" s="15" t="s">
        <v>68</v>
      </c>
      <c r="K3743" s="2" t="s">
        <v>69</v>
      </c>
      <c r="L3743" t="s">
        <v>71</v>
      </c>
      <c r="M3743" t="s">
        <v>72</v>
      </c>
    </row>
    <row r="3744" spans="1:13">
      <c r="A3744" t="s">
        <v>126</v>
      </c>
      <c r="B3744" s="1">
        <v>44161.408217592594</v>
      </c>
      <c r="C3744" s="1">
        <v>44161.95511574074</v>
      </c>
      <c r="D3744" s="2">
        <f>MAX((TimeEntries866876[[#This Row],[End time]]-TimeEntries866876[[#This Row],[Start time]])*24,0)</f>
        <v>13.1255555555108</v>
      </c>
      <c r="F3744" s="54" t="s">
        <v>184</v>
      </c>
      <c r="G3744" s="22" t="s">
        <v>185</v>
      </c>
      <c r="I3744" t="s">
        <v>126</v>
      </c>
      <c r="J3744" s="15">
        <v>0.05</v>
      </c>
      <c r="K3744" s="2">
        <v>2.6623373031616211</v>
      </c>
      <c r="L3744" s="2">
        <f>SUM(TimeEntries866876[Time delta in h])</f>
        <v>13.1255555555108</v>
      </c>
      <c r="M3744" s="16">
        <f>Tabelle7367867877[[#This Row],[EBS self time]]/Tabelle7367867877[[#This Row],[Total time]]</f>
        <v>0.20283616125062467</v>
      </c>
    </row>
    <row r="3745" spans="1:13">
      <c r="B3745" s="1"/>
      <c r="C3745" s="1"/>
      <c r="D3745" s="2"/>
      <c r="I3745" t="s">
        <v>127</v>
      </c>
      <c r="J3745" s="15">
        <v>0.2</v>
      </c>
      <c r="K3745" s="2">
        <v>2.6623373031616211</v>
      </c>
      <c r="L3745" s="2">
        <f>SUM(TimeEntries866876[Time delta in h])</f>
        <v>13.1255555555108</v>
      </c>
      <c r="M3745" s="16">
        <f>Tabelle7367867877[[#This Row],[EBS self time]]/Tabelle7367867877[[#This Row],[Total time]]</f>
        <v>0.20283616125062467</v>
      </c>
    </row>
    <row r="3746" spans="1:13">
      <c r="I3746" t="s">
        <v>169</v>
      </c>
      <c r="J3746" s="15">
        <v>0.35</v>
      </c>
      <c r="K3746" s="2">
        <v>2.6623373031616211</v>
      </c>
      <c r="L3746" s="2">
        <f>SUM(TimeEntries866876[Time delta in h])</f>
        <v>13.1255555555108</v>
      </c>
      <c r="M3746" s="16">
        <f>Tabelle7367867877[[#This Row],[EBS self time]]/Tabelle7367867877[[#This Row],[Total time]]</f>
        <v>0.20283616125062467</v>
      </c>
    </row>
    <row r="3747" spans="1:13">
      <c r="I3747" t="s">
        <v>172</v>
      </c>
      <c r="J3747" s="15">
        <v>0.5</v>
      </c>
      <c r="K3747" s="2">
        <v>4.5765371858611585</v>
      </c>
      <c r="L3747" s="2">
        <f>SUM(TimeEntries866876[Time delta in h])</f>
        <v>13.1255555555108</v>
      </c>
      <c r="M3747" s="16">
        <f>Tabelle7367867877[[#This Row],[EBS self time]]/Tabelle7367867877[[#This Row],[Total time]]</f>
        <v>0.34867378881648076</v>
      </c>
    </row>
    <row r="3748" spans="1:13">
      <c r="I3748" t="s">
        <v>187</v>
      </c>
      <c r="J3748" s="15">
        <v>0.65</v>
      </c>
      <c r="K3748" s="2">
        <v>10.319136833959771</v>
      </c>
      <c r="L3748" s="2">
        <f>SUM(TimeEntries866876[Time delta in h])</f>
        <v>13.1255555555108</v>
      </c>
      <c r="M3748" s="16">
        <f>Tabelle7367867877[[#This Row],[EBS self time]]/Tabelle7367867877[[#This Row],[Total time]]</f>
        <v>0.78618667151404897</v>
      </c>
    </row>
    <row r="3749" spans="1:13">
      <c r="I3749" t="s">
        <v>192</v>
      </c>
      <c r="J3749" s="15">
        <v>0.8</v>
      </c>
      <c r="K3749" s="2">
        <v>10.319136833959771</v>
      </c>
      <c r="L3749" s="2">
        <f>SUM(TimeEntries866876[Time delta in h])</f>
        <v>13.1255555555108</v>
      </c>
      <c r="M3749" s="16">
        <f>Tabelle7367867877[[#This Row],[EBS self time]]/Tabelle7367867877[[#This Row],[Total time]]</f>
        <v>0.78618667151404897</v>
      </c>
    </row>
    <row r="3750" spans="1:13">
      <c r="I3750" t="s">
        <v>193</v>
      </c>
      <c r="J3750" s="15">
        <v>0.95</v>
      </c>
      <c r="K3750" s="2">
        <v>10.319136833959771</v>
      </c>
      <c r="L3750" s="2">
        <f>SUM(TimeEntries866876[Time delta in h])</f>
        <v>13.1255555555108</v>
      </c>
      <c r="M3750" s="16">
        <f>Tabelle7367867877[[#This Row],[EBS self time]]/Tabelle7367867877[[#This Row],[Total time]]</f>
        <v>0.78618667151404897</v>
      </c>
    </row>
    <row r="3752" spans="1:13">
      <c r="A3752" t="s">
        <v>189</v>
      </c>
      <c r="B3752" t="s">
        <v>663</v>
      </c>
      <c r="C3752" t="s">
        <v>190</v>
      </c>
      <c r="D3752">
        <v>18</v>
      </c>
      <c r="E3752" t="s">
        <v>191</v>
      </c>
      <c r="F3752">
        <v>13</v>
      </c>
    </row>
    <row r="3753" spans="1:13">
      <c r="A3753" s="4" t="s">
        <v>24</v>
      </c>
      <c r="I3753" t="s">
        <v>135</v>
      </c>
      <c r="J3753" t="s">
        <v>136</v>
      </c>
    </row>
    <row r="3754" spans="1:13">
      <c r="A3754" t="s">
        <v>3</v>
      </c>
      <c r="B3754" t="s">
        <v>665</v>
      </c>
    </row>
    <row r="3755" spans="1:13">
      <c r="A3755" t="s">
        <v>77</v>
      </c>
      <c r="B3755" s="2" t="s">
        <v>92</v>
      </c>
      <c r="C3755" t="s">
        <v>4</v>
      </c>
    </row>
    <row r="3756" spans="1:13">
      <c r="A3756" t="s">
        <v>0</v>
      </c>
      <c r="B3756" s="2">
        <f>SUM(TimeEntries868878[Time delta in h])</f>
        <v>17.737777777772862</v>
      </c>
      <c r="C3756" t="s">
        <v>4</v>
      </c>
    </row>
    <row r="3757" spans="1:13">
      <c r="A3757" t="s">
        <v>13</v>
      </c>
      <c r="B3757" s="5" t="s">
        <v>92</v>
      </c>
    </row>
    <row r="3758" spans="1:13">
      <c r="A3758" t="s">
        <v>14</v>
      </c>
      <c r="B3758" s="5" t="s">
        <v>18</v>
      </c>
    </row>
    <row r="3759" spans="1:13">
      <c r="A3759" t="s">
        <v>1</v>
      </c>
      <c r="B3759" t="s">
        <v>91</v>
      </c>
    </row>
    <row r="3760" spans="1:13">
      <c r="A3760" t="s">
        <v>15</v>
      </c>
      <c r="B3760" s="5" t="s">
        <v>92</v>
      </c>
    </row>
    <row r="3761" spans="1:13">
      <c r="A3761" t="s">
        <v>2</v>
      </c>
    </row>
    <row r="3762" spans="1:13">
      <c r="A3762" t="s">
        <v>46</v>
      </c>
      <c r="B3762" t="s">
        <v>663</v>
      </c>
    </row>
    <row r="3763" spans="1:13">
      <c r="A3763" t="s">
        <v>5</v>
      </c>
      <c r="B3763" s="2" t="e">
        <f>B3755/SUM(TimeEntries868878[Time delta in h])</f>
        <v>#VALUE!</v>
      </c>
      <c r="C3763" t="s">
        <v>6</v>
      </c>
    </row>
    <row r="3764" spans="1:13">
      <c r="A3764" t="s">
        <v>93</v>
      </c>
    </row>
    <row r="3765" spans="1:13">
      <c r="A3765" t="s">
        <v>94</v>
      </c>
    </row>
    <row r="3766" spans="1:13">
      <c r="A3766" t="s">
        <v>129</v>
      </c>
      <c r="B3766" s="1">
        <v>44161.955138888887</v>
      </c>
    </row>
    <row r="3768" spans="1:13">
      <c r="A3768" t="s">
        <v>10</v>
      </c>
      <c r="B3768" t="s">
        <v>7</v>
      </c>
      <c r="C3768" t="s">
        <v>8</v>
      </c>
      <c r="D3768" t="s">
        <v>9</v>
      </c>
      <c r="E3768" t="s">
        <v>134</v>
      </c>
      <c r="F3768" t="s">
        <v>84</v>
      </c>
      <c r="G3768" t="s">
        <v>85</v>
      </c>
      <c r="I3768" t="s">
        <v>70</v>
      </c>
      <c r="J3768" s="15" t="s">
        <v>68</v>
      </c>
      <c r="K3768" s="2" t="s">
        <v>69</v>
      </c>
      <c r="L3768" t="s">
        <v>71</v>
      </c>
      <c r="M3768" t="s">
        <v>72</v>
      </c>
    </row>
    <row r="3769" spans="1:13">
      <c r="A3769" t="s">
        <v>126</v>
      </c>
      <c r="B3769" s="1">
        <v>44161.216064814813</v>
      </c>
      <c r="C3769" s="1">
        <v>44161.955138888887</v>
      </c>
      <c r="D3769" s="2">
        <f>MAX((TimeEntries868878[[#This Row],[End time]]-TimeEntries868878[[#This Row],[Start time]])*24,0)</f>
        <v>17.737777777772862</v>
      </c>
      <c r="F3769" s="54" t="s">
        <v>184</v>
      </c>
      <c r="G3769" s="22" t="s">
        <v>185</v>
      </c>
      <c r="J3769" s="15"/>
      <c r="K3769" s="2"/>
      <c r="L3769" s="2">
        <f>SUM(TimeEntries868878[Time delta in h])</f>
        <v>17.737777777772862</v>
      </c>
      <c r="M3769" s="16">
        <f>Tabelle7367869879[[#This Row],[EBS self time]]/Tabelle7367869879[[#This Row],[Total time]]</f>
        <v>0</v>
      </c>
    </row>
    <row r="3770" spans="1:13">
      <c r="B3770" s="1"/>
      <c r="C3770" s="1"/>
      <c r="D3770" s="2"/>
    </row>
    <row r="3772" spans="1:13">
      <c r="A3772" t="s">
        <v>189</v>
      </c>
      <c r="B3772" t="s">
        <v>666</v>
      </c>
      <c r="C3772" t="s">
        <v>190</v>
      </c>
      <c r="D3772">
        <v>23</v>
      </c>
      <c r="E3772" t="s">
        <v>191</v>
      </c>
      <c r="F3772">
        <v>13</v>
      </c>
    </row>
    <row r="3773" spans="1:13">
      <c r="A3773" s="4" t="s">
        <v>24</v>
      </c>
      <c r="I3773" t="s">
        <v>135</v>
      </c>
      <c r="J3773" t="s">
        <v>136</v>
      </c>
    </row>
    <row r="3774" spans="1:13">
      <c r="A3774" t="s">
        <v>3</v>
      </c>
      <c r="B3774" t="s">
        <v>668</v>
      </c>
    </row>
    <row r="3775" spans="1:13">
      <c r="A3775" t="s">
        <v>77</v>
      </c>
      <c r="B3775" s="2">
        <v>5.9490995407104492</v>
      </c>
      <c r="C3775" t="s">
        <v>4</v>
      </c>
    </row>
    <row r="3776" spans="1:13">
      <c r="A3776" t="s">
        <v>0</v>
      </c>
      <c r="B3776" s="2">
        <f>SUM(TimeEntries870880[Time delta in h])</f>
        <v>23.48250000004191</v>
      </c>
      <c r="C3776" t="s">
        <v>4</v>
      </c>
    </row>
    <row r="3777" spans="1:13">
      <c r="A3777" t="s">
        <v>13</v>
      </c>
      <c r="B3777" s="5" t="s">
        <v>92</v>
      </c>
    </row>
    <row r="3778" spans="1:13">
      <c r="A3778" t="s">
        <v>14</v>
      </c>
      <c r="B3778" s="5" t="s">
        <v>18</v>
      </c>
    </row>
    <row r="3779" spans="1:13">
      <c r="A3779" t="s">
        <v>1</v>
      </c>
      <c r="B3779" t="s">
        <v>91</v>
      </c>
    </row>
    <row r="3780" spans="1:13">
      <c r="A3780" t="s">
        <v>15</v>
      </c>
      <c r="B3780" s="5" t="s">
        <v>92</v>
      </c>
    </row>
    <row r="3781" spans="1:13">
      <c r="A3781" t="s">
        <v>2</v>
      </c>
    </row>
    <row r="3782" spans="1:13">
      <c r="A3782" t="s">
        <v>46</v>
      </c>
      <c r="B3782" t="s">
        <v>666</v>
      </c>
    </row>
    <row r="3783" spans="1:13">
      <c r="A3783" t="s">
        <v>5</v>
      </c>
      <c r="B3783" s="2">
        <f>B3775/SUM(TimeEntries870880[Time delta in h])</f>
        <v>0.25334183075481026</v>
      </c>
      <c r="C3783" t="s">
        <v>6</v>
      </c>
    </row>
    <row r="3784" spans="1:13">
      <c r="A3784" t="s">
        <v>93</v>
      </c>
    </row>
    <row r="3785" spans="1:13">
      <c r="A3785" t="s">
        <v>94</v>
      </c>
    </row>
    <row r="3786" spans="1:13">
      <c r="A3786" t="s">
        <v>129</v>
      </c>
      <c r="B3786" s="1">
        <v>44161.955150462964</v>
      </c>
    </row>
    <row r="3788" spans="1:13">
      <c r="A3788" t="s">
        <v>10</v>
      </c>
      <c r="B3788" t="s">
        <v>7</v>
      </c>
      <c r="C3788" t="s">
        <v>8</v>
      </c>
      <c r="D3788" t="s">
        <v>9</v>
      </c>
      <c r="E3788" t="s">
        <v>134</v>
      </c>
      <c r="F3788" t="s">
        <v>84</v>
      </c>
      <c r="G3788" t="s">
        <v>85</v>
      </c>
      <c r="I3788" t="s">
        <v>70</v>
      </c>
      <c r="J3788" s="15" t="s">
        <v>68</v>
      </c>
      <c r="K3788" s="2" t="s">
        <v>69</v>
      </c>
      <c r="L3788" t="s">
        <v>71</v>
      </c>
      <c r="M3788" t="s">
        <v>72</v>
      </c>
    </row>
    <row r="3789" spans="1:13">
      <c r="A3789" t="s">
        <v>126</v>
      </c>
      <c r="B3789" s="1">
        <v>44160.976712962962</v>
      </c>
      <c r="C3789" s="1">
        <v>44161.955150462964</v>
      </c>
      <c r="D3789" s="2">
        <f>MAX((TimeEntries870880[[#This Row],[End time]]-TimeEntries870880[[#This Row],[Start time]])*24,0)</f>
        <v>23.48250000004191</v>
      </c>
      <c r="F3789" s="54" t="s">
        <v>184</v>
      </c>
      <c r="G3789" s="22" t="s">
        <v>185</v>
      </c>
      <c r="I3789" t="s">
        <v>126</v>
      </c>
      <c r="J3789" s="15">
        <v>0.05</v>
      </c>
      <c r="K3789" s="2">
        <v>2.9745497703552246</v>
      </c>
      <c r="L3789" s="2">
        <f>SUM(TimeEntries870880[Time delta in h])</f>
        <v>23.48250000004191</v>
      </c>
      <c r="M3789" s="16">
        <f>Tabelle7367871881[[#This Row],[EBS self time]]/Tabelle7367871881[[#This Row],[Total time]]</f>
        <v>0.12667091537740513</v>
      </c>
    </row>
    <row r="3790" spans="1:13">
      <c r="B3790" s="1"/>
      <c r="C3790" s="1"/>
      <c r="D3790" s="2"/>
      <c r="I3790" t="s">
        <v>127</v>
      </c>
      <c r="J3790" s="15">
        <v>0.2</v>
      </c>
      <c r="K3790" s="2">
        <v>2.9745497703552246</v>
      </c>
      <c r="L3790" s="2">
        <f>SUM(TimeEntries870880[Time delta in h])</f>
        <v>23.48250000004191</v>
      </c>
      <c r="M3790" s="16">
        <f>Tabelle7367871881[[#This Row],[EBS self time]]/Tabelle7367871881[[#This Row],[Total time]]</f>
        <v>0.12667091537740513</v>
      </c>
    </row>
    <row r="3791" spans="1:13">
      <c r="I3791" t="s">
        <v>169</v>
      </c>
      <c r="J3791" s="15">
        <v>0.35</v>
      </c>
      <c r="K3791" s="2">
        <v>2.9745497703552246</v>
      </c>
      <c r="L3791" s="2">
        <f>SUM(TimeEntries870880[Time delta in h])</f>
        <v>23.48250000004191</v>
      </c>
      <c r="M3791" s="16">
        <f>Tabelle7367871881[[#This Row],[EBS self time]]/Tabelle7367871881[[#This Row],[Total time]]</f>
        <v>0.12667091537740513</v>
      </c>
    </row>
    <row r="3792" spans="1:13">
      <c r="I3792" t="s">
        <v>172</v>
      </c>
      <c r="J3792" s="15">
        <v>0.5</v>
      </c>
      <c r="K3792" s="2">
        <v>2.9745497703552246</v>
      </c>
      <c r="L3792" s="2">
        <f>SUM(TimeEntries870880[Time delta in h])</f>
        <v>23.48250000004191</v>
      </c>
      <c r="M3792" s="16">
        <f>Tabelle7367871881[[#This Row],[EBS self time]]/Tabelle7367871881[[#This Row],[Total time]]</f>
        <v>0.12667091537740513</v>
      </c>
    </row>
    <row r="3793" spans="1:13">
      <c r="I3793" t="s">
        <v>187</v>
      </c>
      <c r="J3793" s="15">
        <v>0.65</v>
      </c>
      <c r="K3793" s="2">
        <v>11.529262675795444</v>
      </c>
      <c r="L3793" s="2">
        <f>SUM(TimeEntries870880[Time delta in h])</f>
        <v>23.48250000004191</v>
      </c>
      <c r="M3793" s="16">
        <f>Tabelle7367871881[[#This Row],[EBS self time]]/Tabelle7367871881[[#This Row],[Total time]]</f>
        <v>0.49097254022250048</v>
      </c>
    </row>
    <row r="3794" spans="1:13">
      <c r="I3794" t="s">
        <v>192</v>
      </c>
      <c r="J3794" s="15">
        <v>0.8</v>
      </c>
      <c r="K3794" s="2">
        <v>11.529262675795444</v>
      </c>
      <c r="L3794" s="2">
        <f>SUM(TimeEntries870880[Time delta in h])</f>
        <v>23.48250000004191</v>
      </c>
      <c r="M3794" s="16">
        <f>Tabelle7367871881[[#This Row],[EBS self time]]/Tabelle7367871881[[#This Row],[Total time]]</f>
        <v>0.49097254022250048</v>
      </c>
    </row>
    <row r="3795" spans="1:13">
      <c r="I3795" t="s">
        <v>193</v>
      </c>
      <c r="J3795" s="15">
        <v>0.95</v>
      </c>
      <c r="K3795" s="2">
        <v>11.529262675795444</v>
      </c>
      <c r="L3795" s="2">
        <f>SUM(TimeEntries870880[Time delta in h])</f>
        <v>23.48250000004191</v>
      </c>
      <c r="M3795" s="16">
        <f>Tabelle7367871881[[#This Row],[EBS self time]]/Tabelle7367871881[[#This Row],[Total time]]</f>
        <v>0.49097254022250048</v>
      </c>
    </row>
    <row r="3797" spans="1:13">
      <c r="A3797" t="s">
        <v>189</v>
      </c>
      <c r="B3797" t="s">
        <v>669</v>
      </c>
      <c r="C3797" t="s">
        <v>190</v>
      </c>
      <c r="D3797">
        <v>23</v>
      </c>
      <c r="E3797" t="s">
        <v>191</v>
      </c>
      <c r="F3797">
        <v>13</v>
      </c>
    </row>
    <row r="3798" spans="1:13">
      <c r="A3798" s="4" t="s">
        <v>24</v>
      </c>
      <c r="I3798" t="s">
        <v>135</v>
      </c>
      <c r="J3798" t="s">
        <v>136</v>
      </c>
    </row>
    <row r="3799" spans="1:13">
      <c r="A3799" t="s">
        <v>3</v>
      </c>
      <c r="B3799" t="s">
        <v>671</v>
      </c>
    </row>
    <row r="3800" spans="1:13">
      <c r="A3800" t="s">
        <v>77</v>
      </c>
      <c r="B3800" s="2">
        <v>9.8081588745117188</v>
      </c>
      <c r="C3800" t="s">
        <v>4</v>
      </c>
    </row>
    <row r="3801" spans="1:13">
      <c r="A3801" t="s">
        <v>0</v>
      </c>
      <c r="B3801" s="2">
        <f>SUM(TimeEntries872882886896[Time delta in h])</f>
        <v>17.463055555592291</v>
      </c>
      <c r="C3801" t="s">
        <v>4</v>
      </c>
    </row>
    <row r="3802" spans="1:13">
      <c r="A3802" t="s">
        <v>13</v>
      </c>
      <c r="B3802" s="5" t="s">
        <v>92</v>
      </c>
    </row>
    <row r="3803" spans="1:13">
      <c r="A3803" t="s">
        <v>14</v>
      </c>
      <c r="B3803" s="5" t="s">
        <v>18</v>
      </c>
    </row>
    <row r="3804" spans="1:13">
      <c r="A3804" t="s">
        <v>1</v>
      </c>
      <c r="B3804" t="s">
        <v>91</v>
      </c>
    </row>
    <row r="3805" spans="1:13">
      <c r="A3805" t="s">
        <v>15</v>
      </c>
      <c r="B3805" s="5" t="s">
        <v>92</v>
      </c>
    </row>
    <row r="3806" spans="1:13">
      <c r="A3806" t="s">
        <v>2</v>
      </c>
    </row>
    <row r="3807" spans="1:13">
      <c r="A3807" t="s">
        <v>46</v>
      </c>
      <c r="B3807" t="s">
        <v>669</v>
      </c>
    </row>
    <row r="3808" spans="1:13">
      <c r="A3808" t="s">
        <v>5</v>
      </c>
      <c r="B3808" s="2">
        <f>B3800/SUM(TimeEntries872882886896[Time delta in h])</f>
        <v>0.56165193103166866</v>
      </c>
      <c r="C3808" t="s">
        <v>6</v>
      </c>
    </row>
    <row r="3809" spans="1:13">
      <c r="A3809" t="s">
        <v>93</v>
      </c>
    </row>
    <row r="3810" spans="1:13">
      <c r="A3810" t="s">
        <v>94</v>
      </c>
    </row>
    <row r="3811" spans="1:13">
      <c r="A3811" t="s">
        <v>129</v>
      </c>
      <c r="B3811" s="1">
        <v>44161.95516203704</v>
      </c>
    </row>
    <row r="3813" spans="1:13">
      <c r="A3813" t="s">
        <v>10</v>
      </c>
      <c r="B3813" t="s">
        <v>7</v>
      </c>
      <c r="C3813" t="s">
        <v>8</v>
      </c>
      <c r="D3813" t="s">
        <v>9</v>
      </c>
      <c r="E3813" t="s">
        <v>134</v>
      </c>
      <c r="F3813" t="s">
        <v>84</v>
      </c>
      <c r="G3813" t="s">
        <v>85</v>
      </c>
      <c r="I3813" t="s">
        <v>70</v>
      </c>
      <c r="J3813" s="15" t="s">
        <v>68</v>
      </c>
      <c r="K3813" s="2" t="s">
        <v>69</v>
      </c>
      <c r="L3813" t="s">
        <v>71</v>
      </c>
      <c r="M3813" t="s">
        <v>72</v>
      </c>
    </row>
    <row r="3814" spans="1:13">
      <c r="A3814" t="s">
        <v>126</v>
      </c>
      <c r="B3814" s="1">
        <v>44161.22761574074</v>
      </c>
      <c r="C3814" s="1">
        <v>44161.955243055556</v>
      </c>
      <c r="D3814" s="2">
        <f>MAX((TimeEntries872882886896[[#This Row],[End time]]-TimeEntries872882886896[[#This Row],[Start time]])*24,0)</f>
        <v>17.463055555592291</v>
      </c>
      <c r="F3814" s="54" t="s">
        <v>184</v>
      </c>
      <c r="G3814" s="22" t="s">
        <v>185</v>
      </c>
      <c r="I3814" t="s">
        <v>126</v>
      </c>
      <c r="J3814" s="15">
        <v>0.05</v>
      </c>
      <c r="K3814" s="2">
        <v>4.9040794372558594</v>
      </c>
      <c r="L3814" s="2">
        <f>SUM(TimeEntries872882886896[Time delta in h])</f>
        <v>17.463055555592291</v>
      </c>
      <c r="M3814" s="16">
        <f>Tabelle7367873883887897[[#This Row],[EBS self time]]/Tabelle7367873883887897[[#This Row],[Total time]]</f>
        <v>0.28082596551583433</v>
      </c>
    </row>
    <row r="3815" spans="1:13">
      <c r="B3815" s="1"/>
      <c r="C3815" s="1"/>
      <c r="D3815" s="2"/>
      <c r="I3815" t="s">
        <v>127</v>
      </c>
      <c r="J3815" s="15">
        <v>0.2</v>
      </c>
      <c r="K3815" s="2">
        <v>4.9040794372558594</v>
      </c>
      <c r="L3815" s="2">
        <f>SUM(TimeEntries872882886896[Time delta in h])</f>
        <v>17.463055555592291</v>
      </c>
      <c r="M3815" s="16">
        <f>Tabelle7367873883887897[[#This Row],[EBS self time]]/Tabelle7367873883887897[[#This Row],[Total time]]</f>
        <v>0.28082596551583433</v>
      </c>
    </row>
    <row r="3816" spans="1:13">
      <c r="I3816" t="s">
        <v>169</v>
      </c>
      <c r="J3816" s="15">
        <v>0.35</v>
      </c>
      <c r="K3816" s="2">
        <v>4.9040794372558594</v>
      </c>
      <c r="L3816" s="2">
        <f>SUM(TimeEntries872882886896[Time delta in h])</f>
        <v>17.463055555592291</v>
      </c>
      <c r="M3816" s="16">
        <f>Tabelle7367873883887897[[#This Row],[EBS self time]]/Tabelle7367873883887897[[#This Row],[Total time]]</f>
        <v>0.28082596551583433</v>
      </c>
    </row>
    <row r="3817" spans="1:13">
      <c r="I3817" t="s">
        <v>172</v>
      </c>
      <c r="J3817" s="15">
        <v>0.5</v>
      </c>
      <c r="K3817" s="2">
        <v>4.9040794372558594</v>
      </c>
      <c r="L3817" s="2">
        <f>SUM(TimeEntries872882886896[Time delta in h])</f>
        <v>17.463055555592291</v>
      </c>
      <c r="M3817" s="16">
        <f>Tabelle7367873883887897[[#This Row],[EBS self time]]/Tabelle7367873883887897[[#This Row],[Total time]]</f>
        <v>0.28082596551583433</v>
      </c>
    </row>
    <row r="3818" spans="1:13">
      <c r="I3818" t="s">
        <v>187</v>
      </c>
      <c r="J3818" s="15">
        <v>0.65</v>
      </c>
      <c r="K3818" s="2">
        <v>4.9040794372558594</v>
      </c>
      <c r="L3818" s="2">
        <f>SUM(TimeEntries872882886896[Time delta in h])</f>
        <v>17.463055555592291</v>
      </c>
      <c r="M3818" s="16">
        <f>Tabelle7367873883887897[[#This Row],[EBS self time]]/Tabelle7367873883887897[[#This Row],[Total time]]</f>
        <v>0.28082596551583433</v>
      </c>
    </row>
    <row r="3819" spans="1:13">
      <c r="I3819" t="s">
        <v>192</v>
      </c>
      <c r="J3819" s="15">
        <v>0.8</v>
      </c>
      <c r="K3819" s="2">
        <v>19.008059834325035</v>
      </c>
      <c r="L3819" s="2">
        <f>SUM(TimeEntries872882886896[Time delta in h])</f>
        <v>17.463055555592291</v>
      </c>
      <c r="M3819" s="16">
        <f>Tabelle7367873883887897[[#This Row],[EBS self time]]/Tabelle7367873883887897[[#This Row],[Total time]]</f>
        <v>1.0884727345574972</v>
      </c>
    </row>
    <row r="3820" spans="1:13">
      <c r="I3820" t="s">
        <v>193</v>
      </c>
      <c r="J3820" s="15">
        <v>0.95</v>
      </c>
      <c r="K3820" s="2">
        <v>19.008059834325035</v>
      </c>
      <c r="L3820" s="2">
        <f>SUM(TimeEntries872882886896[Time delta in h])</f>
        <v>17.463055555592291</v>
      </c>
      <c r="M3820" s="16">
        <f>Tabelle7367873883887897[[#This Row],[EBS self time]]/Tabelle7367873883887897[[#This Row],[Total time]]</f>
        <v>1.0884727345574972</v>
      </c>
    </row>
    <row r="3822" spans="1:13">
      <c r="A3822" t="s">
        <v>189</v>
      </c>
      <c r="B3822" t="s">
        <v>672</v>
      </c>
      <c r="C3822" t="s">
        <v>190</v>
      </c>
      <c r="D3822">
        <v>23</v>
      </c>
      <c r="E3822" t="s">
        <v>191</v>
      </c>
      <c r="F3822">
        <v>13</v>
      </c>
    </row>
    <row r="3823" spans="1:13">
      <c r="A3823" s="4" t="s">
        <v>24</v>
      </c>
      <c r="I3823" t="s">
        <v>135</v>
      </c>
      <c r="J3823" t="s">
        <v>136</v>
      </c>
    </row>
    <row r="3824" spans="1:13">
      <c r="A3824" t="s">
        <v>3</v>
      </c>
      <c r="B3824" t="s">
        <v>674</v>
      </c>
    </row>
    <row r="3825" spans="1:13">
      <c r="A3825" t="s">
        <v>77</v>
      </c>
      <c r="B3825" s="2">
        <v>4.8998270034790039</v>
      </c>
      <c r="C3825" t="s">
        <v>4</v>
      </c>
    </row>
    <row r="3826" spans="1:13">
      <c r="A3826" t="s">
        <v>0</v>
      </c>
      <c r="B3826" s="2">
        <f>SUM(TimeEntries888898[Time delta in h])</f>
        <v>25.055555555562023</v>
      </c>
      <c r="C3826" t="s">
        <v>4</v>
      </c>
    </row>
    <row r="3827" spans="1:13">
      <c r="A3827" t="s">
        <v>13</v>
      </c>
      <c r="B3827" s="5" t="s">
        <v>92</v>
      </c>
    </row>
    <row r="3828" spans="1:13">
      <c r="A3828" t="s">
        <v>14</v>
      </c>
      <c r="B3828" s="5" t="s">
        <v>18</v>
      </c>
    </row>
    <row r="3829" spans="1:13">
      <c r="A3829" t="s">
        <v>1</v>
      </c>
      <c r="B3829" t="s">
        <v>131</v>
      </c>
    </row>
    <row r="3830" spans="1:13">
      <c r="A3830" t="s">
        <v>15</v>
      </c>
      <c r="B3830" s="5">
        <v>44161.955254629633</v>
      </c>
    </row>
    <row r="3831" spans="1:13">
      <c r="A3831" t="s">
        <v>2</v>
      </c>
    </row>
    <row r="3832" spans="1:13">
      <c r="A3832" t="s">
        <v>46</v>
      </c>
      <c r="B3832" t="s">
        <v>672</v>
      </c>
    </row>
    <row r="3833" spans="1:13">
      <c r="A3833" t="s">
        <v>5</v>
      </c>
      <c r="B3833" s="2">
        <f>B3825/SUM(TimeEntries888898[Time delta in h])</f>
        <v>0.19555850568203836</v>
      </c>
      <c r="C3833" t="s">
        <v>6</v>
      </c>
    </row>
    <row r="3834" spans="1:13">
      <c r="A3834" t="s">
        <v>93</v>
      </c>
    </row>
    <row r="3835" spans="1:13">
      <c r="A3835" t="s">
        <v>94</v>
      </c>
    </row>
    <row r="3836" spans="1:13">
      <c r="A3836" t="s">
        <v>129</v>
      </c>
      <c r="B3836" s="1">
        <v>44161.955254629633</v>
      </c>
    </row>
    <row r="3838" spans="1:13">
      <c r="A3838" t="s">
        <v>10</v>
      </c>
      <c r="B3838" t="s">
        <v>7</v>
      </c>
      <c r="C3838" t="s">
        <v>8</v>
      </c>
      <c r="D3838" t="s">
        <v>9</v>
      </c>
      <c r="E3838" t="s">
        <v>134</v>
      </c>
      <c r="F3838" t="s">
        <v>84</v>
      </c>
      <c r="G3838" t="s">
        <v>85</v>
      </c>
      <c r="I3838" t="s">
        <v>70</v>
      </c>
      <c r="J3838" s="15" t="s">
        <v>68</v>
      </c>
      <c r="K3838" s="2" t="s">
        <v>69</v>
      </c>
      <c r="L3838" t="s">
        <v>71</v>
      </c>
      <c r="M3838" t="s">
        <v>72</v>
      </c>
    </row>
    <row r="3839" spans="1:13">
      <c r="A3839" t="s">
        <v>126</v>
      </c>
      <c r="B3839" s="1">
        <v>44160.911273148151</v>
      </c>
      <c r="C3839" s="1">
        <v>44161.955254629633</v>
      </c>
      <c r="D3839" s="2">
        <f>MAX((TimeEntries888898[[#This Row],[End time]]-TimeEntries888898[[#This Row],[Start time]])*24,0)</f>
        <v>25.055555555562023</v>
      </c>
      <c r="F3839" s="54" t="s">
        <v>184</v>
      </c>
      <c r="G3839" s="22" t="s">
        <v>185</v>
      </c>
      <c r="I3839" t="s">
        <v>126</v>
      </c>
      <c r="J3839" s="15">
        <v>0.05</v>
      </c>
      <c r="K3839" s="2">
        <v>2.449913501739502</v>
      </c>
      <c r="L3839" s="2">
        <f>SUM(TimeEntries888898[Time delta in h])</f>
        <v>25.055555555562023</v>
      </c>
      <c r="M3839" s="16">
        <f>Tabelle7367889899[[#This Row],[EBS self time]]/Tabelle7367889899[[#This Row],[Total time]]</f>
        <v>9.7779252841019182E-2</v>
      </c>
    </row>
    <row r="3840" spans="1:13">
      <c r="B3840" s="1"/>
      <c r="C3840" s="1"/>
      <c r="D3840" s="2"/>
      <c r="I3840" t="s">
        <v>127</v>
      </c>
      <c r="J3840" s="15">
        <v>0.2</v>
      </c>
      <c r="K3840" s="2">
        <v>2.449913501739502</v>
      </c>
      <c r="L3840" s="2">
        <f>SUM(TimeEntries888898[Time delta in h])</f>
        <v>25.055555555562023</v>
      </c>
      <c r="M3840" s="16">
        <f>Tabelle7367889899[[#This Row],[EBS self time]]/Tabelle7367889899[[#This Row],[Total time]]</f>
        <v>9.7779252841019182E-2</v>
      </c>
    </row>
    <row r="3841" spans="1:13">
      <c r="I3841" t="s">
        <v>169</v>
      </c>
      <c r="J3841" s="15">
        <v>0.35</v>
      </c>
      <c r="K3841" s="2">
        <v>2.449913501739502</v>
      </c>
      <c r="L3841" s="2">
        <f>SUM(TimeEntries888898[Time delta in h])</f>
        <v>25.055555555562023</v>
      </c>
      <c r="M3841" s="16">
        <f>Tabelle7367889899[[#This Row],[EBS self time]]/Tabelle7367889899[[#This Row],[Total time]]</f>
        <v>9.7779252841019182E-2</v>
      </c>
    </row>
    <row r="3842" spans="1:13">
      <c r="I3842" t="s">
        <v>172</v>
      </c>
      <c r="J3842" s="15">
        <v>0.5</v>
      </c>
      <c r="K3842" s="2">
        <v>2.449913501739502</v>
      </c>
      <c r="L3842" s="2">
        <f>SUM(TimeEntries888898[Time delta in h])</f>
        <v>25.055555555562023</v>
      </c>
      <c r="M3842" s="16">
        <f>Tabelle7367889899[[#This Row],[EBS self time]]/Tabelle7367889899[[#This Row],[Total time]]</f>
        <v>9.7779252841019182E-2</v>
      </c>
    </row>
    <row r="3843" spans="1:13">
      <c r="I3843" t="s">
        <v>187</v>
      </c>
      <c r="J3843" s="15">
        <v>0.65</v>
      </c>
      <c r="K3843" s="2">
        <v>2.449913501739502</v>
      </c>
      <c r="L3843" s="2">
        <f>SUM(TimeEntries888898[Time delta in h])</f>
        <v>25.055555555562023</v>
      </c>
      <c r="M3843" s="16">
        <f>Tabelle7367889899[[#This Row],[EBS self time]]/Tabelle7367889899[[#This Row],[Total time]]</f>
        <v>9.7779252841019182E-2</v>
      </c>
    </row>
    <row r="3844" spans="1:13">
      <c r="I3844" t="s">
        <v>192</v>
      </c>
      <c r="J3844" s="15">
        <v>0.8</v>
      </c>
      <c r="K3844" s="2">
        <v>9.4957887664321774</v>
      </c>
      <c r="L3844" s="2">
        <f>SUM(TimeEntries888898[Time delta in h])</f>
        <v>25.055555555562023</v>
      </c>
      <c r="M3844" s="16">
        <f>Tabelle7367889899[[#This Row],[EBS self time]]/Tabelle7367889899[[#This Row],[Total time]]</f>
        <v>0.37898935209697354</v>
      </c>
    </row>
    <row r="3845" spans="1:13">
      <c r="I3845" t="s">
        <v>193</v>
      </c>
      <c r="J3845" s="15">
        <v>0.95</v>
      </c>
      <c r="K3845" s="2">
        <v>9.4957887664321774</v>
      </c>
      <c r="L3845" s="2">
        <f>SUM(TimeEntries888898[Time delta in h])</f>
        <v>25.055555555562023</v>
      </c>
      <c r="M3845" s="16">
        <f>Tabelle7367889899[[#This Row],[EBS self time]]/Tabelle7367889899[[#This Row],[Total time]]</f>
        <v>0.37898935209697354</v>
      </c>
    </row>
    <row r="3847" spans="1:13">
      <c r="A3847" t="s">
        <v>189</v>
      </c>
      <c r="B3847" t="s">
        <v>675</v>
      </c>
      <c r="C3847" t="s">
        <v>190</v>
      </c>
      <c r="D3847">
        <v>18</v>
      </c>
      <c r="E3847" t="s">
        <v>191</v>
      </c>
      <c r="F3847">
        <v>13</v>
      </c>
    </row>
    <row r="3848" spans="1:13">
      <c r="A3848" s="4" t="s">
        <v>24</v>
      </c>
      <c r="I3848" t="s">
        <v>135</v>
      </c>
      <c r="J3848" t="s">
        <v>136</v>
      </c>
    </row>
    <row r="3849" spans="1:13">
      <c r="A3849" t="s">
        <v>3</v>
      </c>
      <c r="B3849" t="s">
        <v>677</v>
      </c>
    </row>
    <row r="3850" spans="1:13">
      <c r="A3850" t="s">
        <v>77</v>
      </c>
      <c r="B3850" s="2" t="s">
        <v>92</v>
      </c>
      <c r="C3850" t="s">
        <v>4</v>
      </c>
    </row>
    <row r="3851" spans="1:13">
      <c r="A3851" t="s">
        <v>0</v>
      </c>
      <c r="B3851" s="2">
        <f>SUM(TimeEntries890900[Time delta in h])</f>
        <v>18.011666666774545</v>
      </c>
      <c r="C3851" t="s">
        <v>4</v>
      </c>
    </row>
    <row r="3852" spans="1:13">
      <c r="A3852" t="s">
        <v>13</v>
      </c>
      <c r="B3852" s="5" t="s">
        <v>92</v>
      </c>
    </row>
    <row r="3853" spans="1:13">
      <c r="A3853" t="s">
        <v>14</v>
      </c>
      <c r="B3853" s="5" t="s">
        <v>18</v>
      </c>
    </row>
    <row r="3854" spans="1:13">
      <c r="A3854" t="s">
        <v>1</v>
      </c>
      <c r="B3854" t="s">
        <v>91</v>
      </c>
    </row>
    <row r="3855" spans="1:13">
      <c r="A3855" t="s">
        <v>15</v>
      </c>
      <c r="B3855" s="5" t="s">
        <v>92</v>
      </c>
    </row>
    <row r="3856" spans="1:13">
      <c r="A3856" t="s">
        <v>2</v>
      </c>
    </row>
    <row r="3857" spans="1:13">
      <c r="A3857" t="s">
        <v>46</v>
      </c>
      <c r="B3857" t="s">
        <v>675</v>
      </c>
    </row>
    <row r="3858" spans="1:13">
      <c r="A3858" t="s">
        <v>5</v>
      </c>
      <c r="B3858" s="2" t="e">
        <f>B3850/SUM(TimeEntries890900[Time delta in h])</f>
        <v>#VALUE!</v>
      </c>
      <c r="C3858" t="s">
        <v>6</v>
      </c>
    </row>
    <row r="3859" spans="1:13">
      <c r="A3859" t="s">
        <v>93</v>
      </c>
    </row>
    <row r="3860" spans="1:13">
      <c r="A3860" t="s">
        <v>94</v>
      </c>
    </row>
    <row r="3861" spans="1:13">
      <c r="A3861" t="s">
        <v>129</v>
      </c>
      <c r="B3861" s="1">
        <v>44161.955277777779</v>
      </c>
    </row>
    <row r="3863" spans="1:13">
      <c r="A3863" t="s">
        <v>10</v>
      </c>
      <c r="B3863" t="s">
        <v>7</v>
      </c>
      <c r="C3863" t="s">
        <v>8</v>
      </c>
      <c r="D3863" t="s">
        <v>9</v>
      </c>
      <c r="E3863" t="s">
        <v>134</v>
      </c>
      <c r="F3863" t="s">
        <v>84</v>
      </c>
      <c r="G3863" t="s">
        <v>85</v>
      </c>
      <c r="I3863" t="s">
        <v>70</v>
      </c>
      <c r="J3863" s="15" t="s">
        <v>68</v>
      </c>
      <c r="K3863" s="2" t="s">
        <v>69</v>
      </c>
      <c r="L3863" t="s">
        <v>71</v>
      </c>
      <c r="M3863" t="s">
        <v>72</v>
      </c>
    </row>
    <row r="3864" spans="1:13">
      <c r="A3864" t="s">
        <v>126</v>
      </c>
      <c r="B3864" s="1">
        <v>44161.204791666663</v>
      </c>
      <c r="C3864" s="1">
        <v>44161.955277777779</v>
      </c>
      <c r="D3864" s="2">
        <f>MAX((TimeEntries890900[[#This Row],[End time]]-TimeEntries890900[[#This Row],[Start time]])*24,0)</f>
        <v>18.011666666774545</v>
      </c>
      <c r="F3864" s="54" t="s">
        <v>184</v>
      </c>
      <c r="G3864" s="22" t="s">
        <v>185</v>
      </c>
      <c r="J3864" s="15"/>
      <c r="K3864" s="2"/>
      <c r="L3864" s="2">
        <f>SUM(TimeEntries890900[Time delta in h])</f>
        <v>18.011666666774545</v>
      </c>
      <c r="M3864" s="16">
        <f>Tabelle7367891901[[#This Row],[EBS self time]]/Tabelle7367891901[[#This Row],[Total time]]</f>
        <v>0</v>
      </c>
    </row>
    <row r="3865" spans="1:13">
      <c r="B3865" s="1"/>
      <c r="C3865" s="1"/>
      <c r="D3865" s="2"/>
    </row>
    <row r="3867" spans="1:13">
      <c r="A3867" t="s">
        <v>189</v>
      </c>
      <c r="B3867" t="s">
        <v>678</v>
      </c>
      <c r="C3867" t="s">
        <v>190</v>
      </c>
      <c r="D3867">
        <v>23</v>
      </c>
      <c r="E3867" t="s">
        <v>191</v>
      </c>
      <c r="F3867">
        <v>13</v>
      </c>
    </row>
    <row r="3868" spans="1:13">
      <c r="A3868" s="4" t="s">
        <v>24</v>
      </c>
      <c r="I3868" t="s">
        <v>135</v>
      </c>
      <c r="J3868" t="s">
        <v>136</v>
      </c>
    </row>
    <row r="3869" spans="1:13">
      <c r="A3869" t="s">
        <v>3</v>
      </c>
      <c r="B3869" t="s">
        <v>680</v>
      </c>
    </row>
    <row r="3870" spans="1:13">
      <c r="A3870" t="s">
        <v>77</v>
      </c>
      <c r="B3870" s="2">
        <v>12.488985061645508</v>
      </c>
      <c r="C3870" t="s">
        <v>4</v>
      </c>
    </row>
    <row r="3871" spans="1:13">
      <c r="A3871" t="s">
        <v>0</v>
      </c>
      <c r="B3871" s="2">
        <f>SUM(TimeEntries892902[Time delta in h])</f>
        <v>25.272499999904539</v>
      </c>
      <c r="C3871" t="s">
        <v>4</v>
      </c>
    </row>
    <row r="3872" spans="1:13">
      <c r="A3872" t="s">
        <v>13</v>
      </c>
      <c r="B3872" s="5" t="s">
        <v>92</v>
      </c>
    </row>
    <row r="3873" spans="1:13">
      <c r="A3873" t="s">
        <v>14</v>
      </c>
      <c r="B3873" s="5" t="s">
        <v>18</v>
      </c>
    </row>
    <row r="3874" spans="1:13">
      <c r="A3874" t="s">
        <v>1</v>
      </c>
      <c r="B3874" t="s">
        <v>91</v>
      </c>
    </row>
    <row r="3875" spans="1:13">
      <c r="A3875" t="s">
        <v>15</v>
      </c>
      <c r="B3875" s="5" t="s">
        <v>92</v>
      </c>
    </row>
    <row r="3876" spans="1:13">
      <c r="A3876" t="s">
        <v>2</v>
      </c>
    </row>
    <row r="3877" spans="1:13">
      <c r="A3877" t="s">
        <v>46</v>
      </c>
      <c r="B3877" t="s">
        <v>678</v>
      </c>
    </row>
    <row r="3878" spans="1:13">
      <c r="A3878" t="s">
        <v>5</v>
      </c>
      <c r="B3878" s="2">
        <f>B3870/SUM(TimeEntries892902[Time delta in h])</f>
        <v>0.49417291766515709</v>
      </c>
      <c r="C3878" t="s">
        <v>6</v>
      </c>
    </row>
    <row r="3879" spans="1:13">
      <c r="A3879" t="s">
        <v>93</v>
      </c>
    </row>
    <row r="3880" spans="1:13">
      <c r="A3880" t="s">
        <v>94</v>
      </c>
    </row>
    <row r="3881" spans="1:13">
      <c r="A3881" t="s">
        <v>129</v>
      </c>
      <c r="B3881" s="1">
        <v>44161.955289351848</v>
      </c>
    </row>
    <row r="3883" spans="1:13">
      <c r="A3883" t="s">
        <v>10</v>
      </c>
      <c r="B3883" t="s">
        <v>7</v>
      </c>
      <c r="C3883" t="s">
        <v>8</v>
      </c>
      <c r="D3883" t="s">
        <v>9</v>
      </c>
      <c r="E3883" t="s">
        <v>134</v>
      </c>
      <c r="F3883" t="s">
        <v>84</v>
      </c>
      <c r="G3883" t="s">
        <v>85</v>
      </c>
      <c r="I3883" t="s">
        <v>70</v>
      </c>
      <c r="J3883" s="15" t="s">
        <v>68</v>
      </c>
      <c r="K3883" s="2" t="s">
        <v>69</v>
      </c>
      <c r="L3883" t="s">
        <v>71</v>
      </c>
      <c r="M3883" t="s">
        <v>72</v>
      </c>
    </row>
    <row r="3884" spans="1:13">
      <c r="A3884" t="s">
        <v>126</v>
      </c>
      <c r="B3884" s="1">
        <v>44160.902268518519</v>
      </c>
      <c r="C3884" s="1">
        <v>44161.955289351848</v>
      </c>
      <c r="D3884" s="2">
        <f>MAX((TimeEntries892902[[#This Row],[End time]]-TimeEntries892902[[#This Row],[Start time]])*24,0)</f>
        <v>25.272499999904539</v>
      </c>
      <c r="F3884" s="54" t="s">
        <v>184</v>
      </c>
      <c r="G3884" s="22" t="s">
        <v>185</v>
      </c>
      <c r="I3884" t="s">
        <v>126</v>
      </c>
      <c r="J3884" s="15">
        <v>0.05</v>
      </c>
      <c r="K3884" s="2">
        <v>6.2444925308227539</v>
      </c>
      <c r="L3884" s="2">
        <f>SUM(TimeEntries892902[Time delta in h])</f>
        <v>25.272499999904539</v>
      </c>
      <c r="M3884" s="16">
        <f>Tabelle7367893903[[#This Row],[EBS self time]]/Tabelle7367893903[[#This Row],[Total time]]</f>
        <v>0.24708645883257854</v>
      </c>
    </row>
    <row r="3885" spans="1:13">
      <c r="B3885" s="1"/>
      <c r="C3885" s="1"/>
      <c r="D3885" s="2"/>
      <c r="I3885" t="s">
        <v>127</v>
      </c>
      <c r="J3885" s="15">
        <v>0.2</v>
      </c>
      <c r="K3885" s="2">
        <v>6.2444925308227539</v>
      </c>
      <c r="L3885" s="2">
        <f>SUM(TimeEntries892902[Time delta in h])</f>
        <v>25.272499999904539</v>
      </c>
      <c r="M3885" s="16">
        <f>Tabelle7367893903[[#This Row],[EBS self time]]/Tabelle7367893903[[#This Row],[Total time]]</f>
        <v>0.24708645883257854</v>
      </c>
    </row>
    <row r="3886" spans="1:13">
      <c r="I3886" t="s">
        <v>169</v>
      </c>
      <c r="J3886" s="15">
        <v>0.35</v>
      </c>
      <c r="K3886" s="2">
        <v>6.2444925308227539</v>
      </c>
      <c r="L3886" s="2">
        <f>SUM(TimeEntries892902[Time delta in h])</f>
        <v>25.272499999904539</v>
      </c>
      <c r="M3886" s="16">
        <f>Tabelle7367893903[[#This Row],[EBS self time]]/Tabelle7367893903[[#This Row],[Total time]]</f>
        <v>0.24708645883257854</v>
      </c>
    </row>
    <row r="3887" spans="1:13">
      <c r="I3887" t="s">
        <v>172</v>
      </c>
      <c r="J3887" s="15">
        <v>0.5</v>
      </c>
      <c r="K3887" s="2">
        <v>6.2444925308227539</v>
      </c>
      <c r="L3887" s="2">
        <f>SUM(TimeEntries892902[Time delta in h])</f>
        <v>25.272499999904539</v>
      </c>
      <c r="M3887" s="16">
        <f>Tabelle7367893903[[#This Row],[EBS self time]]/Tabelle7367893903[[#This Row],[Total time]]</f>
        <v>0.24708645883257854</v>
      </c>
    </row>
    <row r="3888" spans="1:13">
      <c r="I3888" t="s">
        <v>187</v>
      </c>
      <c r="J3888" s="15">
        <v>0.65</v>
      </c>
      <c r="K3888" s="2">
        <v>24.203459421793617</v>
      </c>
      <c r="L3888" s="2">
        <f>SUM(TimeEntries892902[Time delta in h])</f>
        <v>25.272499999904539</v>
      </c>
      <c r="M3888" s="16">
        <f>Tabelle7367893903[[#This Row],[EBS self time]]/Tabelle7367893903[[#This Row],[Total time]]</f>
        <v>0.95769945283945157</v>
      </c>
    </row>
    <row r="3889" spans="1:13">
      <c r="I3889" t="s">
        <v>192</v>
      </c>
      <c r="J3889" s="15">
        <v>0.8</v>
      </c>
      <c r="K3889" s="2">
        <v>24.203459421793617</v>
      </c>
      <c r="L3889" s="2">
        <f>SUM(TimeEntries892902[Time delta in h])</f>
        <v>25.272499999904539</v>
      </c>
      <c r="M3889" s="16">
        <f>Tabelle7367893903[[#This Row],[EBS self time]]/Tabelle7367893903[[#This Row],[Total time]]</f>
        <v>0.95769945283945157</v>
      </c>
    </row>
    <row r="3890" spans="1:13">
      <c r="I3890" t="s">
        <v>193</v>
      </c>
      <c r="J3890" s="15">
        <v>0.95</v>
      </c>
      <c r="K3890" s="2">
        <v>24.203459421793617</v>
      </c>
      <c r="L3890" s="2">
        <f>SUM(TimeEntries892902[Time delta in h])</f>
        <v>25.272499999904539</v>
      </c>
      <c r="M3890" s="16">
        <f>Tabelle7367893903[[#This Row],[EBS self time]]/Tabelle7367893903[[#This Row],[Total time]]</f>
        <v>0.95769945283945157</v>
      </c>
    </row>
    <row r="3892" spans="1:13">
      <c r="A3892" t="s">
        <v>189</v>
      </c>
      <c r="B3892" t="s">
        <v>681</v>
      </c>
      <c r="C3892" t="s">
        <v>190</v>
      </c>
      <c r="D3892">
        <v>18</v>
      </c>
      <c r="E3892" t="s">
        <v>191</v>
      </c>
      <c r="F3892">
        <v>13</v>
      </c>
    </row>
    <row r="3893" spans="1:13">
      <c r="A3893" s="4" t="s">
        <v>24</v>
      </c>
      <c r="I3893" t="s">
        <v>135</v>
      </c>
      <c r="J3893" t="s">
        <v>136</v>
      </c>
    </row>
    <row r="3894" spans="1:13">
      <c r="A3894" t="s">
        <v>3</v>
      </c>
      <c r="B3894" t="s">
        <v>683</v>
      </c>
    </row>
    <row r="3895" spans="1:13">
      <c r="A3895" t="s">
        <v>77</v>
      </c>
      <c r="B3895" s="2" t="s">
        <v>92</v>
      </c>
      <c r="C3895" t="s">
        <v>4</v>
      </c>
    </row>
    <row r="3896" spans="1:13">
      <c r="A3896" t="s">
        <v>0</v>
      </c>
      <c r="B3896" s="2">
        <f>SUM(TimeEntries894904908918[Time delta in h])</f>
        <v>25.161111110995989</v>
      </c>
      <c r="C3896" t="s">
        <v>4</v>
      </c>
    </row>
    <row r="3897" spans="1:13">
      <c r="A3897" t="s">
        <v>13</v>
      </c>
      <c r="B3897" s="5" t="s">
        <v>92</v>
      </c>
    </row>
    <row r="3898" spans="1:13">
      <c r="A3898" t="s">
        <v>14</v>
      </c>
      <c r="B3898" s="5" t="s">
        <v>18</v>
      </c>
    </row>
    <row r="3899" spans="1:13">
      <c r="A3899" t="s">
        <v>1</v>
      </c>
      <c r="B3899" t="s">
        <v>91</v>
      </c>
    </row>
    <row r="3900" spans="1:13">
      <c r="A3900" t="s">
        <v>15</v>
      </c>
      <c r="B3900" s="5" t="s">
        <v>92</v>
      </c>
    </row>
    <row r="3901" spans="1:13">
      <c r="A3901" t="s">
        <v>2</v>
      </c>
    </row>
    <row r="3902" spans="1:13">
      <c r="A3902" t="s">
        <v>46</v>
      </c>
      <c r="B3902" t="s">
        <v>681</v>
      </c>
    </row>
    <row r="3903" spans="1:13">
      <c r="A3903" t="s">
        <v>5</v>
      </c>
      <c r="B3903" s="2" t="e">
        <f>B3895/SUM(TimeEntries894904908918[Time delta in h])</f>
        <v>#VALUE!</v>
      </c>
      <c r="C3903" t="s">
        <v>6</v>
      </c>
    </row>
    <row r="3904" spans="1:13">
      <c r="A3904" t="s">
        <v>93</v>
      </c>
    </row>
    <row r="3905" spans="1:13">
      <c r="A3905" t="s">
        <v>94</v>
      </c>
    </row>
    <row r="3906" spans="1:13">
      <c r="A3906" t="s">
        <v>129</v>
      </c>
      <c r="B3906" s="1">
        <v>44161.955312500002</v>
      </c>
    </row>
    <row r="3908" spans="1:13">
      <c r="A3908" t="s">
        <v>10</v>
      </c>
      <c r="B3908" t="s">
        <v>7</v>
      </c>
      <c r="C3908" t="s">
        <v>8</v>
      </c>
      <c r="D3908" t="s">
        <v>9</v>
      </c>
      <c r="E3908" t="s">
        <v>134</v>
      </c>
      <c r="F3908" t="s">
        <v>84</v>
      </c>
      <c r="G3908" t="s">
        <v>85</v>
      </c>
      <c r="I3908" t="s">
        <v>70</v>
      </c>
      <c r="J3908" s="15" t="s">
        <v>68</v>
      </c>
      <c r="K3908" s="2" t="s">
        <v>69</v>
      </c>
      <c r="L3908" t="s">
        <v>71</v>
      </c>
      <c r="M3908" t="s">
        <v>72</v>
      </c>
    </row>
    <row r="3909" spans="1:13">
      <c r="A3909" t="s">
        <v>126</v>
      </c>
      <c r="B3909" s="1">
        <v>44160.907037037039</v>
      </c>
      <c r="C3909" s="1">
        <v>44161.955416666664</v>
      </c>
      <c r="D3909" s="2">
        <f>MAX((TimeEntries894904908918[[#This Row],[End time]]-TimeEntries894904908918[[#This Row],[Start time]])*24,0)</f>
        <v>25.161111110995989</v>
      </c>
      <c r="F3909" s="54" t="s">
        <v>184</v>
      </c>
      <c r="G3909" s="22" t="s">
        <v>185</v>
      </c>
      <c r="J3909" s="15"/>
      <c r="K3909" s="2"/>
      <c r="L3909" s="2">
        <f>SUM(TimeEntries894904908918[Time delta in h])</f>
        <v>25.161111110995989</v>
      </c>
      <c r="M3909" s="16">
        <f>Tabelle7367895905909919[[#This Row],[EBS self time]]/Tabelle7367895905909919[[#This Row],[Total time]]</f>
        <v>0</v>
      </c>
    </row>
    <row r="3910" spans="1:13">
      <c r="B3910" s="1"/>
      <c r="C3910" s="1"/>
      <c r="D3910" s="2"/>
    </row>
    <row r="3912" spans="1:13">
      <c r="A3912" t="s">
        <v>189</v>
      </c>
      <c r="B3912" t="s">
        <v>684</v>
      </c>
      <c r="C3912" t="s">
        <v>190</v>
      </c>
      <c r="D3912">
        <v>23</v>
      </c>
      <c r="E3912" t="s">
        <v>191</v>
      </c>
      <c r="F3912">
        <v>13</v>
      </c>
    </row>
    <row r="3913" spans="1:13">
      <c r="A3913" s="4" t="s">
        <v>24</v>
      </c>
      <c r="I3913" t="s">
        <v>135</v>
      </c>
      <c r="J3913" t="s">
        <v>136</v>
      </c>
    </row>
    <row r="3914" spans="1:13">
      <c r="A3914" t="s">
        <v>3</v>
      </c>
      <c r="B3914" t="s">
        <v>686</v>
      </c>
    </row>
    <row r="3915" spans="1:13">
      <c r="A3915" t="s">
        <v>77</v>
      </c>
      <c r="B3915" s="2">
        <v>15.689597129821777</v>
      </c>
      <c r="C3915" t="s">
        <v>4</v>
      </c>
    </row>
    <row r="3916" spans="1:13">
      <c r="A3916" t="s">
        <v>0</v>
      </c>
      <c r="B3916" s="2">
        <f>SUM(TimeEntries910920[Time delta in h])</f>
        <v>10.703611111035571</v>
      </c>
      <c r="C3916" t="s">
        <v>4</v>
      </c>
    </row>
    <row r="3917" spans="1:13">
      <c r="A3917" t="s">
        <v>13</v>
      </c>
      <c r="B3917" s="5" t="s">
        <v>92</v>
      </c>
    </row>
    <row r="3918" spans="1:13">
      <c r="A3918" t="s">
        <v>14</v>
      </c>
      <c r="B3918" s="5" t="s">
        <v>18</v>
      </c>
    </row>
    <row r="3919" spans="1:13">
      <c r="A3919" t="s">
        <v>1</v>
      </c>
      <c r="B3919" t="s">
        <v>91</v>
      </c>
    </row>
    <row r="3920" spans="1:13">
      <c r="A3920" t="s">
        <v>15</v>
      </c>
      <c r="B3920" s="5" t="s">
        <v>92</v>
      </c>
    </row>
    <row r="3921" spans="1:13">
      <c r="A3921" t="s">
        <v>2</v>
      </c>
    </row>
    <row r="3922" spans="1:13">
      <c r="A3922" t="s">
        <v>46</v>
      </c>
      <c r="B3922" t="s">
        <v>684</v>
      </c>
    </row>
    <row r="3923" spans="1:13">
      <c r="A3923" t="s">
        <v>5</v>
      </c>
      <c r="B3923" s="2">
        <f>B3915/SUM(TimeEntries910920[Time delta in h])</f>
        <v>1.4658227926130076</v>
      </c>
      <c r="C3923" t="s">
        <v>6</v>
      </c>
    </row>
    <row r="3924" spans="1:13">
      <c r="A3924" t="s">
        <v>93</v>
      </c>
    </row>
    <row r="3925" spans="1:13">
      <c r="A3925" t="s">
        <v>94</v>
      </c>
    </row>
    <row r="3926" spans="1:13">
      <c r="A3926" t="s">
        <v>129</v>
      </c>
      <c r="B3926" s="1">
        <v>44161.955428240741</v>
      </c>
    </row>
    <row r="3928" spans="1:13">
      <c r="A3928" t="s">
        <v>10</v>
      </c>
      <c r="B3928" t="s">
        <v>7</v>
      </c>
      <c r="C3928" t="s">
        <v>8</v>
      </c>
      <c r="D3928" t="s">
        <v>9</v>
      </c>
      <c r="E3928" t="s">
        <v>134</v>
      </c>
      <c r="F3928" t="s">
        <v>84</v>
      </c>
      <c r="G3928" t="s">
        <v>85</v>
      </c>
      <c r="I3928" t="s">
        <v>70</v>
      </c>
      <c r="J3928" s="15" t="s">
        <v>68</v>
      </c>
      <c r="K3928" s="2" t="s">
        <v>69</v>
      </c>
      <c r="L3928" t="s">
        <v>71</v>
      </c>
      <c r="M3928" t="s">
        <v>72</v>
      </c>
    </row>
    <row r="3929" spans="1:13">
      <c r="A3929" t="s">
        <v>126</v>
      </c>
      <c r="B3929" s="1">
        <v>44161.509444444448</v>
      </c>
      <c r="C3929" s="1">
        <v>44161.955428240741</v>
      </c>
      <c r="D3929" s="2">
        <f>MAX((TimeEntries910920[[#This Row],[End time]]-TimeEntries910920[[#This Row],[Start time]])*24,0)</f>
        <v>10.703611111035571</v>
      </c>
      <c r="F3929" s="54" t="s">
        <v>184</v>
      </c>
      <c r="G3929" s="22" t="s">
        <v>185</v>
      </c>
      <c r="I3929" t="s">
        <v>126</v>
      </c>
      <c r="J3929" s="15">
        <v>0.05</v>
      </c>
      <c r="K3929" s="2">
        <v>7.8447985649108887</v>
      </c>
      <c r="L3929" s="2">
        <f>SUM(TimeEntries910920[Time delta in h])</f>
        <v>10.703611111035571</v>
      </c>
      <c r="M3929" s="16">
        <f>Tabelle7367911921[[#This Row],[EBS self time]]/Tabelle7367911921[[#This Row],[Total time]]</f>
        <v>0.73291139630650382</v>
      </c>
    </row>
    <row r="3930" spans="1:13">
      <c r="B3930" s="1"/>
      <c r="C3930" s="1"/>
      <c r="D3930" s="2"/>
      <c r="I3930" t="s">
        <v>127</v>
      </c>
      <c r="J3930" s="15">
        <v>0.2</v>
      </c>
      <c r="K3930" s="2">
        <v>7.8447985649108887</v>
      </c>
      <c r="L3930" s="2">
        <f>SUM(TimeEntries910920[Time delta in h])</f>
        <v>10.703611111035571</v>
      </c>
      <c r="M3930" s="16">
        <f>Tabelle7367911921[[#This Row],[EBS self time]]/Tabelle7367911921[[#This Row],[Total time]]</f>
        <v>0.73291139630650382</v>
      </c>
    </row>
    <row r="3931" spans="1:13">
      <c r="I3931" t="s">
        <v>169</v>
      </c>
      <c r="J3931" s="15">
        <v>0.35</v>
      </c>
      <c r="K3931" s="2">
        <v>7.8447985649108887</v>
      </c>
      <c r="L3931" s="2">
        <f>SUM(TimeEntries910920[Time delta in h])</f>
        <v>10.703611111035571</v>
      </c>
      <c r="M3931" s="16">
        <f>Tabelle7367911921[[#This Row],[EBS self time]]/Tabelle7367911921[[#This Row],[Total time]]</f>
        <v>0.73291139630650382</v>
      </c>
    </row>
    <row r="3932" spans="1:13">
      <c r="I3932" t="s">
        <v>172</v>
      </c>
      <c r="J3932" s="15">
        <v>0.5</v>
      </c>
      <c r="K3932" s="2">
        <v>7.8447985649108887</v>
      </c>
      <c r="L3932" s="2">
        <f>SUM(TimeEntries910920[Time delta in h])</f>
        <v>10.703611111035571</v>
      </c>
      <c r="M3932" s="16">
        <f>Tabelle7367911921[[#This Row],[EBS self time]]/Tabelle7367911921[[#This Row],[Total time]]</f>
        <v>0.73291139630650382</v>
      </c>
    </row>
    <row r="3933" spans="1:13">
      <c r="I3933" t="s">
        <v>187</v>
      </c>
      <c r="J3933" s="15">
        <v>0.65</v>
      </c>
      <c r="K3933" s="2">
        <v>7.8447985649108887</v>
      </c>
      <c r="L3933" s="2">
        <f>SUM(TimeEntries910920[Time delta in h])</f>
        <v>10.703611111035571</v>
      </c>
      <c r="M3933" s="16">
        <f>Tabelle7367911921[[#This Row],[EBS self time]]/Tabelle7367911921[[#This Row],[Total time]]</f>
        <v>0.73291139630650382</v>
      </c>
    </row>
    <row r="3934" spans="1:13">
      <c r="I3934" t="s">
        <v>192</v>
      </c>
      <c r="J3934" s="15">
        <v>0.8</v>
      </c>
      <c r="K3934" s="2">
        <v>7.8447985649108887</v>
      </c>
      <c r="L3934" s="2">
        <f>SUM(TimeEntries910920[Time delta in h])</f>
        <v>10.703611111035571</v>
      </c>
      <c r="M3934" s="16">
        <f>Tabelle7367911921[[#This Row],[EBS self time]]/Tabelle7367911921[[#This Row],[Total time]]</f>
        <v>0.73291139630650382</v>
      </c>
    </row>
    <row r="3935" spans="1:13">
      <c r="I3935" t="s">
        <v>193</v>
      </c>
      <c r="J3935" s="15">
        <v>0.95</v>
      </c>
      <c r="K3935" s="2">
        <v>30.406195988026699</v>
      </c>
      <c r="L3935" s="2">
        <f>SUM(TimeEntries910920[Time delta in h])</f>
        <v>10.703611111035571</v>
      </c>
      <c r="M3935" s="16">
        <f>Tabelle7367911921[[#This Row],[EBS self time]]/Tabelle7367911921[[#This Row],[Total time]]</f>
        <v>2.8407418461492395</v>
      </c>
    </row>
    <row r="3937" spans="1:10">
      <c r="A3937" t="s">
        <v>189</v>
      </c>
      <c r="B3937" t="s">
        <v>687</v>
      </c>
      <c r="C3937" t="s">
        <v>190</v>
      </c>
      <c r="D3937">
        <v>23</v>
      </c>
      <c r="E3937" t="s">
        <v>191</v>
      </c>
      <c r="F3937">
        <v>13</v>
      </c>
    </row>
    <row r="3938" spans="1:10">
      <c r="A3938" s="4" t="s">
        <v>24</v>
      </c>
      <c r="I3938" t="s">
        <v>135</v>
      </c>
      <c r="J3938" t="s">
        <v>136</v>
      </c>
    </row>
    <row r="3939" spans="1:10">
      <c r="A3939" t="s">
        <v>3</v>
      </c>
      <c r="B3939" t="s">
        <v>689</v>
      </c>
    </row>
    <row r="3940" spans="1:10">
      <c r="A3940" t="s">
        <v>77</v>
      </c>
      <c r="B3940" s="2">
        <v>13.239345550537109</v>
      </c>
      <c r="C3940" t="s">
        <v>4</v>
      </c>
    </row>
    <row r="3941" spans="1:10">
      <c r="A3941" t="s">
        <v>0</v>
      </c>
      <c r="B3941" s="2">
        <f>SUM(TimeEntries912922[Time delta in h])</f>
        <v>19.571111111145001</v>
      </c>
      <c r="C3941" t="s">
        <v>4</v>
      </c>
    </row>
    <row r="3942" spans="1:10">
      <c r="A3942" t="s">
        <v>13</v>
      </c>
      <c r="B3942" s="5" t="s">
        <v>92</v>
      </c>
    </row>
    <row r="3943" spans="1:10">
      <c r="A3943" t="s">
        <v>14</v>
      </c>
      <c r="B3943" s="5" t="s">
        <v>18</v>
      </c>
    </row>
    <row r="3944" spans="1:10">
      <c r="A3944" t="s">
        <v>1</v>
      </c>
      <c r="B3944" t="s">
        <v>91</v>
      </c>
    </row>
    <row r="3945" spans="1:10">
      <c r="A3945" t="s">
        <v>15</v>
      </c>
      <c r="B3945" s="5" t="s">
        <v>92</v>
      </c>
    </row>
    <row r="3946" spans="1:10">
      <c r="A3946" t="s">
        <v>2</v>
      </c>
    </row>
    <row r="3947" spans="1:10">
      <c r="A3947" t="s">
        <v>46</v>
      </c>
      <c r="B3947" t="s">
        <v>687</v>
      </c>
    </row>
    <row r="3948" spans="1:10">
      <c r="A3948" t="s">
        <v>5</v>
      </c>
      <c r="B3948" s="2">
        <f>B3940/SUM(TimeEntries912922[Time delta in h])</f>
        <v>0.67647388415253584</v>
      </c>
      <c r="C3948" t="s">
        <v>6</v>
      </c>
    </row>
    <row r="3949" spans="1:10">
      <c r="A3949" t="s">
        <v>93</v>
      </c>
    </row>
    <row r="3950" spans="1:10">
      <c r="A3950" t="s">
        <v>94</v>
      </c>
    </row>
    <row r="3951" spans="1:10">
      <c r="A3951" t="s">
        <v>129</v>
      </c>
      <c r="B3951" s="1">
        <v>44161.955439814818</v>
      </c>
    </row>
    <row r="3953" spans="1:13">
      <c r="A3953" t="s">
        <v>10</v>
      </c>
      <c r="B3953" t="s">
        <v>7</v>
      </c>
      <c r="C3953" t="s">
        <v>8</v>
      </c>
      <c r="D3953" t="s">
        <v>9</v>
      </c>
      <c r="E3953" t="s">
        <v>134</v>
      </c>
      <c r="F3953" t="s">
        <v>84</v>
      </c>
      <c r="G3953" t="s">
        <v>85</v>
      </c>
      <c r="I3953" t="s">
        <v>70</v>
      </c>
      <c r="J3953" s="15" t="s">
        <v>68</v>
      </c>
      <c r="K3953" s="2" t="s">
        <v>69</v>
      </c>
      <c r="L3953" t="s">
        <v>71</v>
      </c>
      <c r="M3953" t="s">
        <v>72</v>
      </c>
    </row>
    <row r="3954" spans="1:13">
      <c r="A3954" t="s">
        <v>126</v>
      </c>
      <c r="B3954" s="1">
        <v>44161.139988425923</v>
      </c>
      <c r="C3954" s="1">
        <v>44161.955451388887</v>
      </c>
      <c r="D3954" s="2">
        <f>MAX((TimeEntries912922[[#This Row],[End time]]-TimeEntries912922[[#This Row],[Start time]])*24,0)</f>
        <v>19.571111111145001</v>
      </c>
      <c r="F3954" s="54" t="s">
        <v>184</v>
      </c>
      <c r="G3954" s="22" t="s">
        <v>185</v>
      </c>
      <c r="I3954" t="s">
        <v>126</v>
      </c>
      <c r="J3954" s="15">
        <v>0.05</v>
      </c>
      <c r="K3954" s="2">
        <v>6.6196727752685547</v>
      </c>
      <c r="L3954" s="2">
        <f>SUM(TimeEntries912922[Time delta in h])</f>
        <v>19.571111111145001</v>
      </c>
      <c r="M3954" s="16">
        <f>Tabelle7367913923[[#This Row],[EBS self time]]/Tabelle7367913923[[#This Row],[Total time]]</f>
        <v>0.33823694207626792</v>
      </c>
    </row>
    <row r="3955" spans="1:13">
      <c r="B3955" s="1"/>
      <c r="C3955" s="1"/>
      <c r="D3955" s="2"/>
      <c r="I3955" t="s">
        <v>127</v>
      </c>
      <c r="J3955" s="15">
        <v>0.2</v>
      </c>
      <c r="K3955" s="2">
        <v>6.6196727752685547</v>
      </c>
      <c r="L3955" s="2">
        <f>SUM(TimeEntries912922[Time delta in h])</f>
        <v>19.571111111145001</v>
      </c>
      <c r="M3955" s="16">
        <f>Tabelle7367913923[[#This Row],[EBS self time]]/Tabelle7367913923[[#This Row],[Total time]]</f>
        <v>0.33823694207626792</v>
      </c>
    </row>
    <row r="3956" spans="1:13">
      <c r="I3956" t="s">
        <v>169</v>
      </c>
      <c r="J3956" s="15">
        <v>0.35</v>
      </c>
      <c r="K3956" s="2">
        <v>6.6196727752685547</v>
      </c>
      <c r="L3956" s="2">
        <f>SUM(TimeEntries912922[Time delta in h])</f>
        <v>19.571111111145001</v>
      </c>
      <c r="M3956" s="16">
        <f>Tabelle7367913923[[#This Row],[EBS self time]]/Tabelle7367913923[[#This Row],[Total time]]</f>
        <v>0.33823694207626792</v>
      </c>
    </row>
    <row r="3957" spans="1:13">
      <c r="I3957" t="s">
        <v>172</v>
      </c>
      <c r="J3957" s="15">
        <v>0.5</v>
      </c>
      <c r="K3957" s="2">
        <v>6.6196727752685547</v>
      </c>
      <c r="L3957" s="2">
        <f>SUM(TimeEntries912922[Time delta in h])</f>
        <v>19.571111111145001</v>
      </c>
      <c r="M3957" s="16">
        <f>Tabelle7367913923[[#This Row],[EBS self time]]/Tabelle7367913923[[#This Row],[Total time]]</f>
        <v>0.33823694207626792</v>
      </c>
    </row>
    <row r="3958" spans="1:13">
      <c r="I3958" t="s">
        <v>187</v>
      </c>
      <c r="J3958" s="15">
        <v>0.65</v>
      </c>
      <c r="K3958" s="2">
        <v>14.710811572481502</v>
      </c>
      <c r="L3958" s="2">
        <f>SUM(TimeEntries912922[Time delta in h])</f>
        <v>19.571111111145001</v>
      </c>
      <c r="M3958" s="16">
        <f>Tabelle7367913923[[#This Row],[EBS self time]]/Tabelle7367913923[[#This Row],[Total time]]</f>
        <v>0.75165949899003215</v>
      </c>
    </row>
    <row r="3959" spans="1:13">
      <c r="I3959" t="s">
        <v>192</v>
      </c>
      <c r="J3959" s="15">
        <v>0.8</v>
      </c>
      <c r="K3959" s="2">
        <v>25.657646415769591</v>
      </c>
      <c r="L3959" s="2">
        <f>SUM(TimeEntries912922[Time delta in h])</f>
        <v>19.571111111145001</v>
      </c>
      <c r="M3959" s="16">
        <f>Tabelle7367913923[[#This Row],[EBS self time]]/Tabelle7367913923[[#This Row],[Total time]]</f>
        <v>1.3109958995204181</v>
      </c>
    </row>
    <row r="3960" spans="1:13">
      <c r="I3960" t="s">
        <v>193</v>
      </c>
      <c r="J3960" s="15">
        <v>0.95</v>
      </c>
      <c r="K3960" s="2">
        <v>25.657646415769591</v>
      </c>
      <c r="L3960" s="2">
        <f>SUM(TimeEntries912922[Time delta in h])</f>
        <v>19.571111111145001</v>
      </c>
      <c r="M3960" s="16">
        <f>Tabelle7367913923[[#This Row],[EBS self time]]/Tabelle7367913923[[#This Row],[Total time]]</f>
        <v>1.3109958995204181</v>
      </c>
    </row>
    <row r="3962" spans="1:13">
      <c r="A3962" t="s">
        <v>189</v>
      </c>
      <c r="B3962" t="s">
        <v>690</v>
      </c>
      <c r="C3962" t="s">
        <v>190</v>
      </c>
      <c r="D3962">
        <v>23</v>
      </c>
      <c r="E3962" t="s">
        <v>191</v>
      </c>
      <c r="F3962">
        <v>13</v>
      </c>
    </row>
    <row r="3963" spans="1:13">
      <c r="A3963" s="4" t="s">
        <v>24</v>
      </c>
      <c r="I3963" t="s">
        <v>135</v>
      </c>
      <c r="J3963" t="s">
        <v>136</v>
      </c>
    </row>
    <row r="3964" spans="1:13">
      <c r="A3964" t="s">
        <v>3</v>
      </c>
      <c r="B3964" t="s">
        <v>692</v>
      </c>
    </row>
    <row r="3965" spans="1:13">
      <c r="A3965" t="s">
        <v>77</v>
      </c>
      <c r="B3965" s="2">
        <v>5.751011848449707</v>
      </c>
      <c r="C3965" t="s">
        <v>4</v>
      </c>
    </row>
    <row r="3966" spans="1:13">
      <c r="A3966" t="s">
        <v>0</v>
      </c>
      <c r="B3966" s="2">
        <f>SUM(TimeEntries914924[Time delta in h])</f>
        <v>11.299999999988358</v>
      </c>
      <c r="C3966" t="s">
        <v>4</v>
      </c>
    </row>
    <row r="3967" spans="1:13">
      <c r="A3967" t="s">
        <v>13</v>
      </c>
      <c r="B3967" s="5" t="s">
        <v>92</v>
      </c>
    </row>
    <row r="3968" spans="1:13">
      <c r="A3968" t="s">
        <v>14</v>
      </c>
      <c r="B3968" s="5" t="s">
        <v>18</v>
      </c>
    </row>
    <row r="3969" spans="1:13">
      <c r="A3969" t="s">
        <v>1</v>
      </c>
      <c r="B3969" t="s">
        <v>91</v>
      </c>
    </row>
    <row r="3970" spans="1:13">
      <c r="A3970" t="s">
        <v>15</v>
      </c>
      <c r="B3970" s="5" t="s">
        <v>92</v>
      </c>
    </row>
    <row r="3971" spans="1:13">
      <c r="A3971" t="s">
        <v>2</v>
      </c>
    </row>
    <row r="3972" spans="1:13">
      <c r="A3972" t="s">
        <v>46</v>
      </c>
      <c r="B3972" t="s">
        <v>690</v>
      </c>
    </row>
    <row r="3973" spans="1:13">
      <c r="A3973" t="s">
        <v>5</v>
      </c>
      <c r="B3973" s="2">
        <f>B3965/SUM(TimeEntries914924[Time delta in h])</f>
        <v>0.50893910163324174</v>
      </c>
      <c r="C3973" t="s">
        <v>6</v>
      </c>
    </row>
    <row r="3974" spans="1:13">
      <c r="A3974" t="s">
        <v>93</v>
      </c>
    </row>
    <row r="3975" spans="1:13">
      <c r="A3975" t="s">
        <v>94</v>
      </c>
    </row>
    <row r="3976" spans="1:13">
      <c r="A3976" t="s">
        <v>129</v>
      </c>
      <c r="B3976" s="1">
        <v>44161.955462962964</v>
      </c>
    </row>
    <row r="3978" spans="1:13">
      <c r="A3978" t="s">
        <v>10</v>
      </c>
      <c r="B3978" t="s">
        <v>7</v>
      </c>
      <c r="C3978" t="s">
        <v>8</v>
      </c>
      <c r="D3978" t="s">
        <v>9</v>
      </c>
      <c r="E3978" t="s">
        <v>134</v>
      </c>
      <c r="F3978" t="s">
        <v>84</v>
      </c>
      <c r="G3978" t="s">
        <v>85</v>
      </c>
      <c r="I3978" t="s">
        <v>70</v>
      </c>
      <c r="J3978" s="15" t="s">
        <v>68</v>
      </c>
      <c r="K3978" s="2" t="s">
        <v>69</v>
      </c>
      <c r="L3978" t="s">
        <v>71</v>
      </c>
      <c r="M3978" t="s">
        <v>72</v>
      </c>
    </row>
    <row r="3979" spans="1:13">
      <c r="A3979" t="s">
        <v>126</v>
      </c>
      <c r="B3979" s="1">
        <v>44161.484629629631</v>
      </c>
      <c r="C3979" s="1">
        <v>44161.955462962964</v>
      </c>
      <c r="D3979" s="2">
        <f>MAX((TimeEntries914924[[#This Row],[End time]]-TimeEntries914924[[#This Row],[Start time]])*24,0)</f>
        <v>11.299999999988358</v>
      </c>
      <c r="F3979" s="54" t="s">
        <v>184</v>
      </c>
      <c r="G3979" s="22" t="s">
        <v>185</v>
      </c>
      <c r="I3979" t="s">
        <v>126</v>
      </c>
      <c r="J3979" s="15">
        <v>0.05</v>
      </c>
      <c r="K3979" s="2">
        <v>2.8755059242248535</v>
      </c>
      <c r="L3979" s="2">
        <f>SUM(TimeEntries914924[Time delta in h])</f>
        <v>11.299999999988358</v>
      </c>
      <c r="M3979" s="16">
        <f>Tabelle7367915925[[#This Row],[EBS self time]]/Tabelle7367915925[[#This Row],[Total time]]</f>
        <v>0.25446955081662087</v>
      </c>
    </row>
    <row r="3980" spans="1:13">
      <c r="B3980" s="1"/>
      <c r="C3980" s="1"/>
      <c r="D3980" s="2"/>
      <c r="I3980" t="s">
        <v>127</v>
      </c>
      <c r="J3980" s="15">
        <v>0.2</v>
      </c>
      <c r="K3980" s="2">
        <v>2.8755059242248535</v>
      </c>
      <c r="L3980" s="2">
        <f>SUM(TimeEntries914924[Time delta in h])</f>
        <v>11.299999999988358</v>
      </c>
      <c r="M3980" s="16">
        <f>Tabelle7367915925[[#This Row],[EBS self time]]/Tabelle7367915925[[#This Row],[Total time]]</f>
        <v>0.25446955081662087</v>
      </c>
    </row>
    <row r="3981" spans="1:13">
      <c r="I3981" t="s">
        <v>169</v>
      </c>
      <c r="J3981" s="15">
        <v>0.35</v>
      </c>
      <c r="K3981" s="2">
        <v>2.8755059242248535</v>
      </c>
      <c r="L3981" s="2">
        <f>SUM(TimeEntries914924[Time delta in h])</f>
        <v>11.299999999988358</v>
      </c>
      <c r="M3981" s="16">
        <f>Tabelle7367915925[[#This Row],[EBS self time]]/Tabelle7367915925[[#This Row],[Total time]]</f>
        <v>0.25446955081662087</v>
      </c>
    </row>
    <row r="3982" spans="1:13">
      <c r="I3982" t="s">
        <v>172</v>
      </c>
      <c r="J3982" s="15">
        <v>0.5</v>
      </c>
      <c r="K3982" s="2">
        <v>2.8755059242248535</v>
      </c>
      <c r="L3982" s="2">
        <f>SUM(TimeEntries914924[Time delta in h])</f>
        <v>11.299999999988358</v>
      </c>
      <c r="M3982" s="16">
        <f>Tabelle7367915925[[#This Row],[EBS self time]]/Tabelle7367915925[[#This Row],[Total time]]</f>
        <v>0.25446955081662087</v>
      </c>
    </row>
    <row r="3983" spans="1:13">
      <c r="I3983" t="s">
        <v>187</v>
      </c>
      <c r="J3983" s="15">
        <v>0.65</v>
      </c>
      <c r="K3983" s="2">
        <v>2.8755059242248535</v>
      </c>
      <c r="L3983" s="2">
        <f>SUM(TimeEntries914924[Time delta in h])</f>
        <v>11.299999999988358</v>
      </c>
      <c r="M3983" s="16">
        <f>Tabelle7367915925[[#This Row],[EBS self time]]/Tabelle7367915925[[#This Row],[Total time]]</f>
        <v>0.25446955081662087</v>
      </c>
    </row>
    <row r="3984" spans="1:13">
      <c r="I3984" t="s">
        <v>192</v>
      </c>
      <c r="J3984" s="15">
        <v>0.8</v>
      </c>
      <c r="K3984" s="2">
        <v>11.145371799321138</v>
      </c>
      <c r="L3984" s="2">
        <f>SUM(TimeEntries914924[Time delta in h])</f>
        <v>11.299999999988358</v>
      </c>
      <c r="M3984" s="16">
        <f>Tabelle7367915925[[#This Row],[EBS self time]]/Tabelle7367915925[[#This Row],[Total time]]</f>
        <v>0.98631608843651508</v>
      </c>
    </row>
    <row r="3985" spans="1:13">
      <c r="I3985" t="s">
        <v>193</v>
      </c>
      <c r="J3985" s="15">
        <v>0.95</v>
      </c>
      <c r="K3985" s="2">
        <v>11.145371799321138</v>
      </c>
      <c r="L3985" s="2">
        <f>SUM(TimeEntries914924[Time delta in h])</f>
        <v>11.299999999988358</v>
      </c>
      <c r="M3985" s="16">
        <f>Tabelle7367915925[[#This Row],[EBS self time]]/Tabelle7367915925[[#This Row],[Total time]]</f>
        <v>0.98631608843651508</v>
      </c>
    </row>
    <row r="3987" spans="1:13">
      <c r="A3987" t="s">
        <v>189</v>
      </c>
      <c r="B3987" t="s">
        <v>693</v>
      </c>
      <c r="C3987" t="s">
        <v>190</v>
      </c>
      <c r="D3987">
        <v>18</v>
      </c>
      <c r="E3987" t="s">
        <v>191</v>
      </c>
      <c r="F3987">
        <v>13</v>
      </c>
    </row>
    <row r="3988" spans="1:13">
      <c r="A3988" s="4" t="s">
        <v>24</v>
      </c>
      <c r="I3988" t="s">
        <v>135</v>
      </c>
      <c r="J3988" t="s">
        <v>136</v>
      </c>
    </row>
    <row r="3989" spans="1:13">
      <c r="A3989" t="s">
        <v>3</v>
      </c>
      <c r="B3989" t="s">
        <v>695</v>
      </c>
    </row>
    <row r="3990" spans="1:13">
      <c r="A3990" t="s">
        <v>77</v>
      </c>
      <c r="B3990" s="2" t="s">
        <v>92</v>
      </c>
      <c r="C3990" t="s">
        <v>4</v>
      </c>
    </row>
    <row r="3991" spans="1:13">
      <c r="A3991" t="s">
        <v>0</v>
      </c>
      <c r="B3991" s="2">
        <f>SUM(TimeEntries916926930940[Time delta in h])</f>
        <v>21.479999999923166</v>
      </c>
      <c r="C3991" t="s">
        <v>4</v>
      </c>
    </row>
    <row r="3992" spans="1:13">
      <c r="A3992" t="s">
        <v>13</v>
      </c>
      <c r="B3992" s="5" t="s">
        <v>92</v>
      </c>
    </row>
    <row r="3993" spans="1:13">
      <c r="A3993" t="s">
        <v>14</v>
      </c>
      <c r="B3993" s="5" t="s">
        <v>18</v>
      </c>
    </row>
    <row r="3994" spans="1:13">
      <c r="A3994" t="s">
        <v>1</v>
      </c>
      <c r="B3994" t="s">
        <v>91</v>
      </c>
    </row>
    <row r="3995" spans="1:13">
      <c r="A3995" t="s">
        <v>15</v>
      </c>
      <c r="B3995" s="5" t="s">
        <v>92</v>
      </c>
    </row>
    <row r="3996" spans="1:13">
      <c r="A3996" t="s">
        <v>2</v>
      </c>
    </row>
    <row r="3997" spans="1:13">
      <c r="A3997" t="s">
        <v>46</v>
      </c>
      <c r="B3997" t="s">
        <v>693</v>
      </c>
    </row>
    <row r="3998" spans="1:13">
      <c r="A3998" t="s">
        <v>5</v>
      </c>
      <c r="B3998" s="2" t="e">
        <f>B3990/SUM(TimeEntries916926930940[Time delta in h])</f>
        <v>#VALUE!</v>
      </c>
      <c r="C3998" t="s">
        <v>6</v>
      </c>
    </row>
    <row r="3999" spans="1:13">
      <c r="A3999" t="s">
        <v>93</v>
      </c>
    </row>
    <row r="4000" spans="1:13">
      <c r="A4000" t="s">
        <v>94</v>
      </c>
    </row>
    <row r="4001" spans="1:13">
      <c r="A4001" t="s">
        <v>129</v>
      </c>
      <c r="B4001" s="1">
        <v>44161.955474537041</v>
      </c>
    </row>
    <row r="4003" spans="1:13">
      <c r="A4003" t="s">
        <v>10</v>
      </c>
      <c r="B4003" t="s">
        <v>7</v>
      </c>
      <c r="C4003" t="s">
        <v>8</v>
      </c>
      <c r="D4003" t="s">
        <v>9</v>
      </c>
      <c r="E4003" t="s">
        <v>134</v>
      </c>
      <c r="F4003" t="s">
        <v>84</v>
      </c>
      <c r="G4003" t="s">
        <v>85</v>
      </c>
      <c r="I4003" t="s">
        <v>70</v>
      </c>
      <c r="J4003" s="15" t="s">
        <v>68</v>
      </c>
      <c r="K4003" s="2" t="s">
        <v>69</v>
      </c>
      <c r="L4003" t="s">
        <v>71</v>
      </c>
      <c r="M4003" t="s">
        <v>72</v>
      </c>
    </row>
    <row r="4004" spans="1:13">
      <c r="A4004" t="s">
        <v>126</v>
      </c>
      <c r="B4004" s="1">
        <v>44161.060601851852</v>
      </c>
      <c r="C4004" s="1">
        <v>44161.955601851849</v>
      </c>
      <c r="D4004" s="2">
        <f>MAX((TimeEntries916926930940[[#This Row],[End time]]-TimeEntries916926930940[[#This Row],[Start time]])*24,0)</f>
        <v>21.479999999923166</v>
      </c>
      <c r="F4004" s="54" t="s">
        <v>184</v>
      </c>
      <c r="G4004" s="22" t="s">
        <v>185</v>
      </c>
      <c r="J4004" s="15"/>
      <c r="K4004" s="2"/>
      <c r="L4004" s="2">
        <f>SUM(TimeEntries916926930940[Time delta in h])</f>
        <v>21.479999999923166</v>
      </c>
      <c r="M4004" s="16">
        <f>Tabelle7367917927931941[[#This Row],[EBS self time]]/Tabelle7367917927931941[[#This Row],[Total time]]</f>
        <v>0</v>
      </c>
    </row>
    <row r="4005" spans="1:13">
      <c r="B4005" s="1"/>
      <c r="C4005" s="1"/>
      <c r="D4005" s="2"/>
    </row>
    <row r="4007" spans="1:13">
      <c r="A4007" t="s">
        <v>189</v>
      </c>
      <c r="B4007" t="s">
        <v>696</v>
      </c>
      <c r="C4007" t="s">
        <v>190</v>
      </c>
      <c r="D4007">
        <v>23</v>
      </c>
      <c r="E4007" t="s">
        <v>191</v>
      </c>
      <c r="F4007">
        <v>13</v>
      </c>
    </row>
    <row r="4008" spans="1:13">
      <c r="A4008" s="4" t="s">
        <v>24</v>
      </c>
      <c r="I4008" t="s">
        <v>135</v>
      </c>
      <c r="J4008" t="s">
        <v>136</v>
      </c>
    </row>
    <row r="4009" spans="1:13">
      <c r="A4009" t="s">
        <v>3</v>
      </c>
      <c r="B4009" t="s">
        <v>698</v>
      </c>
    </row>
    <row r="4010" spans="1:13">
      <c r="A4010" t="s">
        <v>77</v>
      </c>
      <c r="B4010" s="2">
        <v>12.418737411499023</v>
      </c>
      <c r="C4010" t="s">
        <v>4</v>
      </c>
    </row>
    <row r="4011" spans="1:13">
      <c r="A4011" t="s">
        <v>0</v>
      </c>
      <c r="B4011" s="2">
        <f>SUM(TimeEntries932942[Time delta in h])</f>
        <v>18.451944444444962</v>
      </c>
      <c r="C4011" t="s">
        <v>4</v>
      </c>
    </row>
    <row r="4012" spans="1:13">
      <c r="A4012" t="s">
        <v>13</v>
      </c>
      <c r="B4012" s="5" t="s">
        <v>92</v>
      </c>
    </row>
    <row r="4013" spans="1:13">
      <c r="A4013" t="s">
        <v>14</v>
      </c>
      <c r="B4013" s="5" t="s">
        <v>18</v>
      </c>
    </row>
    <row r="4014" spans="1:13">
      <c r="A4014" t="s">
        <v>1</v>
      </c>
      <c r="B4014" t="s">
        <v>91</v>
      </c>
    </row>
    <row r="4015" spans="1:13">
      <c r="A4015" t="s">
        <v>15</v>
      </c>
      <c r="B4015" s="5" t="s">
        <v>92</v>
      </c>
    </row>
    <row r="4016" spans="1:13">
      <c r="A4016" t="s">
        <v>2</v>
      </c>
    </row>
    <row r="4017" spans="1:13">
      <c r="A4017" t="s">
        <v>46</v>
      </c>
      <c r="B4017" t="s">
        <v>696</v>
      </c>
    </row>
    <row r="4018" spans="1:13">
      <c r="A4018" t="s">
        <v>5</v>
      </c>
      <c r="B4018" s="2">
        <f>B4010/SUM(TimeEntries932942[Time delta in h])</f>
        <v>0.67303136798884833</v>
      </c>
      <c r="C4018" t="s">
        <v>6</v>
      </c>
    </row>
    <row r="4019" spans="1:13">
      <c r="A4019" t="s">
        <v>93</v>
      </c>
    </row>
    <row r="4020" spans="1:13">
      <c r="A4020" t="s">
        <v>94</v>
      </c>
    </row>
    <row r="4021" spans="1:13">
      <c r="A4021" t="s">
        <v>129</v>
      </c>
      <c r="B4021" s="1">
        <v>44161.955613425926</v>
      </c>
    </row>
    <row r="4023" spans="1:13">
      <c r="A4023" t="s">
        <v>10</v>
      </c>
      <c r="B4023" t="s">
        <v>7</v>
      </c>
      <c r="C4023" t="s">
        <v>8</v>
      </c>
      <c r="D4023" t="s">
        <v>9</v>
      </c>
      <c r="E4023" t="s">
        <v>134</v>
      </c>
      <c r="F4023" t="s">
        <v>84</v>
      </c>
      <c r="G4023" t="s">
        <v>85</v>
      </c>
      <c r="I4023" t="s">
        <v>70</v>
      </c>
      <c r="J4023" s="15" t="s">
        <v>68</v>
      </c>
      <c r="K4023" s="2" t="s">
        <v>69</v>
      </c>
      <c r="L4023" t="s">
        <v>71</v>
      </c>
      <c r="M4023" t="s">
        <v>72</v>
      </c>
    </row>
    <row r="4024" spans="1:13">
      <c r="A4024" t="s">
        <v>126</v>
      </c>
      <c r="B4024" s="1">
        <v>44161.186793981484</v>
      </c>
      <c r="C4024" s="1">
        <v>44161.955625000002</v>
      </c>
      <c r="D4024" s="2">
        <f>MAX((TimeEntries932942[[#This Row],[End time]]-TimeEntries932942[[#This Row],[Start time]])*24,0)</f>
        <v>18.451944444444962</v>
      </c>
      <c r="F4024" s="54" t="s">
        <v>184</v>
      </c>
      <c r="G4024" s="22" t="s">
        <v>185</v>
      </c>
      <c r="I4024" t="s">
        <v>126</v>
      </c>
      <c r="J4024" s="15">
        <v>0.05</v>
      </c>
      <c r="K4024" s="2">
        <v>6.2093687057495117</v>
      </c>
      <c r="L4024" s="2">
        <f>SUM(TimeEntries932942[Time delta in h])</f>
        <v>18.451944444444962</v>
      </c>
      <c r="M4024" s="16">
        <f>Tabelle7367933943[[#This Row],[EBS self time]]/Tabelle7367933943[[#This Row],[Total time]]</f>
        <v>0.33651568399442416</v>
      </c>
    </row>
    <row r="4025" spans="1:13">
      <c r="B4025" s="1"/>
      <c r="C4025" s="1"/>
      <c r="D4025" s="2"/>
      <c r="I4025" t="s">
        <v>127</v>
      </c>
      <c r="J4025" s="15">
        <v>0.2</v>
      </c>
      <c r="K4025" s="2">
        <v>6.2093687057495117</v>
      </c>
      <c r="L4025" s="2">
        <f>SUM(TimeEntries932942[Time delta in h])</f>
        <v>18.451944444444962</v>
      </c>
      <c r="M4025" s="16">
        <f>Tabelle7367933943[[#This Row],[EBS self time]]/Tabelle7367933943[[#This Row],[Total time]]</f>
        <v>0.33651568399442416</v>
      </c>
    </row>
    <row r="4026" spans="1:13">
      <c r="I4026" t="s">
        <v>169</v>
      </c>
      <c r="J4026" s="15">
        <v>0.35</v>
      </c>
      <c r="K4026" s="2">
        <v>6.2093687057495117</v>
      </c>
      <c r="L4026" s="2">
        <f>SUM(TimeEntries932942[Time delta in h])</f>
        <v>18.451944444444962</v>
      </c>
      <c r="M4026" s="16">
        <f>Tabelle7367933943[[#This Row],[EBS self time]]/Tabelle7367933943[[#This Row],[Total time]]</f>
        <v>0.33651568399442416</v>
      </c>
    </row>
    <row r="4027" spans="1:13">
      <c r="I4027" t="s">
        <v>172</v>
      </c>
      <c r="J4027" s="15">
        <v>0.5</v>
      </c>
      <c r="K4027" s="2">
        <v>6.2093687057495117</v>
      </c>
      <c r="L4027" s="2">
        <f>SUM(TimeEntries932942[Time delta in h])</f>
        <v>18.451944444444962</v>
      </c>
      <c r="M4027" s="16">
        <f>Tabelle7367933943[[#This Row],[EBS self time]]/Tabelle7367933943[[#This Row],[Total time]]</f>
        <v>0.33651568399442416</v>
      </c>
    </row>
    <row r="4028" spans="1:13">
      <c r="I4028" t="s">
        <v>187</v>
      </c>
      <c r="J4028" s="15">
        <v>0.65</v>
      </c>
      <c r="K4028" s="2">
        <v>6.2093687057495117</v>
      </c>
      <c r="L4028" s="2">
        <f>SUM(TimeEntries932942[Time delta in h])</f>
        <v>18.451944444444962</v>
      </c>
      <c r="M4028" s="16">
        <f>Tabelle7367933943[[#This Row],[EBS self time]]/Tabelle7367933943[[#This Row],[Total time]]</f>
        <v>0.33651568399442416</v>
      </c>
    </row>
    <row r="4029" spans="1:13">
      <c r="I4029" t="s">
        <v>192</v>
      </c>
      <c r="J4029" s="15">
        <v>0.8</v>
      </c>
      <c r="K4029" s="2">
        <v>24.067320564920589</v>
      </c>
      <c r="L4029" s="2">
        <f>SUM(TimeEntries932942[Time delta in h])</f>
        <v>18.451944444444962</v>
      </c>
      <c r="M4029" s="16">
        <f>Tabelle7367933943[[#This Row],[EBS self time]]/Tabelle7367933943[[#This Row],[Total time]]</f>
        <v>1.3043243565675358</v>
      </c>
    </row>
    <row r="4030" spans="1:13">
      <c r="I4030" t="s">
        <v>193</v>
      </c>
      <c r="J4030" s="15">
        <v>0.95</v>
      </c>
      <c r="K4030" s="2">
        <v>24.067320564920589</v>
      </c>
      <c r="L4030" s="2">
        <f>SUM(TimeEntries932942[Time delta in h])</f>
        <v>18.451944444444962</v>
      </c>
      <c r="M4030" s="16">
        <f>Tabelle7367933943[[#This Row],[EBS self time]]/Tabelle7367933943[[#This Row],[Total time]]</f>
        <v>1.3043243565675358</v>
      </c>
    </row>
    <row r="4032" spans="1:13">
      <c r="A4032" t="s">
        <v>189</v>
      </c>
      <c r="B4032" t="s">
        <v>699</v>
      </c>
      <c r="C4032" t="s">
        <v>190</v>
      </c>
      <c r="D4032">
        <v>18</v>
      </c>
      <c r="E4032" t="s">
        <v>191</v>
      </c>
      <c r="F4032">
        <v>13</v>
      </c>
    </row>
    <row r="4033" spans="1:13">
      <c r="A4033" s="4" t="s">
        <v>24</v>
      </c>
      <c r="I4033" t="s">
        <v>135</v>
      </c>
      <c r="J4033" t="s">
        <v>136</v>
      </c>
    </row>
    <row r="4034" spans="1:13">
      <c r="A4034" t="s">
        <v>3</v>
      </c>
      <c r="B4034" t="s">
        <v>701</v>
      </c>
    </row>
    <row r="4035" spans="1:13">
      <c r="A4035" t="s">
        <v>77</v>
      </c>
      <c r="B4035" s="2" t="s">
        <v>92</v>
      </c>
      <c r="C4035" t="s">
        <v>4</v>
      </c>
    </row>
    <row r="4036" spans="1:13">
      <c r="A4036" t="s">
        <v>0</v>
      </c>
      <c r="B4036" s="2">
        <f>SUM(TimeEntries934944[Time delta in h])</f>
        <v>4.9194444443564862</v>
      </c>
      <c r="C4036" t="s">
        <v>4</v>
      </c>
    </row>
    <row r="4037" spans="1:13">
      <c r="A4037" t="s">
        <v>13</v>
      </c>
      <c r="B4037" s="5" t="s">
        <v>92</v>
      </c>
    </row>
    <row r="4038" spans="1:13">
      <c r="A4038" t="s">
        <v>14</v>
      </c>
      <c r="B4038" s="5" t="s">
        <v>18</v>
      </c>
    </row>
    <row r="4039" spans="1:13">
      <c r="A4039" t="s">
        <v>1</v>
      </c>
      <c r="B4039" t="s">
        <v>131</v>
      </c>
    </row>
    <row r="4040" spans="1:13">
      <c r="A4040" t="s">
        <v>15</v>
      </c>
      <c r="B4040" s="5">
        <v>44161.955636574072</v>
      </c>
    </row>
    <row r="4041" spans="1:13">
      <c r="A4041" t="s">
        <v>2</v>
      </c>
    </row>
    <row r="4042" spans="1:13">
      <c r="A4042" t="s">
        <v>46</v>
      </c>
      <c r="B4042" t="s">
        <v>699</v>
      </c>
    </row>
    <row r="4043" spans="1:13">
      <c r="A4043" t="s">
        <v>5</v>
      </c>
      <c r="B4043" s="2" t="e">
        <f>B4035/SUM(TimeEntries934944[Time delta in h])</f>
        <v>#VALUE!</v>
      </c>
      <c r="C4043" t="s">
        <v>6</v>
      </c>
    </row>
    <row r="4044" spans="1:13">
      <c r="A4044" t="s">
        <v>93</v>
      </c>
    </row>
    <row r="4045" spans="1:13">
      <c r="A4045" t="s">
        <v>94</v>
      </c>
    </row>
    <row r="4046" spans="1:13">
      <c r="A4046" t="s">
        <v>129</v>
      </c>
      <c r="B4046" s="1">
        <v>44161.955636574072</v>
      </c>
    </row>
    <row r="4048" spans="1:13">
      <c r="A4048" t="s">
        <v>10</v>
      </c>
      <c r="B4048" t="s">
        <v>7</v>
      </c>
      <c r="C4048" t="s">
        <v>8</v>
      </c>
      <c r="D4048" t="s">
        <v>9</v>
      </c>
      <c r="E4048" t="s">
        <v>134</v>
      </c>
      <c r="F4048" t="s">
        <v>84</v>
      </c>
      <c r="G4048" t="s">
        <v>85</v>
      </c>
      <c r="I4048" t="s">
        <v>70</v>
      </c>
      <c r="J4048" s="15" t="s">
        <v>68</v>
      </c>
      <c r="K4048" s="2" t="s">
        <v>69</v>
      </c>
      <c r="L4048" t="s">
        <v>71</v>
      </c>
      <c r="M4048" t="s">
        <v>72</v>
      </c>
    </row>
    <row r="4049" spans="1:13">
      <c r="A4049" t="s">
        <v>126</v>
      </c>
      <c r="B4049" s="1">
        <v>44161.750659722224</v>
      </c>
      <c r="C4049" s="1">
        <v>44161.955636574072</v>
      </c>
      <c r="D4049" s="2">
        <f>MAX((TimeEntries934944[[#This Row],[End time]]-TimeEntries934944[[#This Row],[Start time]])*24,0)</f>
        <v>4.9194444443564862</v>
      </c>
      <c r="F4049" s="54" t="s">
        <v>184</v>
      </c>
      <c r="G4049" s="22" t="s">
        <v>185</v>
      </c>
      <c r="J4049" s="15"/>
      <c r="K4049" s="2"/>
      <c r="L4049" s="2">
        <f>SUM(TimeEntries934944[Time delta in h])</f>
        <v>4.9194444443564862</v>
      </c>
      <c r="M4049" s="16">
        <f>Tabelle7367935945[[#This Row],[EBS self time]]/Tabelle7367935945[[#This Row],[Total time]]</f>
        <v>0</v>
      </c>
    </row>
    <row r="4050" spans="1:13">
      <c r="B4050" s="1"/>
      <c r="C4050" s="1"/>
      <c r="D4050" s="2"/>
    </row>
    <row r="4052" spans="1:13">
      <c r="A4052" t="s">
        <v>189</v>
      </c>
      <c r="B4052" t="s">
        <v>702</v>
      </c>
      <c r="C4052" t="s">
        <v>190</v>
      </c>
      <c r="D4052">
        <v>23</v>
      </c>
      <c r="E4052" t="s">
        <v>191</v>
      </c>
      <c r="F4052">
        <v>13</v>
      </c>
    </row>
    <row r="4053" spans="1:13">
      <c r="A4053" s="4" t="s">
        <v>24</v>
      </c>
      <c r="I4053" t="s">
        <v>135</v>
      </c>
      <c r="J4053" t="s">
        <v>136</v>
      </c>
    </row>
    <row r="4054" spans="1:13">
      <c r="A4054" t="s">
        <v>3</v>
      </c>
      <c r="B4054" t="s">
        <v>704</v>
      </c>
    </row>
    <row r="4055" spans="1:13">
      <c r="A4055" t="s">
        <v>77</v>
      </c>
      <c r="B4055" s="2">
        <v>1.6008100509643555</v>
      </c>
      <c r="C4055" t="s">
        <v>4</v>
      </c>
    </row>
    <row r="4056" spans="1:13">
      <c r="A4056" t="s">
        <v>0</v>
      </c>
      <c r="B4056" s="2">
        <f>SUM(TimeEntries936946[Time delta in h])</f>
        <v>12.525277777807787</v>
      </c>
      <c r="C4056" t="s">
        <v>4</v>
      </c>
    </row>
    <row r="4057" spans="1:13">
      <c r="A4057" t="s">
        <v>13</v>
      </c>
      <c r="B4057" s="5" t="s">
        <v>92</v>
      </c>
    </row>
    <row r="4058" spans="1:13">
      <c r="A4058" t="s">
        <v>14</v>
      </c>
      <c r="B4058" s="5" t="s">
        <v>18</v>
      </c>
    </row>
    <row r="4059" spans="1:13">
      <c r="A4059" t="s">
        <v>1</v>
      </c>
      <c r="B4059" t="s">
        <v>91</v>
      </c>
    </row>
    <row r="4060" spans="1:13">
      <c r="A4060" t="s">
        <v>15</v>
      </c>
      <c r="B4060" s="5" t="s">
        <v>92</v>
      </c>
    </row>
    <row r="4061" spans="1:13">
      <c r="A4061" t="s">
        <v>2</v>
      </c>
    </row>
    <row r="4062" spans="1:13">
      <c r="A4062" t="s">
        <v>46</v>
      </c>
      <c r="B4062" t="s">
        <v>702</v>
      </c>
    </row>
    <row r="4063" spans="1:13">
      <c r="A4063" t="s">
        <v>5</v>
      </c>
      <c r="B4063" s="2">
        <f>B4055/SUM(TimeEntries936946[Time delta in h])</f>
        <v>0.12780635123323661</v>
      </c>
      <c r="C4063" t="s">
        <v>6</v>
      </c>
    </row>
    <row r="4064" spans="1:13">
      <c r="A4064" t="s">
        <v>93</v>
      </c>
    </row>
    <row r="4065" spans="1:13">
      <c r="A4065" t="s">
        <v>94</v>
      </c>
    </row>
    <row r="4066" spans="1:13">
      <c r="A4066" t="s">
        <v>129</v>
      </c>
      <c r="B4066" s="1">
        <v>44161.955648148149</v>
      </c>
    </row>
    <row r="4068" spans="1:13">
      <c r="A4068" t="s">
        <v>10</v>
      </c>
      <c r="B4068" t="s">
        <v>7</v>
      </c>
      <c r="C4068" t="s">
        <v>8</v>
      </c>
      <c r="D4068" t="s">
        <v>9</v>
      </c>
      <c r="E4068" t="s">
        <v>134</v>
      </c>
      <c r="F4068" t="s">
        <v>84</v>
      </c>
      <c r="G4068" t="s">
        <v>85</v>
      </c>
      <c r="I4068" t="s">
        <v>70</v>
      </c>
      <c r="J4068" s="15" t="s">
        <v>68</v>
      </c>
      <c r="K4068" s="2" t="s">
        <v>69</v>
      </c>
      <c r="L4068" t="s">
        <v>71</v>
      </c>
      <c r="M4068" t="s">
        <v>72</v>
      </c>
    </row>
    <row r="4069" spans="1:13">
      <c r="A4069" t="s">
        <v>126</v>
      </c>
      <c r="B4069" s="1">
        <v>44161.43377314815</v>
      </c>
      <c r="C4069" s="1">
        <v>44161.955659722225</v>
      </c>
      <c r="D4069" s="2">
        <f>MAX((TimeEntries936946[[#This Row],[End time]]-TimeEntries936946[[#This Row],[Start time]])*24,0)</f>
        <v>12.525277777807787</v>
      </c>
      <c r="F4069" s="54" t="s">
        <v>184</v>
      </c>
      <c r="G4069" s="22" t="s">
        <v>185</v>
      </c>
      <c r="I4069" t="s">
        <v>126</v>
      </c>
      <c r="J4069" s="15">
        <v>0.05</v>
      </c>
      <c r="K4069" s="2">
        <v>0.80040502548217773</v>
      </c>
      <c r="L4069" s="2">
        <f>SUM(TimeEntries936946[Time delta in h])</f>
        <v>12.525277777807787</v>
      </c>
      <c r="M4069" s="16">
        <f>Tabelle7367937947[[#This Row],[EBS self time]]/Tabelle7367937947[[#This Row],[Total time]]</f>
        <v>6.3903175616618305E-2</v>
      </c>
    </row>
    <row r="4070" spans="1:13">
      <c r="B4070" s="1"/>
      <c r="C4070" s="1"/>
      <c r="D4070" s="2"/>
      <c r="I4070" t="s">
        <v>127</v>
      </c>
      <c r="J4070" s="15">
        <v>0.2</v>
      </c>
      <c r="K4070" s="2">
        <v>0.80040502548217773</v>
      </c>
      <c r="L4070" s="2">
        <f>SUM(TimeEntries936946[Time delta in h])</f>
        <v>12.525277777807787</v>
      </c>
      <c r="M4070" s="16">
        <f>Tabelle7367937947[[#This Row],[EBS self time]]/Tabelle7367937947[[#This Row],[Total time]]</f>
        <v>6.3903175616618305E-2</v>
      </c>
    </row>
    <row r="4071" spans="1:13">
      <c r="I4071" t="s">
        <v>169</v>
      </c>
      <c r="J4071" s="15">
        <v>0.35</v>
      </c>
      <c r="K4071" s="2">
        <v>0.80040502548217773</v>
      </c>
      <c r="L4071" s="2">
        <f>SUM(TimeEntries936946[Time delta in h])</f>
        <v>12.525277777807787</v>
      </c>
      <c r="M4071" s="16">
        <f>Tabelle7367937947[[#This Row],[EBS self time]]/Tabelle7367937947[[#This Row],[Total time]]</f>
        <v>6.3903175616618305E-2</v>
      </c>
    </row>
    <row r="4072" spans="1:13">
      <c r="I4072" t="s">
        <v>172</v>
      </c>
      <c r="J4072" s="15">
        <v>0.5</v>
      </c>
      <c r="K4072" s="2">
        <v>0.80040502548217773</v>
      </c>
      <c r="L4072" s="2">
        <f>SUM(TimeEntries936946[Time delta in h])</f>
        <v>12.525277777807787</v>
      </c>
      <c r="M4072" s="16">
        <f>Tabelle7367937947[[#This Row],[EBS self time]]/Tabelle7367937947[[#This Row],[Total time]]</f>
        <v>6.3903175616618305E-2</v>
      </c>
    </row>
    <row r="4073" spans="1:13">
      <c r="I4073" t="s">
        <v>187</v>
      </c>
      <c r="J4073" s="15">
        <v>0.65</v>
      </c>
      <c r="K4073" s="2">
        <v>1.7787295401558403</v>
      </c>
      <c r="L4073" s="2">
        <f>SUM(TimeEntries936946[Time delta in h])</f>
        <v>12.525277777807787</v>
      </c>
      <c r="M4073" s="16">
        <f>Tabelle7367937947[[#This Row],[EBS self time]]/Tabelle7367937947[[#This Row],[Total time]]</f>
        <v>0.14201118503793847</v>
      </c>
    </row>
    <row r="4074" spans="1:13">
      <c r="I4074" t="s">
        <v>192</v>
      </c>
      <c r="J4074" s="15">
        <v>0.8</v>
      </c>
      <c r="K4074" s="2">
        <v>3.1023450600084406</v>
      </c>
      <c r="L4074" s="2">
        <f>SUM(TimeEntries936946[Time delta in h])</f>
        <v>12.525277777807787</v>
      </c>
      <c r="M4074" s="16">
        <f>Tabelle7367937947[[#This Row],[EBS self time]]/Tabelle7367937947[[#This Row],[Total time]]</f>
        <v>0.24768672719619497</v>
      </c>
    </row>
    <row r="4075" spans="1:13">
      <c r="I4075" t="s">
        <v>193</v>
      </c>
      <c r="J4075" s="15">
        <v>0.95</v>
      </c>
      <c r="K4075" s="2">
        <v>3.1023450600084406</v>
      </c>
      <c r="L4075" s="2">
        <f>SUM(TimeEntries936946[Time delta in h])</f>
        <v>12.525277777807787</v>
      </c>
      <c r="M4075" s="16">
        <f>Tabelle7367937947[[#This Row],[EBS self time]]/Tabelle7367937947[[#This Row],[Total time]]</f>
        <v>0.24768672719619497</v>
      </c>
    </row>
    <row r="4077" spans="1:13">
      <c r="A4077" t="s">
        <v>189</v>
      </c>
      <c r="B4077" t="s">
        <v>705</v>
      </c>
      <c r="C4077" t="s">
        <v>190</v>
      </c>
      <c r="D4077">
        <v>23</v>
      </c>
      <c r="E4077" t="s">
        <v>191</v>
      </c>
      <c r="F4077">
        <v>13</v>
      </c>
    </row>
    <row r="4078" spans="1:13">
      <c r="A4078" s="4" t="s">
        <v>24</v>
      </c>
      <c r="I4078" t="s">
        <v>135</v>
      </c>
      <c r="J4078" t="s">
        <v>136</v>
      </c>
    </row>
    <row r="4079" spans="1:13">
      <c r="A4079" t="s">
        <v>3</v>
      </c>
      <c r="B4079" t="s">
        <v>707</v>
      </c>
    </row>
    <row r="4080" spans="1:13">
      <c r="A4080" t="s">
        <v>77</v>
      </c>
      <c r="B4080" s="2">
        <v>3.14666748046875</v>
      </c>
      <c r="C4080" t="s">
        <v>4</v>
      </c>
    </row>
    <row r="4081" spans="1:13">
      <c r="A4081" t="s">
        <v>0</v>
      </c>
      <c r="B4081" s="2">
        <f>SUM(TimeEntries938948952962[Time delta in h])</f>
        <v>15.947500000067521</v>
      </c>
      <c r="C4081" t="s">
        <v>4</v>
      </c>
    </row>
    <row r="4082" spans="1:13">
      <c r="A4082" t="s">
        <v>13</v>
      </c>
      <c r="B4082" s="5" t="s">
        <v>92</v>
      </c>
    </row>
    <row r="4083" spans="1:13">
      <c r="A4083" t="s">
        <v>14</v>
      </c>
      <c r="B4083" s="5" t="s">
        <v>18</v>
      </c>
    </row>
    <row r="4084" spans="1:13">
      <c r="A4084" t="s">
        <v>1</v>
      </c>
      <c r="B4084" t="s">
        <v>91</v>
      </c>
    </row>
    <row r="4085" spans="1:13">
      <c r="A4085" t="s">
        <v>15</v>
      </c>
      <c r="B4085" s="5" t="s">
        <v>92</v>
      </c>
    </row>
    <row r="4086" spans="1:13">
      <c r="A4086" t="s">
        <v>2</v>
      </c>
    </row>
    <row r="4087" spans="1:13">
      <c r="A4087" t="s">
        <v>46</v>
      </c>
      <c r="B4087" t="s">
        <v>705</v>
      </c>
    </row>
    <row r="4088" spans="1:13">
      <c r="A4088" t="s">
        <v>5</v>
      </c>
      <c r="B4088" s="2">
        <f>B4080/SUM(TimeEntries938948952962[Time delta in h])</f>
        <v>0.19731415459823967</v>
      </c>
      <c r="C4088" t="s">
        <v>6</v>
      </c>
    </row>
    <row r="4089" spans="1:13">
      <c r="A4089" t="s">
        <v>93</v>
      </c>
    </row>
    <row r="4090" spans="1:13">
      <c r="A4090" t="s">
        <v>94</v>
      </c>
    </row>
    <row r="4091" spans="1:13">
      <c r="A4091" t="s">
        <v>129</v>
      </c>
      <c r="B4091" s="1">
        <v>44161.955671296295</v>
      </c>
    </row>
    <row r="4093" spans="1:13">
      <c r="A4093" t="s">
        <v>10</v>
      </c>
      <c r="B4093" t="s">
        <v>7</v>
      </c>
      <c r="C4093" t="s">
        <v>8</v>
      </c>
      <c r="D4093" t="s">
        <v>9</v>
      </c>
      <c r="E4093" t="s">
        <v>134</v>
      </c>
      <c r="F4093" t="s">
        <v>84</v>
      </c>
      <c r="G4093" t="s">
        <v>85</v>
      </c>
      <c r="I4093" t="s">
        <v>70</v>
      </c>
      <c r="J4093" s="15" t="s">
        <v>68</v>
      </c>
      <c r="K4093" s="2" t="s">
        <v>69</v>
      </c>
      <c r="L4093" t="s">
        <v>71</v>
      </c>
      <c r="M4093" t="s">
        <v>72</v>
      </c>
    </row>
    <row r="4094" spans="1:13">
      <c r="A4094" t="s">
        <v>126</v>
      </c>
      <c r="B4094" s="1">
        <v>44161.291261574072</v>
      </c>
      <c r="C4094" s="1">
        <v>44161.955740740741</v>
      </c>
      <c r="D4094" s="2">
        <f>MAX((TimeEntries938948952962[[#This Row],[End time]]-TimeEntries938948952962[[#This Row],[Start time]])*24,0)</f>
        <v>15.947500000067521</v>
      </c>
      <c r="F4094" s="54" t="s">
        <v>184</v>
      </c>
      <c r="G4094" s="22" t="s">
        <v>185</v>
      </c>
      <c r="I4094" t="s">
        <v>126</v>
      </c>
      <c r="J4094" s="15">
        <v>0.05</v>
      </c>
      <c r="K4094" s="2">
        <v>1.573333740234375</v>
      </c>
      <c r="L4094" s="2">
        <f>SUM(TimeEntries938948952962[Time delta in h])</f>
        <v>15.947500000067521</v>
      </c>
      <c r="M4094" s="16">
        <f>Tabelle7367939949953963[[#This Row],[EBS self time]]/Tabelle7367939949953963[[#This Row],[Total time]]</f>
        <v>9.8657077299119836E-2</v>
      </c>
    </row>
    <row r="4095" spans="1:13">
      <c r="B4095" s="1"/>
      <c r="C4095" s="1"/>
      <c r="D4095" s="2"/>
      <c r="I4095" t="s">
        <v>127</v>
      </c>
      <c r="J4095" s="15">
        <v>0.2</v>
      </c>
      <c r="K4095" s="2">
        <v>1.573333740234375</v>
      </c>
      <c r="L4095" s="2">
        <f>SUM(TimeEntries938948952962[Time delta in h])</f>
        <v>15.947500000067521</v>
      </c>
      <c r="M4095" s="16">
        <f>Tabelle7367939949953963[[#This Row],[EBS self time]]/Tabelle7367939949953963[[#This Row],[Total time]]</f>
        <v>9.8657077299119836E-2</v>
      </c>
    </row>
    <row r="4096" spans="1:13">
      <c r="I4096" t="s">
        <v>169</v>
      </c>
      <c r="J4096" s="15">
        <v>0.35</v>
      </c>
      <c r="K4096" s="2">
        <v>1.573333740234375</v>
      </c>
      <c r="L4096" s="2">
        <f>SUM(TimeEntries938948952962[Time delta in h])</f>
        <v>15.947500000067521</v>
      </c>
      <c r="M4096" s="16">
        <f>Tabelle7367939949953963[[#This Row],[EBS self time]]/Tabelle7367939949953963[[#This Row],[Total time]]</f>
        <v>9.8657077299119836E-2</v>
      </c>
    </row>
    <row r="4097" spans="1:13">
      <c r="I4097" t="s">
        <v>172</v>
      </c>
      <c r="J4097" s="15">
        <v>0.5</v>
      </c>
      <c r="K4097" s="2">
        <v>1.573333740234375</v>
      </c>
      <c r="L4097" s="2">
        <f>SUM(TimeEntries938948952962[Time delta in h])</f>
        <v>15.947500000067521</v>
      </c>
      <c r="M4097" s="16">
        <f>Tabelle7367939949953963[[#This Row],[EBS self time]]/Tabelle7367939949953963[[#This Row],[Total time]]</f>
        <v>9.8657077299119836E-2</v>
      </c>
    </row>
    <row r="4098" spans="1:13">
      <c r="I4098" t="s">
        <v>187</v>
      </c>
      <c r="J4098" s="15">
        <v>0.65</v>
      </c>
      <c r="K4098" s="2">
        <v>1.573333740234375</v>
      </c>
      <c r="L4098" s="2">
        <f>SUM(TimeEntries938948952962[Time delta in h])</f>
        <v>15.947500000067521</v>
      </c>
      <c r="M4098" s="16">
        <f>Tabelle7367939949953963[[#This Row],[EBS self time]]/Tabelle7367939949953963[[#This Row],[Total time]]</f>
        <v>9.8657077299119836E-2</v>
      </c>
    </row>
    <row r="4099" spans="1:13">
      <c r="I4099" t="s">
        <v>192</v>
      </c>
      <c r="J4099" s="15">
        <v>0.8</v>
      </c>
      <c r="K4099" s="2">
        <v>6.0981927916061043</v>
      </c>
      <c r="L4099" s="2">
        <f>SUM(TimeEntries938948952962[Time delta in h])</f>
        <v>15.947500000067521</v>
      </c>
      <c r="M4099" s="16">
        <f>Tabelle7367939949953963[[#This Row],[EBS self time]]/Tabelle7367939949953963[[#This Row],[Total time]]</f>
        <v>0.38239177247720862</v>
      </c>
    </row>
    <row r="4100" spans="1:13">
      <c r="I4100" t="s">
        <v>193</v>
      </c>
      <c r="J4100" s="15">
        <v>0.95</v>
      </c>
      <c r="K4100" s="2">
        <v>6.0981927916061043</v>
      </c>
      <c r="L4100" s="2">
        <f>SUM(TimeEntries938948952962[Time delta in h])</f>
        <v>15.947500000067521</v>
      </c>
      <c r="M4100" s="16">
        <f>Tabelle7367939949953963[[#This Row],[EBS self time]]/Tabelle7367939949953963[[#This Row],[Total time]]</f>
        <v>0.38239177247720862</v>
      </c>
    </row>
    <row r="4102" spans="1:13">
      <c r="A4102" t="s">
        <v>189</v>
      </c>
      <c r="B4102" t="s">
        <v>708</v>
      </c>
      <c r="C4102" t="s">
        <v>190</v>
      </c>
      <c r="D4102">
        <v>23</v>
      </c>
      <c r="E4102" t="s">
        <v>191</v>
      </c>
      <c r="F4102">
        <v>13</v>
      </c>
    </row>
    <row r="4103" spans="1:13">
      <c r="A4103" s="4" t="s">
        <v>24</v>
      </c>
      <c r="I4103" t="s">
        <v>135</v>
      </c>
      <c r="J4103" t="s">
        <v>136</v>
      </c>
    </row>
    <row r="4104" spans="1:13">
      <c r="A4104" t="s">
        <v>3</v>
      </c>
      <c r="B4104" t="s">
        <v>710</v>
      </c>
    </row>
    <row r="4105" spans="1:13">
      <c r="A4105" t="s">
        <v>77</v>
      </c>
      <c r="B4105" s="2">
        <v>3.9208612442016602</v>
      </c>
      <c r="C4105" t="s">
        <v>4</v>
      </c>
    </row>
    <row r="4106" spans="1:13">
      <c r="A4106" t="s">
        <v>0</v>
      </c>
      <c r="B4106" s="2">
        <f>SUM(TimeEntries954964[Time delta in h])</f>
        <v>12.257499999948777</v>
      </c>
      <c r="C4106" t="s">
        <v>4</v>
      </c>
    </row>
    <row r="4107" spans="1:13">
      <c r="A4107" t="s">
        <v>13</v>
      </c>
      <c r="B4107" s="5" t="s">
        <v>92</v>
      </c>
    </row>
    <row r="4108" spans="1:13">
      <c r="A4108" t="s">
        <v>14</v>
      </c>
      <c r="B4108" s="5" t="s">
        <v>18</v>
      </c>
    </row>
    <row r="4109" spans="1:13">
      <c r="A4109" t="s">
        <v>1</v>
      </c>
      <c r="B4109" t="s">
        <v>91</v>
      </c>
    </row>
    <row r="4110" spans="1:13">
      <c r="A4110" t="s">
        <v>15</v>
      </c>
      <c r="B4110" s="5" t="s">
        <v>92</v>
      </c>
    </row>
    <row r="4111" spans="1:13">
      <c r="A4111" t="s">
        <v>2</v>
      </c>
    </row>
    <row r="4112" spans="1:13">
      <c r="A4112" t="s">
        <v>46</v>
      </c>
      <c r="B4112" t="s">
        <v>708</v>
      </c>
    </row>
    <row r="4113" spans="1:13">
      <c r="A4113" t="s">
        <v>5</v>
      </c>
      <c r="B4113" s="2">
        <f>B4105/SUM(TimeEntries954964[Time delta in h])</f>
        <v>0.31987446414179443</v>
      </c>
      <c r="C4113" t="s">
        <v>6</v>
      </c>
    </row>
    <row r="4114" spans="1:13">
      <c r="A4114" t="s">
        <v>93</v>
      </c>
    </row>
    <row r="4115" spans="1:13">
      <c r="A4115" t="s">
        <v>94</v>
      </c>
    </row>
    <row r="4116" spans="1:13">
      <c r="A4116" t="s">
        <v>129</v>
      </c>
      <c r="B4116" s="1">
        <v>44161.955775462964</v>
      </c>
    </row>
    <row r="4118" spans="1:13">
      <c r="A4118" t="s">
        <v>10</v>
      </c>
      <c r="B4118" t="s">
        <v>7</v>
      </c>
      <c r="C4118" t="s">
        <v>8</v>
      </c>
      <c r="D4118" t="s">
        <v>9</v>
      </c>
      <c r="E4118" t="s">
        <v>134</v>
      </c>
      <c r="F4118" t="s">
        <v>84</v>
      </c>
      <c r="G4118" t="s">
        <v>85</v>
      </c>
      <c r="I4118" t="s">
        <v>70</v>
      </c>
      <c r="J4118" s="15" t="s">
        <v>68</v>
      </c>
      <c r="K4118" s="2" t="s">
        <v>69</v>
      </c>
      <c r="L4118" t="s">
        <v>71</v>
      </c>
      <c r="M4118" t="s">
        <v>72</v>
      </c>
    </row>
    <row r="4119" spans="1:13">
      <c r="A4119" t="s">
        <v>126</v>
      </c>
      <c r="B4119" s="1">
        <v>44161.4450462963</v>
      </c>
      <c r="C4119" s="1">
        <v>44161.955775462964</v>
      </c>
      <c r="D4119" s="2">
        <f>MAX((TimeEntries954964[[#This Row],[End time]]-TimeEntries954964[[#This Row],[Start time]])*24,0)</f>
        <v>12.257499999948777</v>
      </c>
      <c r="F4119" s="54" t="s">
        <v>184</v>
      </c>
      <c r="G4119" s="22" t="s">
        <v>185</v>
      </c>
      <c r="I4119" t="s">
        <v>126</v>
      </c>
      <c r="J4119" s="15">
        <v>0.05</v>
      </c>
      <c r="K4119" s="2">
        <v>1.9604306221008301</v>
      </c>
      <c r="L4119" s="2">
        <f>SUM(TimeEntries954964[Time delta in h])</f>
        <v>12.257499999948777</v>
      </c>
      <c r="M4119" s="16">
        <f>Tabelle7367955965[[#This Row],[EBS self time]]/Tabelle7367955965[[#This Row],[Total time]]</f>
        <v>0.15993723207089722</v>
      </c>
    </row>
    <row r="4120" spans="1:13">
      <c r="B4120" s="1"/>
      <c r="C4120" s="1"/>
      <c r="D4120" s="2"/>
      <c r="I4120" t="s">
        <v>127</v>
      </c>
      <c r="J4120" s="15">
        <v>0.2</v>
      </c>
      <c r="K4120" s="2">
        <v>1.9604306221008301</v>
      </c>
      <c r="L4120" s="2">
        <f>SUM(TimeEntries954964[Time delta in h])</f>
        <v>12.257499999948777</v>
      </c>
      <c r="M4120" s="16">
        <f>Tabelle7367955965[[#This Row],[EBS self time]]/Tabelle7367955965[[#This Row],[Total time]]</f>
        <v>0.15993723207089722</v>
      </c>
    </row>
    <row r="4121" spans="1:13">
      <c r="I4121" t="s">
        <v>169</v>
      </c>
      <c r="J4121" s="15">
        <v>0.35</v>
      </c>
      <c r="K4121" s="2">
        <v>1.9604306221008301</v>
      </c>
      <c r="L4121" s="2">
        <f>SUM(TimeEntries954964[Time delta in h])</f>
        <v>12.257499999948777</v>
      </c>
      <c r="M4121" s="16">
        <f>Tabelle7367955965[[#This Row],[EBS self time]]/Tabelle7367955965[[#This Row],[Total time]]</f>
        <v>0.15993723207089722</v>
      </c>
    </row>
    <row r="4122" spans="1:13">
      <c r="I4122" t="s">
        <v>172</v>
      </c>
      <c r="J4122" s="15">
        <v>0.5</v>
      </c>
      <c r="K4122" s="2">
        <v>1.9604306221008301</v>
      </c>
      <c r="L4122" s="2">
        <f>SUM(TimeEntries954964[Time delta in h])</f>
        <v>12.257499999948777</v>
      </c>
      <c r="M4122" s="16">
        <f>Tabelle7367955965[[#This Row],[EBS self time]]/Tabelle7367955965[[#This Row],[Total time]]</f>
        <v>0.15993723207089722</v>
      </c>
    </row>
    <row r="4123" spans="1:13">
      <c r="I4123" t="s">
        <v>187</v>
      </c>
      <c r="J4123" s="15">
        <v>0.65</v>
      </c>
      <c r="K4123" s="2">
        <v>7.5985683027163953</v>
      </c>
      <c r="L4123" s="2">
        <f>SUM(TimeEntries954964[Time delta in h])</f>
        <v>12.257499999948777</v>
      </c>
      <c r="M4123" s="16">
        <f>Tabelle7367955965[[#This Row],[EBS self time]]/Tabelle7367955965[[#This Row],[Total time]]</f>
        <v>0.61991175221277983</v>
      </c>
    </row>
    <row r="4124" spans="1:13">
      <c r="I4124" t="s">
        <v>192</v>
      </c>
      <c r="J4124" s="15">
        <v>0.8</v>
      </c>
      <c r="K4124" s="2">
        <v>7.5985683027163953</v>
      </c>
      <c r="L4124" s="2">
        <f>SUM(TimeEntries954964[Time delta in h])</f>
        <v>12.257499999948777</v>
      </c>
      <c r="M4124" s="16">
        <f>Tabelle7367955965[[#This Row],[EBS self time]]/Tabelle7367955965[[#This Row],[Total time]]</f>
        <v>0.61991175221277983</v>
      </c>
    </row>
    <row r="4125" spans="1:13">
      <c r="I4125" t="s">
        <v>193</v>
      </c>
      <c r="J4125" s="15">
        <v>0.95</v>
      </c>
      <c r="K4125" s="2">
        <v>7.5985683027163953</v>
      </c>
      <c r="L4125" s="2">
        <f>SUM(TimeEntries954964[Time delta in h])</f>
        <v>12.257499999948777</v>
      </c>
      <c r="M4125" s="16">
        <f>Tabelle7367955965[[#This Row],[EBS self time]]/Tabelle7367955965[[#This Row],[Total time]]</f>
        <v>0.61991175221277983</v>
      </c>
    </row>
    <row r="4127" spans="1:13">
      <c r="A4127" t="s">
        <v>189</v>
      </c>
      <c r="B4127" t="s">
        <v>711</v>
      </c>
      <c r="C4127" t="s">
        <v>190</v>
      </c>
      <c r="D4127">
        <v>23</v>
      </c>
      <c r="E4127" t="s">
        <v>191</v>
      </c>
      <c r="F4127">
        <v>13</v>
      </c>
    </row>
    <row r="4128" spans="1:13">
      <c r="A4128" s="4" t="s">
        <v>24</v>
      </c>
      <c r="I4128" t="s">
        <v>135</v>
      </c>
      <c r="J4128" t="s">
        <v>136</v>
      </c>
    </row>
    <row r="4129" spans="1:13">
      <c r="A4129" t="s">
        <v>3</v>
      </c>
      <c r="B4129" t="s">
        <v>713</v>
      </c>
    </row>
    <row r="4130" spans="1:13">
      <c r="A4130" t="s">
        <v>77</v>
      </c>
      <c r="B4130" s="2">
        <v>3.1652889251708984</v>
      </c>
      <c r="C4130" t="s">
        <v>4</v>
      </c>
    </row>
    <row r="4131" spans="1:13">
      <c r="A4131" t="s">
        <v>0</v>
      </c>
      <c r="B4131" s="2">
        <f>SUM(TimeEntries956966[Time delta in h])</f>
        <v>29.910000000090804</v>
      </c>
      <c r="C4131" t="s">
        <v>4</v>
      </c>
    </row>
    <row r="4132" spans="1:13">
      <c r="A4132" t="s">
        <v>13</v>
      </c>
      <c r="B4132" s="5" t="s">
        <v>92</v>
      </c>
    </row>
    <row r="4133" spans="1:13">
      <c r="A4133" t="s">
        <v>14</v>
      </c>
      <c r="B4133" s="5" t="s">
        <v>18</v>
      </c>
    </row>
    <row r="4134" spans="1:13">
      <c r="A4134" t="s">
        <v>1</v>
      </c>
      <c r="B4134" t="s">
        <v>91</v>
      </c>
    </row>
    <row r="4135" spans="1:13">
      <c r="A4135" t="s">
        <v>15</v>
      </c>
      <c r="B4135" s="5" t="s">
        <v>92</v>
      </c>
    </row>
    <row r="4136" spans="1:13">
      <c r="A4136" t="s">
        <v>2</v>
      </c>
    </row>
    <row r="4137" spans="1:13">
      <c r="A4137" t="s">
        <v>46</v>
      </c>
      <c r="B4137" t="s">
        <v>711</v>
      </c>
    </row>
    <row r="4138" spans="1:13">
      <c r="A4138" t="s">
        <v>5</v>
      </c>
      <c r="B4138" s="2">
        <f>B4130/SUM(TimeEntries956966[Time delta in h])</f>
        <v>0.10582711217523534</v>
      </c>
      <c r="C4138" t="s">
        <v>6</v>
      </c>
    </row>
    <row r="4139" spans="1:13">
      <c r="A4139" t="s">
        <v>93</v>
      </c>
    </row>
    <row r="4140" spans="1:13">
      <c r="A4140" t="s">
        <v>94</v>
      </c>
    </row>
    <row r="4141" spans="1:13">
      <c r="A4141" t="s">
        <v>129</v>
      </c>
      <c r="B4141" s="1">
        <v>44161.955810185187</v>
      </c>
    </row>
    <row r="4143" spans="1:13">
      <c r="A4143" t="s">
        <v>10</v>
      </c>
      <c r="B4143" t="s">
        <v>7</v>
      </c>
      <c r="C4143" t="s">
        <v>8</v>
      </c>
      <c r="D4143" t="s">
        <v>9</v>
      </c>
      <c r="E4143" t="s">
        <v>134</v>
      </c>
      <c r="F4143" t="s">
        <v>84</v>
      </c>
      <c r="G4143" t="s">
        <v>85</v>
      </c>
      <c r="I4143" t="s">
        <v>70</v>
      </c>
      <c r="J4143" s="15" t="s">
        <v>68</v>
      </c>
      <c r="K4143" s="2" t="s">
        <v>69</v>
      </c>
      <c r="L4143" t="s">
        <v>71</v>
      </c>
      <c r="M4143" t="s">
        <v>72</v>
      </c>
    </row>
    <row r="4144" spans="1:13">
      <c r="A4144" t="s">
        <v>126</v>
      </c>
      <c r="B4144" s="1">
        <v>44160.709560185183</v>
      </c>
      <c r="C4144" s="1">
        <v>44161.955810185187</v>
      </c>
      <c r="D4144" s="2">
        <f>MAX((TimeEntries956966[[#This Row],[End time]]-TimeEntries956966[[#This Row],[Start time]])*24,0)</f>
        <v>29.910000000090804</v>
      </c>
      <c r="F4144" s="54" t="s">
        <v>184</v>
      </c>
      <c r="G4144" s="22" t="s">
        <v>185</v>
      </c>
      <c r="I4144" t="s">
        <v>126</v>
      </c>
      <c r="J4144" s="15">
        <v>0.05</v>
      </c>
      <c r="K4144" s="2">
        <v>1.5826444625854492</v>
      </c>
      <c r="L4144" s="2">
        <f>SUM(TimeEntries956966[Time delta in h])</f>
        <v>29.910000000090804</v>
      </c>
      <c r="M4144" s="16">
        <f>Tabelle7367957967[[#This Row],[EBS self time]]/Tabelle7367957967[[#This Row],[Total time]]</f>
        <v>5.2913556087617671E-2</v>
      </c>
    </row>
    <row r="4145" spans="1:13">
      <c r="B4145" s="1"/>
      <c r="C4145" s="1"/>
      <c r="D4145" s="2"/>
      <c r="I4145" t="s">
        <v>127</v>
      </c>
      <c r="J4145" s="15">
        <v>0.2</v>
      </c>
      <c r="K4145" s="2">
        <v>1.5826444625854492</v>
      </c>
      <c r="L4145" s="2">
        <f>SUM(TimeEntries956966[Time delta in h])</f>
        <v>29.910000000090804</v>
      </c>
      <c r="M4145" s="16">
        <f>Tabelle7367957967[[#This Row],[EBS self time]]/Tabelle7367957967[[#This Row],[Total time]]</f>
        <v>5.2913556087617671E-2</v>
      </c>
    </row>
    <row r="4146" spans="1:13">
      <c r="I4146" t="s">
        <v>169</v>
      </c>
      <c r="J4146" s="15">
        <v>0.35</v>
      </c>
      <c r="K4146" s="2">
        <v>1.5826444625854492</v>
      </c>
      <c r="L4146" s="2">
        <f>SUM(TimeEntries956966[Time delta in h])</f>
        <v>29.910000000090804</v>
      </c>
      <c r="M4146" s="16">
        <f>Tabelle7367957967[[#This Row],[EBS self time]]/Tabelle7367957967[[#This Row],[Total time]]</f>
        <v>5.2913556087617671E-2</v>
      </c>
    </row>
    <row r="4147" spans="1:13">
      <c r="I4147" t="s">
        <v>172</v>
      </c>
      <c r="J4147" s="15">
        <v>0.5</v>
      </c>
      <c r="K4147" s="2">
        <v>1.5826444625854492</v>
      </c>
      <c r="L4147" s="2">
        <f>SUM(TimeEntries956966[Time delta in h])</f>
        <v>29.910000000090804</v>
      </c>
      <c r="M4147" s="16">
        <f>Tabelle7367957967[[#This Row],[EBS self time]]/Tabelle7367957967[[#This Row],[Total time]]</f>
        <v>5.2913556087617671E-2</v>
      </c>
    </row>
    <row r="4148" spans="1:13">
      <c r="I4148" t="s">
        <v>187</v>
      </c>
      <c r="J4148" s="15">
        <v>0.65</v>
      </c>
      <c r="K4148" s="2">
        <v>1.5826444625854492</v>
      </c>
      <c r="L4148" s="2">
        <f>SUM(TimeEntries956966[Time delta in h])</f>
        <v>29.910000000090804</v>
      </c>
      <c r="M4148" s="16">
        <f>Tabelle7367957967[[#This Row],[EBS self time]]/Tabelle7367957967[[#This Row],[Total time]]</f>
        <v>5.2913556087617671E-2</v>
      </c>
    </row>
    <row r="4149" spans="1:13">
      <c r="I4149" t="s">
        <v>192</v>
      </c>
      <c r="J4149" s="15">
        <v>0.8</v>
      </c>
      <c r="K4149" s="2">
        <v>6.1342808627342995</v>
      </c>
      <c r="L4149" s="2">
        <f>SUM(TimeEntries956966[Time delta in h])</f>
        <v>29.910000000090804</v>
      </c>
      <c r="M4149" s="16">
        <f>Tabelle7367957967[[#This Row],[EBS self time]]/Tabelle7367957967[[#This Row],[Total time]]</f>
        <v>0.20509130266518477</v>
      </c>
    </row>
    <row r="4150" spans="1:13">
      <c r="I4150" t="s">
        <v>193</v>
      </c>
      <c r="J4150" s="15">
        <v>0.95</v>
      </c>
      <c r="K4150" s="2">
        <v>6.1342808627342995</v>
      </c>
      <c r="L4150" s="2">
        <f>SUM(TimeEntries956966[Time delta in h])</f>
        <v>29.910000000090804</v>
      </c>
      <c r="M4150" s="16">
        <f>Tabelle7367957967[[#This Row],[EBS self time]]/Tabelle7367957967[[#This Row],[Total time]]</f>
        <v>0.20509130266518477</v>
      </c>
    </row>
    <row r="4152" spans="1:13">
      <c r="A4152" t="s">
        <v>189</v>
      </c>
      <c r="B4152" t="s">
        <v>720</v>
      </c>
      <c r="C4152" t="s">
        <v>190</v>
      </c>
      <c r="D4152">
        <v>18</v>
      </c>
      <c r="E4152" t="s">
        <v>191</v>
      </c>
      <c r="F4152">
        <v>13</v>
      </c>
    </row>
    <row r="4153" spans="1:13">
      <c r="A4153" s="4" t="s">
        <v>24</v>
      </c>
      <c r="I4153" t="s">
        <v>135</v>
      </c>
      <c r="J4153" t="s">
        <v>136</v>
      </c>
    </row>
    <row r="4154" spans="1:13">
      <c r="A4154" t="s">
        <v>3</v>
      </c>
      <c r="B4154" t="s">
        <v>722</v>
      </c>
    </row>
    <row r="4155" spans="1:13">
      <c r="A4155" t="s">
        <v>77</v>
      </c>
      <c r="B4155" s="2" t="s">
        <v>92</v>
      </c>
      <c r="C4155" t="s">
        <v>4</v>
      </c>
    </row>
    <row r="4156" spans="1:13">
      <c r="A4156" t="s">
        <v>0</v>
      </c>
      <c r="B4156" s="2">
        <f>SUM(TimeEntries976986[Time delta in h])</f>
        <v>22.72833333327435</v>
      </c>
      <c r="C4156" t="s">
        <v>4</v>
      </c>
    </row>
    <row r="4157" spans="1:13">
      <c r="A4157" t="s">
        <v>13</v>
      </c>
      <c r="B4157" s="5" t="s">
        <v>92</v>
      </c>
    </row>
    <row r="4158" spans="1:13">
      <c r="A4158" t="s">
        <v>14</v>
      </c>
      <c r="B4158" s="5" t="s">
        <v>18</v>
      </c>
    </row>
    <row r="4159" spans="1:13">
      <c r="A4159" t="s">
        <v>1</v>
      </c>
      <c r="B4159" t="s">
        <v>91</v>
      </c>
    </row>
    <row r="4160" spans="1:13">
      <c r="A4160" t="s">
        <v>15</v>
      </c>
      <c r="B4160" s="5" t="s">
        <v>92</v>
      </c>
    </row>
    <row r="4161" spans="1:13">
      <c r="A4161" t="s">
        <v>2</v>
      </c>
    </row>
    <row r="4162" spans="1:13">
      <c r="A4162" t="s">
        <v>46</v>
      </c>
      <c r="B4162" t="s">
        <v>720</v>
      </c>
    </row>
    <row r="4163" spans="1:13">
      <c r="A4163" t="s">
        <v>5</v>
      </c>
      <c r="B4163" s="2" t="e">
        <f>B4155/SUM(TimeEntries976986[Time delta in h])</f>
        <v>#VALUE!</v>
      </c>
      <c r="C4163" t="s">
        <v>6</v>
      </c>
    </row>
    <row r="4164" spans="1:13">
      <c r="A4164" t="s">
        <v>93</v>
      </c>
    </row>
    <row r="4165" spans="1:13">
      <c r="A4165" t="s">
        <v>94</v>
      </c>
    </row>
    <row r="4166" spans="1:13">
      <c r="A4166" t="s">
        <v>129</v>
      </c>
      <c r="B4166" s="1">
        <v>44161.955983796295</v>
      </c>
    </row>
    <row r="4168" spans="1:13">
      <c r="A4168" t="s">
        <v>10</v>
      </c>
      <c r="B4168" t="s">
        <v>7</v>
      </c>
      <c r="C4168" t="s">
        <v>8</v>
      </c>
      <c r="D4168" t="s">
        <v>9</v>
      </c>
      <c r="E4168" t="s">
        <v>134</v>
      </c>
      <c r="F4168" t="s">
        <v>84</v>
      </c>
      <c r="G4168" t="s">
        <v>85</v>
      </c>
      <c r="I4168" t="s">
        <v>70</v>
      </c>
      <c r="J4168" s="15" t="s">
        <v>68</v>
      </c>
      <c r="K4168" s="2" t="s">
        <v>69</v>
      </c>
      <c r="L4168" t="s">
        <v>71</v>
      </c>
      <c r="M4168" t="s">
        <v>72</v>
      </c>
    </row>
    <row r="4169" spans="1:13">
      <c r="A4169" t="s">
        <v>126</v>
      </c>
      <c r="B4169" s="1">
        <v>44161.008969907409</v>
      </c>
      <c r="C4169" s="1">
        <v>44161.955983796295</v>
      </c>
      <c r="D4169" s="2">
        <f>MAX((TimeEntries976986[[#This Row],[End time]]-TimeEntries976986[[#This Row],[Start time]])*24,0)</f>
        <v>22.72833333327435</v>
      </c>
      <c r="F4169" s="54" t="s">
        <v>184</v>
      </c>
      <c r="G4169" s="22" t="s">
        <v>185</v>
      </c>
      <c r="J4169" s="15"/>
      <c r="K4169" s="2"/>
      <c r="L4169" s="2">
        <f>SUM(TimeEntries976986[Time delta in h])</f>
        <v>22.72833333327435</v>
      </c>
      <c r="M4169" s="16">
        <f>Tabelle7367977987[[#This Row],[EBS self time]]/Tabelle7367977987[[#This Row],[Total time]]</f>
        <v>0</v>
      </c>
    </row>
    <row r="4170" spans="1:13">
      <c r="B4170" s="1"/>
      <c r="C4170" s="1"/>
      <c r="D4170" s="2"/>
    </row>
    <row r="4172" spans="1:13">
      <c r="A4172" t="s">
        <v>189</v>
      </c>
      <c r="B4172" t="s">
        <v>723</v>
      </c>
      <c r="C4172" t="s">
        <v>190</v>
      </c>
      <c r="D4172">
        <v>23</v>
      </c>
      <c r="E4172" t="s">
        <v>191</v>
      </c>
      <c r="F4172">
        <v>13</v>
      </c>
    </row>
    <row r="4173" spans="1:13">
      <c r="A4173" s="4" t="s">
        <v>24</v>
      </c>
      <c r="I4173" t="s">
        <v>135</v>
      </c>
      <c r="J4173" t="s">
        <v>136</v>
      </c>
    </row>
    <row r="4174" spans="1:13">
      <c r="A4174" t="s">
        <v>3</v>
      </c>
      <c r="B4174" t="s">
        <v>725</v>
      </c>
    </row>
    <row r="4175" spans="1:13">
      <c r="A4175" t="s">
        <v>77</v>
      </c>
      <c r="B4175" s="2">
        <v>3.8308649063110352</v>
      </c>
      <c r="C4175" t="s">
        <v>4</v>
      </c>
    </row>
    <row r="4176" spans="1:13">
      <c r="A4176" t="s">
        <v>0</v>
      </c>
      <c r="B4176" s="2">
        <f>SUM(TimeEntries978988[Time delta in h])</f>
        <v>11.484999999927823</v>
      </c>
      <c r="C4176" t="s">
        <v>4</v>
      </c>
    </row>
    <row r="4177" spans="1:13">
      <c r="A4177" t="s">
        <v>13</v>
      </c>
      <c r="B4177" s="5" t="s">
        <v>92</v>
      </c>
    </row>
    <row r="4178" spans="1:13">
      <c r="A4178" t="s">
        <v>14</v>
      </c>
      <c r="B4178" s="5" t="s">
        <v>18</v>
      </c>
    </row>
    <row r="4179" spans="1:13">
      <c r="A4179" t="s">
        <v>1</v>
      </c>
      <c r="B4179" t="s">
        <v>91</v>
      </c>
    </row>
    <row r="4180" spans="1:13">
      <c r="A4180" t="s">
        <v>15</v>
      </c>
      <c r="B4180" s="5" t="s">
        <v>92</v>
      </c>
    </row>
    <row r="4181" spans="1:13">
      <c r="A4181" t="s">
        <v>2</v>
      </c>
    </row>
    <row r="4182" spans="1:13">
      <c r="A4182" t="s">
        <v>46</v>
      </c>
      <c r="B4182" t="s">
        <v>723</v>
      </c>
    </row>
    <row r="4183" spans="1:13">
      <c r="A4183" t="s">
        <v>5</v>
      </c>
      <c r="B4183" s="2">
        <f>B4175/SUM(TimeEntries978988[Time delta in h])</f>
        <v>0.33355375762604356</v>
      </c>
      <c r="C4183" t="s">
        <v>6</v>
      </c>
    </row>
    <row r="4184" spans="1:13">
      <c r="A4184" t="s">
        <v>93</v>
      </c>
    </row>
    <row r="4185" spans="1:13">
      <c r="A4185" t="s">
        <v>94</v>
      </c>
    </row>
    <row r="4186" spans="1:13">
      <c r="A4186" t="s">
        <v>129</v>
      </c>
      <c r="B4186" s="1">
        <v>44161.955995370372</v>
      </c>
    </row>
    <row r="4188" spans="1:13">
      <c r="A4188" t="s">
        <v>10</v>
      </c>
      <c r="B4188" t="s">
        <v>7</v>
      </c>
      <c r="C4188" t="s">
        <v>8</v>
      </c>
      <c r="D4188" t="s">
        <v>9</v>
      </c>
      <c r="E4188" t="s">
        <v>134</v>
      </c>
      <c r="F4188" t="s">
        <v>84</v>
      </c>
      <c r="G4188" t="s">
        <v>85</v>
      </c>
      <c r="I4188" t="s">
        <v>70</v>
      </c>
      <c r="J4188" s="15" t="s">
        <v>68</v>
      </c>
      <c r="K4188" s="2" t="s">
        <v>69</v>
      </c>
      <c r="L4188" t="s">
        <v>71</v>
      </c>
      <c r="M4188" t="s">
        <v>72</v>
      </c>
    </row>
    <row r="4189" spans="1:13">
      <c r="A4189" t="s">
        <v>126</v>
      </c>
      <c r="B4189" s="1">
        <v>44161.477465277778</v>
      </c>
      <c r="C4189" s="1">
        <v>44161.956006944441</v>
      </c>
      <c r="D4189" s="2">
        <f>MAX((TimeEntries978988[[#This Row],[End time]]-TimeEntries978988[[#This Row],[Start time]])*24,0)</f>
        <v>11.484999999927823</v>
      </c>
      <c r="F4189" s="54" t="s">
        <v>184</v>
      </c>
      <c r="G4189" s="22" t="s">
        <v>185</v>
      </c>
      <c r="I4189" t="s">
        <v>126</v>
      </c>
      <c r="J4189" s="15">
        <v>0.05</v>
      </c>
      <c r="K4189" s="2">
        <v>1.9154324531555176</v>
      </c>
      <c r="L4189" s="2">
        <f>SUM(TimeEntries978988[Time delta in h])</f>
        <v>11.484999999927823</v>
      </c>
      <c r="M4189" s="16">
        <f>Tabelle7367979989[[#This Row],[EBS self time]]/Tabelle7367979989[[#This Row],[Total time]]</f>
        <v>0.16677687881302178</v>
      </c>
    </row>
    <row r="4190" spans="1:13">
      <c r="B4190" s="1"/>
      <c r="C4190" s="1"/>
      <c r="D4190" s="2"/>
      <c r="I4190" t="s">
        <v>127</v>
      </c>
      <c r="J4190" s="15">
        <v>0.2</v>
      </c>
      <c r="K4190" s="2">
        <v>1.9154324531555176</v>
      </c>
      <c r="L4190" s="2">
        <f>SUM(TimeEntries978988[Time delta in h])</f>
        <v>11.484999999927823</v>
      </c>
      <c r="M4190" s="16">
        <f>Tabelle7367979989[[#This Row],[EBS self time]]/Tabelle7367979989[[#This Row],[Total time]]</f>
        <v>0.16677687881302178</v>
      </c>
    </row>
    <row r="4191" spans="1:13">
      <c r="I4191" t="s">
        <v>169</v>
      </c>
      <c r="J4191" s="15">
        <v>0.35</v>
      </c>
      <c r="K4191" s="2">
        <v>1.9154324531555176</v>
      </c>
      <c r="L4191" s="2">
        <f>SUM(TimeEntries978988[Time delta in h])</f>
        <v>11.484999999927823</v>
      </c>
      <c r="M4191" s="16">
        <f>Tabelle7367979989[[#This Row],[EBS self time]]/Tabelle7367979989[[#This Row],[Total time]]</f>
        <v>0.16677687881302178</v>
      </c>
    </row>
    <row r="4192" spans="1:13">
      <c r="I4192" t="s">
        <v>172</v>
      </c>
      <c r="J4192" s="15">
        <v>0.5</v>
      </c>
      <c r="K4192" s="2">
        <v>1.9154324531555176</v>
      </c>
      <c r="L4192" s="2">
        <f>SUM(TimeEntries978988[Time delta in h])</f>
        <v>11.484999999927823</v>
      </c>
      <c r="M4192" s="16">
        <f>Tabelle7367979989[[#This Row],[EBS self time]]/Tabelle7367979989[[#This Row],[Total time]]</f>
        <v>0.16677687881302178</v>
      </c>
    </row>
    <row r="4193" spans="1:13">
      <c r="I4193" t="s">
        <v>187</v>
      </c>
      <c r="J4193" s="15">
        <v>0.65</v>
      </c>
      <c r="K4193" s="2">
        <v>1.9154324531555176</v>
      </c>
      <c r="L4193" s="2">
        <f>SUM(TimeEntries978988[Time delta in h])</f>
        <v>11.484999999927823</v>
      </c>
      <c r="M4193" s="16">
        <f>Tabelle7367979989[[#This Row],[EBS self time]]/Tabelle7367979989[[#This Row],[Total time]]</f>
        <v>0.16677687881302178</v>
      </c>
    </row>
    <row r="4194" spans="1:13">
      <c r="I4194" t="s">
        <v>192</v>
      </c>
      <c r="J4194" s="15">
        <v>0.8</v>
      </c>
      <c r="K4194" s="2">
        <v>7.4241567951764242</v>
      </c>
      <c r="L4194" s="2">
        <f>SUM(TimeEntries978988[Time delta in h])</f>
        <v>11.484999999927823</v>
      </c>
      <c r="M4194" s="16">
        <f>Tabelle7367979989[[#This Row],[EBS self time]]/Tabelle7367979989[[#This Row],[Total time]]</f>
        <v>0.64642201090318518</v>
      </c>
    </row>
    <row r="4195" spans="1:13">
      <c r="I4195" t="s">
        <v>193</v>
      </c>
      <c r="J4195" s="15">
        <v>0.95</v>
      </c>
      <c r="K4195" s="2">
        <v>7.4241567951764242</v>
      </c>
      <c r="L4195" s="2">
        <f>SUM(TimeEntries978988[Time delta in h])</f>
        <v>11.484999999927823</v>
      </c>
      <c r="M4195" s="16">
        <f>Tabelle7367979989[[#This Row],[EBS self time]]/Tabelle7367979989[[#This Row],[Total time]]</f>
        <v>0.64642201090318518</v>
      </c>
    </row>
    <row r="4197" spans="1:13">
      <c r="A4197" t="s">
        <v>189</v>
      </c>
      <c r="B4197" t="s">
        <v>726</v>
      </c>
      <c r="C4197" t="s">
        <v>190</v>
      </c>
      <c r="D4197">
        <v>23</v>
      </c>
      <c r="E4197" t="s">
        <v>191</v>
      </c>
      <c r="F4197">
        <v>13</v>
      </c>
    </row>
    <row r="4198" spans="1:13">
      <c r="A4198" s="4" t="s">
        <v>24</v>
      </c>
      <c r="I4198" t="s">
        <v>135</v>
      </c>
      <c r="J4198" t="s">
        <v>136</v>
      </c>
    </row>
    <row r="4199" spans="1:13">
      <c r="A4199" t="s">
        <v>3</v>
      </c>
      <c r="B4199" t="s">
        <v>728</v>
      </c>
    </row>
    <row r="4200" spans="1:13">
      <c r="A4200" t="s">
        <v>77</v>
      </c>
      <c r="B4200" s="2">
        <v>8.2660884857177734</v>
      </c>
      <c r="C4200" t="s">
        <v>4</v>
      </c>
    </row>
    <row r="4201" spans="1:13">
      <c r="A4201" t="s">
        <v>0</v>
      </c>
      <c r="B4201" s="2">
        <f>SUM(TimeEntries980990[Time delta in h])</f>
        <v>0.74277777783572674</v>
      </c>
      <c r="C4201" t="s">
        <v>4</v>
      </c>
    </row>
    <row r="4202" spans="1:13">
      <c r="A4202" t="s">
        <v>13</v>
      </c>
      <c r="B4202" s="5" t="s">
        <v>92</v>
      </c>
    </row>
    <row r="4203" spans="1:13">
      <c r="A4203" t="s">
        <v>14</v>
      </c>
      <c r="B4203" s="5" t="s">
        <v>18</v>
      </c>
    </row>
    <row r="4204" spans="1:13">
      <c r="A4204" t="s">
        <v>1</v>
      </c>
      <c r="B4204" t="s">
        <v>131</v>
      </c>
    </row>
    <row r="4205" spans="1:13">
      <c r="A4205" t="s">
        <v>15</v>
      </c>
      <c r="B4205" s="5">
        <v>44161.956018518518</v>
      </c>
    </row>
    <row r="4206" spans="1:13">
      <c r="A4206" t="s">
        <v>2</v>
      </c>
    </row>
    <row r="4207" spans="1:13">
      <c r="A4207" t="s">
        <v>46</v>
      </c>
      <c r="B4207" t="s">
        <v>726</v>
      </c>
    </row>
    <row r="4208" spans="1:13">
      <c r="A4208" t="s">
        <v>5</v>
      </c>
      <c r="B4208" s="2">
        <f>B4200/SUM(TimeEntries980990[Time delta in h])</f>
        <v>11.128615761504253</v>
      </c>
      <c r="C4208" t="s">
        <v>6</v>
      </c>
    </row>
    <row r="4209" spans="1:13">
      <c r="A4209" t="s">
        <v>93</v>
      </c>
      <c r="B4209" t="s">
        <v>182</v>
      </c>
    </row>
    <row r="4210" spans="1:13">
      <c r="A4210" t="s">
        <v>94</v>
      </c>
      <c r="B4210" t="s">
        <v>1276</v>
      </c>
    </row>
    <row r="4211" spans="1:13">
      <c r="A4211" t="s">
        <v>129</v>
      </c>
      <c r="B4211" s="1">
        <v>44161.956006944441</v>
      </c>
    </row>
    <row r="4213" spans="1:13">
      <c r="A4213" t="s">
        <v>10</v>
      </c>
      <c r="B4213" t="s">
        <v>7</v>
      </c>
      <c r="C4213" t="s">
        <v>8</v>
      </c>
      <c r="D4213" t="s">
        <v>9</v>
      </c>
      <c r="E4213" t="s">
        <v>134</v>
      </c>
      <c r="F4213" t="s">
        <v>84</v>
      </c>
      <c r="G4213" t="s">
        <v>85</v>
      </c>
      <c r="I4213" t="s">
        <v>70</v>
      </c>
      <c r="J4213" s="15" t="s">
        <v>68</v>
      </c>
      <c r="K4213" s="2" t="s">
        <v>69</v>
      </c>
      <c r="L4213" t="s">
        <v>71</v>
      </c>
      <c r="M4213" t="s">
        <v>72</v>
      </c>
    </row>
    <row r="4214" spans="1:13">
      <c r="A4214" t="s">
        <v>126</v>
      </c>
      <c r="B4214" s="1">
        <v>44161.925069444442</v>
      </c>
      <c r="C4214" s="1">
        <v>44161.956018518518</v>
      </c>
      <c r="D4214" s="2">
        <f>MAX((TimeEntries980990[[#This Row],[End time]]-TimeEntries980990[[#This Row],[Start time]])*24,0)</f>
        <v>0.74277777783572674</v>
      </c>
      <c r="F4214" s="54" t="s">
        <v>184</v>
      </c>
      <c r="G4214" s="22" t="s">
        <v>185</v>
      </c>
      <c r="I4214" t="s">
        <v>126</v>
      </c>
      <c r="J4214" s="15">
        <v>0.05</v>
      </c>
      <c r="K4214" s="2">
        <v>4.1330442428588867</v>
      </c>
      <c r="L4214" s="2">
        <f>SUM(TimeEntries980990[Time delta in h])</f>
        <v>0.74277777783572674</v>
      </c>
      <c r="M4214" s="16">
        <f>Tabelle7367981991[[#This Row],[EBS self time]]/Tabelle7367981991[[#This Row],[Total time]]</f>
        <v>5.5643078807521267</v>
      </c>
    </row>
    <row r="4215" spans="1:13">
      <c r="B4215" s="1"/>
      <c r="C4215" s="1"/>
      <c r="D4215" s="2"/>
      <c r="I4215" t="s">
        <v>127</v>
      </c>
      <c r="J4215" s="15">
        <v>0.2</v>
      </c>
      <c r="K4215" s="2">
        <v>4.1330442428588867</v>
      </c>
      <c r="L4215" s="2">
        <f>SUM(TimeEntries980990[Time delta in h])</f>
        <v>0.74277777783572674</v>
      </c>
      <c r="M4215" s="16">
        <f>Tabelle7367981991[[#This Row],[EBS self time]]/Tabelle7367981991[[#This Row],[Total time]]</f>
        <v>5.5643078807521267</v>
      </c>
    </row>
    <row r="4216" spans="1:13">
      <c r="I4216" t="s">
        <v>169</v>
      </c>
      <c r="J4216" s="15">
        <v>0.35</v>
      </c>
      <c r="K4216" s="2">
        <v>4.1330442428588867</v>
      </c>
      <c r="L4216" s="2">
        <f>SUM(TimeEntries980990[Time delta in h])</f>
        <v>0.74277777783572674</v>
      </c>
      <c r="M4216" s="16">
        <f>Tabelle7367981991[[#This Row],[EBS self time]]/Tabelle7367981991[[#This Row],[Total time]]</f>
        <v>5.5643078807521267</v>
      </c>
    </row>
    <row r="4217" spans="1:13">
      <c r="I4217" t="s">
        <v>172</v>
      </c>
      <c r="J4217" s="15">
        <v>0.5</v>
      </c>
      <c r="K4217" s="2">
        <v>4.1330442428588867</v>
      </c>
      <c r="L4217" s="2">
        <f>SUM(TimeEntries980990[Time delta in h])</f>
        <v>0.74277777783572674</v>
      </c>
      <c r="M4217" s="16">
        <f>Tabelle7367981991[[#This Row],[EBS self time]]/Tabelle7367981991[[#This Row],[Total time]]</f>
        <v>5.5643078807521267</v>
      </c>
    </row>
    <row r="4218" spans="1:13">
      <c r="I4218" t="s">
        <v>187</v>
      </c>
      <c r="J4218" s="15">
        <v>0.65</v>
      </c>
      <c r="K4218" s="2">
        <v>4.1330442428588867</v>
      </c>
      <c r="L4218" s="2">
        <f>SUM(TimeEntries980990[Time delta in h])</f>
        <v>0.74277777783572674</v>
      </c>
      <c r="M4218" s="16">
        <f>Tabelle7367981991[[#This Row],[EBS self time]]/Tabelle7367981991[[#This Row],[Total time]]</f>
        <v>5.5643078807521267</v>
      </c>
    </row>
    <row r="4219" spans="1:13">
      <c r="I4219" t="s">
        <v>192</v>
      </c>
      <c r="J4219" s="15">
        <v>0.8</v>
      </c>
      <c r="K4219" s="2">
        <v>16.019551328910413</v>
      </c>
      <c r="L4219" s="2">
        <f>SUM(TimeEntries980990[Time delta in h])</f>
        <v>0.74277777783572674</v>
      </c>
      <c r="M4219" s="16">
        <f>Tabelle7367981991[[#This Row],[EBS self time]]/Tabelle7367981991[[#This Row],[Total time]]</f>
        <v>21.567084809116771</v>
      </c>
    </row>
    <row r="4220" spans="1:13">
      <c r="I4220" t="s">
        <v>193</v>
      </c>
      <c r="J4220" s="15">
        <v>0.95</v>
      </c>
      <c r="K4220" s="2">
        <v>16.019551328910413</v>
      </c>
      <c r="L4220" s="2">
        <f>SUM(TimeEntries980990[Time delta in h])</f>
        <v>0.74277777783572674</v>
      </c>
      <c r="M4220" s="16">
        <f>Tabelle7367981991[[#This Row],[EBS self time]]/Tabelle7367981991[[#This Row],[Total time]]</f>
        <v>21.567084809116771</v>
      </c>
    </row>
    <row r="4222" spans="1:13">
      <c r="A4222" t="s">
        <v>189</v>
      </c>
      <c r="B4222" t="s">
        <v>729</v>
      </c>
      <c r="C4222" t="s">
        <v>190</v>
      </c>
      <c r="D4222">
        <v>23</v>
      </c>
      <c r="E4222" t="s">
        <v>191</v>
      </c>
      <c r="F4222">
        <v>13</v>
      </c>
    </row>
    <row r="4223" spans="1:13">
      <c r="A4223" s="4" t="s">
        <v>24</v>
      </c>
      <c r="I4223" t="s">
        <v>135</v>
      </c>
      <c r="J4223" t="s">
        <v>136</v>
      </c>
    </row>
    <row r="4224" spans="1:13">
      <c r="A4224" t="s">
        <v>3</v>
      </c>
      <c r="B4224" t="s">
        <v>731</v>
      </c>
    </row>
    <row r="4225" spans="1:13">
      <c r="A4225" t="s">
        <v>77</v>
      </c>
      <c r="B4225" s="2">
        <v>2.3993444442749023</v>
      </c>
      <c r="C4225" t="s">
        <v>4</v>
      </c>
    </row>
    <row r="4226" spans="1:13">
      <c r="A4226" t="s">
        <v>0</v>
      </c>
      <c r="B4226" s="2">
        <f>SUM(TimeEntries9829929961006[Time delta in h])</f>
        <v>21.007500000006985</v>
      </c>
      <c r="C4226" t="s">
        <v>4</v>
      </c>
    </row>
    <row r="4227" spans="1:13">
      <c r="A4227" t="s">
        <v>13</v>
      </c>
      <c r="B4227" s="5" t="s">
        <v>92</v>
      </c>
    </row>
    <row r="4228" spans="1:13">
      <c r="A4228" t="s">
        <v>14</v>
      </c>
      <c r="B4228" s="5" t="s">
        <v>18</v>
      </c>
    </row>
    <row r="4229" spans="1:13">
      <c r="A4229" t="s">
        <v>1</v>
      </c>
      <c r="B4229" t="s">
        <v>91</v>
      </c>
    </row>
    <row r="4230" spans="1:13">
      <c r="A4230" t="s">
        <v>15</v>
      </c>
      <c r="B4230" s="5" t="s">
        <v>92</v>
      </c>
    </row>
    <row r="4231" spans="1:13">
      <c r="A4231" t="s">
        <v>2</v>
      </c>
    </row>
    <row r="4232" spans="1:13">
      <c r="A4232" t="s">
        <v>46</v>
      </c>
      <c r="B4232" t="s">
        <v>729</v>
      </c>
    </row>
    <row r="4233" spans="1:13">
      <c r="A4233" t="s">
        <v>5</v>
      </c>
      <c r="B4233" s="2">
        <f>B4225/SUM(TimeEntries9829929961006[Time delta in h])</f>
        <v>0.11421370673683706</v>
      </c>
      <c r="C4233" t="s">
        <v>6</v>
      </c>
    </row>
    <row r="4234" spans="1:13">
      <c r="A4234" t="s">
        <v>93</v>
      </c>
    </row>
    <row r="4235" spans="1:13">
      <c r="A4235" t="s">
        <v>94</v>
      </c>
    </row>
    <row r="4236" spans="1:13">
      <c r="A4236" t="s">
        <v>129</v>
      </c>
      <c r="B4236" s="1">
        <v>44161.956030092595</v>
      </c>
    </row>
    <row r="4238" spans="1:13">
      <c r="A4238" t="s">
        <v>10</v>
      </c>
      <c r="B4238" t="s">
        <v>7</v>
      </c>
      <c r="C4238" t="s">
        <v>8</v>
      </c>
      <c r="D4238" t="s">
        <v>9</v>
      </c>
      <c r="E4238" t="s">
        <v>134</v>
      </c>
      <c r="F4238" t="s">
        <v>84</v>
      </c>
      <c r="G4238" t="s">
        <v>85</v>
      </c>
      <c r="I4238" t="s">
        <v>70</v>
      </c>
      <c r="J4238" s="15" t="s">
        <v>68</v>
      </c>
      <c r="K4238" s="2" t="s">
        <v>69</v>
      </c>
      <c r="L4238" t="s">
        <v>71</v>
      </c>
      <c r="M4238" t="s">
        <v>72</v>
      </c>
    </row>
    <row r="4239" spans="1:13">
      <c r="A4239" t="s">
        <v>126</v>
      </c>
      <c r="B4239" s="1">
        <v>44161.080740740741</v>
      </c>
      <c r="C4239" s="1">
        <v>44161.956053240741</v>
      </c>
      <c r="D4239" s="2">
        <f>MAX((TimeEntries9829929961006[[#This Row],[End time]]-TimeEntries9829929961006[[#This Row],[Start time]])*24,0)</f>
        <v>21.007500000006985</v>
      </c>
      <c r="F4239" s="54" t="s">
        <v>184</v>
      </c>
      <c r="G4239" s="22" t="s">
        <v>185</v>
      </c>
      <c r="I4239" t="s">
        <v>126</v>
      </c>
      <c r="J4239" s="15">
        <v>0.05</v>
      </c>
      <c r="K4239" s="2">
        <v>1.1996722221374512</v>
      </c>
      <c r="L4239" s="2">
        <f>SUM(TimeEntries9829929961006[Time delta in h])</f>
        <v>21.007500000006985</v>
      </c>
      <c r="M4239" s="16">
        <f>Tabelle73679839939971007[[#This Row],[EBS self time]]/Tabelle73679839939971007[[#This Row],[Total time]]</f>
        <v>5.7106853368418531E-2</v>
      </c>
    </row>
    <row r="4240" spans="1:13">
      <c r="B4240" s="1"/>
      <c r="C4240" s="1"/>
      <c r="D4240" s="2"/>
      <c r="I4240" t="s">
        <v>127</v>
      </c>
      <c r="J4240" s="15">
        <v>0.2</v>
      </c>
      <c r="K4240" s="2">
        <v>1.1996722221374512</v>
      </c>
      <c r="L4240" s="2">
        <f>SUM(TimeEntries9829929961006[Time delta in h])</f>
        <v>21.007500000006985</v>
      </c>
      <c r="M4240" s="16">
        <f>Tabelle73679839939971007[[#This Row],[EBS self time]]/Tabelle73679839939971007[[#This Row],[Total time]]</f>
        <v>5.7106853368418531E-2</v>
      </c>
    </row>
    <row r="4241" spans="1:13">
      <c r="I4241" t="s">
        <v>169</v>
      </c>
      <c r="J4241" s="15">
        <v>0.35</v>
      </c>
      <c r="K4241" s="2">
        <v>1.1996722221374512</v>
      </c>
      <c r="L4241" s="2">
        <f>SUM(TimeEntries9829929961006[Time delta in h])</f>
        <v>21.007500000006985</v>
      </c>
      <c r="M4241" s="16">
        <f>Tabelle73679839939971007[[#This Row],[EBS self time]]/Tabelle73679839939971007[[#This Row],[Total time]]</f>
        <v>5.7106853368418531E-2</v>
      </c>
    </row>
    <row r="4242" spans="1:13">
      <c r="I4242" t="s">
        <v>172</v>
      </c>
      <c r="J4242" s="15">
        <v>0.5</v>
      </c>
      <c r="K4242" s="2">
        <v>1.1996722221374512</v>
      </c>
      <c r="L4242" s="2">
        <f>SUM(TimeEntries9829929961006[Time delta in h])</f>
        <v>21.007500000006985</v>
      </c>
      <c r="M4242" s="16">
        <f>Tabelle73679839939971007[[#This Row],[EBS self time]]/Tabelle73679839939971007[[#This Row],[Total time]]</f>
        <v>5.7106853368418531E-2</v>
      </c>
    </row>
    <row r="4243" spans="1:13">
      <c r="I4243" t="s">
        <v>187</v>
      </c>
      <c r="J4243" s="15">
        <v>0.65</v>
      </c>
      <c r="K4243" s="2">
        <v>2.6660157696221236</v>
      </c>
      <c r="L4243" s="2">
        <f>SUM(TimeEntries9829929961006[Time delta in h])</f>
        <v>21.007500000006985</v>
      </c>
      <c r="M4243" s="16">
        <f>Tabelle73679839939971007[[#This Row],[EBS self time]]/Tabelle73679839939971007[[#This Row],[Total time]]</f>
        <v>0.1269078076697007</v>
      </c>
    </row>
    <row r="4244" spans="1:13">
      <c r="I4244" t="s">
        <v>192</v>
      </c>
      <c r="J4244" s="15">
        <v>0.8</v>
      </c>
      <c r="K4244" s="2">
        <v>4.6498923338660898</v>
      </c>
      <c r="L4244" s="2">
        <f>SUM(TimeEntries9829929961006[Time delta in h])</f>
        <v>21.007500000006985</v>
      </c>
      <c r="M4244" s="16">
        <f>Tabelle73679839939971007[[#This Row],[EBS self time]]/Tabelle73679839939971007[[#This Row],[Total time]]</f>
        <v>0.22134439290084701</v>
      </c>
    </row>
    <row r="4245" spans="1:13">
      <c r="I4245" t="s">
        <v>193</v>
      </c>
      <c r="J4245" s="15">
        <v>0.95</v>
      </c>
      <c r="K4245" s="2">
        <v>4.6498923338660898</v>
      </c>
      <c r="L4245" s="2">
        <f>SUM(TimeEntries9829929961006[Time delta in h])</f>
        <v>21.007500000006985</v>
      </c>
      <c r="M4245" s="16">
        <f>Tabelle73679839939971007[[#This Row],[EBS self time]]/Tabelle73679839939971007[[#This Row],[Total time]]</f>
        <v>0.22134439290084701</v>
      </c>
    </row>
    <row r="4247" spans="1:13">
      <c r="A4247" t="s">
        <v>189</v>
      </c>
      <c r="B4247" t="s">
        <v>732</v>
      </c>
      <c r="C4247" t="s">
        <v>190</v>
      </c>
      <c r="D4247">
        <v>23</v>
      </c>
      <c r="E4247" t="s">
        <v>191</v>
      </c>
      <c r="F4247">
        <v>13</v>
      </c>
    </row>
    <row r="4248" spans="1:13">
      <c r="A4248" s="4" t="s">
        <v>24</v>
      </c>
      <c r="I4248" t="s">
        <v>135</v>
      </c>
      <c r="J4248" t="s">
        <v>136</v>
      </c>
    </row>
    <row r="4249" spans="1:13">
      <c r="A4249" t="s">
        <v>3</v>
      </c>
      <c r="B4249" t="s">
        <v>734</v>
      </c>
    </row>
    <row r="4250" spans="1:13">
      <c r="A4250" t="s">
        <v>77</v>
      </c>
      <c r="B4250" s="2">
        <v>15.889644622802734</v>
      </c>
      <c r="C4250" t="s">
        <v>4</v>
      </c>
    </row>
    <row r="4251" spans="1:13">
      <c r="A4251" t="s">
        <v>0</v>
      </c>
      <c r="B4251" s="2">
        <f>SUM(TimeEntries9981008[Time delta in h])</f>
        <v>24.481944444472902</v>
      </c>
      <c r="C4251" t="s">
        <v>4</v>
      </c>
    </row>
    <row r="4252" spans="1:13">
      <c r="A4252" t="s">
        <v>13</v>
      </c>
      <c r="B4252" s="5" t="s">
        <v>92</v>
      </c>
    </row>
    <row r="4253" spans="1:13">
      <c r="A4253" t="s">
        <v>14</v>
      </c>
      <c r="B4253" s="5" t="s">
        <v>18</v>
      </c>
    </row>
    <row r="4254" spans="1:13">
      <c r="A4254" t="s">
        <v>1</v>
      </c>
      <c r="B4254" t="s">
        <v>131</v>
      </c>
    </row>
    <row r="4255" spans="1:13">
      <c r="A4255" t="s">
        <v>15</v>
      </c>
      <c r="B4255" s="5">
        <v>44161.956064814818</v>
      </c>
    </row>
    <row r="4256" spans="1:13">
      <c r="A4256" t="s">
        <v>2</v>
      </c>
    </row>
    <row r="4257" spans="1:13">
      <c r="A4257" t="s">
        <v>46</v>
      </c>
      <c r="B4257" t="s">
        <v>732</v>
      </c>
    </row>
    <row r="4258" spans="1:13">
      <c r="A4258" t="s">
        <v>5</v>
      </c>
      <c r="B4258" s="2">
        <f>B4250/SUM(TimeEntries9981008[Time delta in h])</f>
        <v>0.64903523732936241</v>
      </c>
      <c r="C4258" t="s">
        <v>6</v>
      </c>
    </row>
    <row r="4259" spans="1:13">
      <c r="A4259" t="s">
        <v>93</v>
      </c>
    </row>
    <row r="4260" spans="1:13">
      <c r="A4260" t="s">
        <v>94</v>
      </c>
    </row>
    <row r="4261" spans="1:13">
      <c r="A4261" t="s">
        <v>129</v>
      </c>
      <c r="B4261" s="1">
        <v>44161.956064814818</v>
      </c>
    </row>
    <row r="4263" spans="1:13">
      <c r="A4263" t="s">
        <v>10</v>
      </c>
      <c r="B4263" t="s">
        <v>7</v>
      </c>
      <c r="C4263" t="s">
        <v>8</v>
      </c>
      <c r="D4263" t="s">
        <v>9</v>
      </c>
      <c r="E4263" t="s">
        <v>134</v>
      </c>
      <c r="F4263" t="s">
        <v>84</v>
      </c>
      <c r="G4263" t="s">
        <v>85</v>
      </c>
      <c r="I4263" t="s">
        <v>70</v>
      </c>
      <c r="J4263" s="15" t="s">
        <v>68</v>
      </c>
      <c r="K4263" s="2" t="s">
        <v>69</v>
      </c>
      <c r="L4263" t="s">
        <v>71</v>
      </c>
      <c r="M4263" t="s">
        <v>72</v>
      </c>
    </row>
    <row r="4264" spans="1:13">
      <c r="A4264" t="s">
        <v>126</v>
      </c>
      <c r="B4264" s="1">
        <v>44160.935983796298</v>
      </c>
      <c r="C4264" s="1">
        <v>44161.956064814818</v>
      </c>
      <c r="D4264" s="2">
        <f>MAX((TimeEntries9981008[[#This Row],[End time]]-TimeEntries9981008[[#This Row],[Start time]])*24,0)</f>
        <v>24.481944444472902</v>
      </c>
      <c r="F4264" s="54" t="s">
        <v>184</v>
      </c>
      <c r="G4264" s="22" t="s">
        <v>185</v>
      </c>
      <c r="I4264" t="s">
        <v>126</v>
      </c>
      <c r="J4264" s="15">
        <v>0.05</v>
      </c>
      <c r="K4264" s="2">
        <v>7.9448223114013672</v>
      </c>
      <c r="L4264" s="2">
        <f>SUM(TimeEntries9981008[Time delta in h])</f>
        <v>24.481944444472902</v>
      </c>
      <c r="M4264" s="16">
        <f>Tabelle73679991009[[#This Row],[EBS self time]]/Tabelle73679991009[[#This Row],[Total time]]</f>
        <v>0.32451761866468121</v>
      </c>
    </row>
    <row r="4265" spans="1:13">
      <c r="B4265" s="1"/>
      <c r="C4265" s="1"/>
      <c r="D4265" s="2"/>
      <c r="I4265" t="s">
        <v>127</v>
      </c>
      <c r="J4265" s="15">
        <v>0.2</v>
      </c>
      <c r="K4265" s="2">
        <v>7.9448223114013672</v>
      </c>
      <c r="L4265" s="2">
        <f>SUM(TimeEntries9981008[Time delta in h])</f>
        <v>24.481944444472902</v>
      </c>
      <c r="M4265" s="16">
        <f>Tabelle73679991009[[#This Row],[EBS self time]]/Tabelle73679991009[[#This Row],[Total time]]</f>
        <v>0.32451761866468121</v>
      </c>
    </row>
    <row r="4266" spans="1:13">
      <c r="I4266" t="s">
        <v>169</v>
      </c>
      <c r="J4266" s="15">
        <v>0.35</v>
      </c>
      <c r="K4266" s="2">
        <v>7.9448223114013672</v>
      </c>
      <c r="L4266" s="2">
        <f>SUM(TimeEntries9981008[Time delta in h])</f>
        <v>24.481944444472902</v>
      </c>
      <c r="M4266" s="16">
        <f>Tabelle73679991009[[#This Row],[EBS self time]]/Tabelle73679991009[[#This Row],[Total time]]</f>
        <v>0.32451761866468121</v>
      </c>
    </row>
    <row r="4267" spans="1:13">
      <c r="I4267" t="s">
        <v>172</v>
      </c>
      <c r="J4267" s="15">
        <v>0.5</v>
      </c>
      <c r="K4267" s="2">
        <v>7.9448223114013672</v>
      </c>
      <c r="L4267" s="2">
        <f>SUM(TimeEntries9981008[Time delta in h])</f>
        <v>24.481944444472902</v>
      </c>
      <c r="M4267" s="16">
        <f>Tabelle73679991009[[#This Row],[EBS self time]]/Tabelle73679991009[[#This Row],[Total time]]</f>
        <v>0.32451761866468121</v>
      </c>
    </row>
    <row r="4268" spans="1:13">
      <c r="I4268" t="s">
        <v>187</v>
      </c>
      <c r="J4268" s="15">
        <v>0.65</v>
      </c>
      <c r="K4268" s="2">
        <v>30.793884927912273</v>
      </c>
      <c r="L4268" s="2">
        <f>SUM(TimeEntries9981008[Time delta in h])</f>
        <v>24.481944444472902</v>
      </c>
      <c r="M4268" s="16">
        <f>Tabelle73679991009[[#This Row],[EBS self time]]/Tabelle73679991009[[#This Row],[Total time]]</f>
        <v>1.2578202273824852</v>
      </c>
    </row>
    <row r="4269" spans="1:13">
      <c r="I4269" t="s">
        <v>192</v>
      </c>
      <c r="J4269" s="15">
        <v>0.8</v>
      </c>
      <c r="K4269" s="2">
        <v>30.793884927912273</v>
      </c>
      <c r="L4269" s="2">
        <f>SUM(TimeEntries9981008[Time delta in h])</f>
        <v>24.481944444472902</v>
      </c>
      <c r="M4269" s="16">
        <f>Tabelle73679991009[[#This Row],[EBS self time]]/Tabelle73679991009[[#This Row],[Total time]]</f>
        <v>1.2578202273824852</v>
      </c>
    </row>
    <row r="4270" spans="1:13">
      <c r="I4270" t="s">
        <v>193</v>
      </c>
      <c r="J4270" s="15">
        <v>0.95</v>
      </c>
      <c r="K4270" s="2">
        <v>30.793884927912273</v>
      </c>
      <c r="L4270" s="2">
        <f>SUM(TimeEntries9981008[Time delta in h])</f>
        <v>24.481944444472902</v>
      </c>
      <c r="M4270" s="16">
        <f>Tabelle73679991009[[#This Row],[EBS self time]]/Tabelle73679991009[[#This Row],[Total time]]</f>
        <v>1.2578202273824852</v>
      </c>
    </row>
    <row r="4272" spans="1:13">
      <c r="A4272" t="s">
        <v>189</v>
      </c>
      <c r="B4272" t="s">
        <v>735</v>
      </c>
      <c r="C4272" t="s">
        <v>190</v>
      </c>
      <c r="D4272">
        <v>18</v>
      </c>
      <c r="E4272" t="s">
        <v>191</v>
      </c>
      <c r="F4272">
        <v>13</v>
      </c>
    </row>
    <row r="4273" spans="1:13">
      <c r="A4273" s="4" t="s">
        <v>24</v>
      </c>
      <c r="I4273" t="s">
        <v>135</v>
      </c>
      <c r="J4273" t="s">
        <v>136</v>
      </c>
    </row>
    <row r="4274" spans="1:13">
      <c r="A4274" t="s">
        <v>3</v>
      </c>
      <c r="B4274" t="s">
        <v>737</v>
      </c>
    </row>
    <row r="4275" spans="1:13">
      <c r="A4275" t="s">
        <v>77</v>
      </c>
      <c r="B4275" s="2" t="s">
        <v>92</v>
      </c>
      <c r="C4275" t="s">
        <v>4</v>
      </c>
    </row>
    <row r="4276" spans="1:13">
      <c r="A4276" t="s">
        <v>0</v>
      </c>
      <c r="B4276" s="2">
        <f>SUM(TimeEntries10001010[Time delta in h])</f>
        <v>3.376666666707024</v>
      </c>
      <c r="C4276" t="s">
        <v>4</v>
      </c>
    </row>
    <row r="4277" spans="1:13">
      <c r="A4277" t="s">
        <v>13</v>
      </c>
      <c r="B4277" s="5" t="s">
        <v>92</v>
      </c>
    </row>
    <row r="4278" spans="1:13">
      <c r="A4278" t="s">
        <v>14</v>
      </c>
      <c r="B4278" s="5" t="s">
        <v>18</v>
      </c>
    </row>
    <row r="4279" spans="1:13">
      <c r="A4279" t="s">
        <v>1</v>
      </c>
      <c r="B4279" t="s">
        <v>91</v>
      </c>
    </row>
    <row r="4280" spans="1:13">
      <c r="A4280" t="s">
        <v>15</v>
      </c>
      <c r="B4280" s="5" t="s">
        <v>92</v>
      </c>
    </row>
    <row r="4281" spans="1:13">
      <c r="A4281" t="s">
        <v>2</v>
      </c>
    </row>
    <row r="4282" spans="1:13">
      <c r="A4282" t="s">
        <v>46</v>
      </c>
      <c r="B4282" t="s">
        <v>735</v>
      </c>
    </row>
    <row r="4283" spans="1:13">
      <c r="A4283" t="s">
        <v>5</v>
      </c>
      <c r="B4283" s="2" t="e">
        <f>B4275/SUM(TimeEntries10001010[Time delta in h])</f>
        <v>#VALUE!</v>
      </c>
      <c r="C4283" t="s">
        <v>6</v>
      </c>
    </row>
    <row r="4284" spans="1:13">
      <c r="A4284" t="s">
        <v>93</v>
      </c>
    </row>
    <row r="4285" spans="1:13">
      <c r="A4285" t="s">
        <v>94</v>
      </c>
    </row>
    <row r="4286" spans="1:13">
      <c r="A4286" t="s">
        <v>129</v>
      </c>
      <c r="B4286" s="1">
        <v>44161.956076388888</v>
      </c>
    </row>
    <row r="4288" spans="1:13">
      <c r="A4288" t="s">
        <v>10</v>
      </c>
      <c r="B4288" t="s">
        <v>7</v>
      </c>
      <c r="C4288" t="s">
        <v>8</v>
      </c>
      <c r="D4288" t="s">
        <v>9</v>
      </c>
      <c r="E4288" t="s">
        <v>134</v>
      </c>
      <c r="F4288" t="s">
        <v>84</v>
      </c>
      <c r="G4288" t="s">
        <v>85</v>
      </c>
      <c r="I4288" t="s">
        <v>70</v>
      </c>
      <c r="J4288" s="15" t="s">
        <v>68</v>
      </c>
      <c r="K4288" s="2" t="s">
        <v>69</v>
      </c>
      <c r="L4288" t="s">
        <v>71</v>
      </c>
      <c r="M4288" t="s">
        <v>72</v>
      </c>
    </row>
    <row r="4289" spans="1:13">
      <c r="A4289" t="s">
        <v>126</v>
      </c>
      <c r="B4289" s="1">
        <v>44161.815381944441</v>
      </c>
      <c r="C4289" s="1">
        <v>44161.956076388888</v>
      </c>
      <c r="D4289" s="2">
        <f>MAX((TimeEntries10001010[[#This Row],[End time]]-TimeEntries10001010[[#This Row],[Start time]])*24,0)</f>
        <v>3.376666666707024</v>
      </c>
      <c r="F4289" s="54" t="s">
        <v>184</v>
      </c>
      <c r="G4289" s="22" t="s">
        <v>185</v>
      </c>
      <c r="J4289" s="15"/>
      <c r="K4289" s="2"/>
      <c r="L4289" s="2">
        <f>SUM(TimeEntries10001010[Time delta in h])</f>
        <v>3.376666666707024</v>
      </c>
      <c r="M4289" s="16">
        <f>Tabelle736710011011[[#This Row],[EBS self time]]/Tabelle736710011011[[#This Row],[Total time]]</f>
        <v>0</v>
      </c>
    </row>
    <row r="4290" spans="1:13">
      <c r="B4290" s="1"/>
      <c r="C4290" s="1"/>
      <c r="D4290" s="2"/>
    </row>
    <row r="4292" spans="1:13">
      <c r="A4292" t="s">
        <v>189</v>
      </c>
      <c r="B4292" t="s">
        <v>741</v>
      </c>
      <c r="C4292" t="s">
        <v>190</v>
      </c>
      <c r="D4292">
        <v>18</v>
      </c>
      <c r="E4292" t="s">
        <v>191</v>
      </c>
      <c r="F4292">
        <v>13</v>
      </c>
    </row>
    <row r="4293" spans="1:13">
      <c r="A4293" s="4" t="s">
        <v>24</v>
      </c>
      <c r="I4293" t="s">
        <v>135</v>
      </c>
      <c r="J4293" t="s">
        <v>136</v>
      </c>
    </row>
    <row r="4294" spans="1:13">
      <c r="A4294" t="s">
        <v>3</v>
      </c>
      <c r="B4294" t="s">
        <v>743</v>
      </c>
    </row>
    <row r="4295" spans="1:13">
      <c r="A4295" t="s">
        <v>77</v>
      </c>
      <c r="B4295" s="2" t="s">
        <v>92</v>
      </c>
      <c r="C4295" t="s">
        <v>4</v>
      </c>
    </row>
    <row r="4296" spans="1:13">
      <c r="A4296" t="s">
        <v>0</v>
      </c>
      <c r="B4296" s="2">
        <f>SUM(TimeEntries1004101410181028[Time delta in h])</f>
        <v>26.443611111142673</v>
      </c>
      <c r="C4296" t="s">
        <v>4</v>
      </c>
    </row>
    <row r="4297" spans="1:13">
      <c r="A4297" t="s">
        <v>13</v>
      </c>
      <c r="B4297" s="5" t="s">
        <v>92</v>
      </c>
    </row>
    <row r="4298" spans="1:13">
      <c r="A4298" t="s">
        <v>14</v>
      </c>
      <c r="B4298" s="5" t="s">
        <v>18</v>
      </c>
    </row>
    <row r="4299" spans="1:13">
      <c r="A4299" t="s">
        <v>1</v>
      </c>
      <c r="B4299" t="s">
        <v>131</v>
      </c>
    </row>
    <row r="4300" spans="1:13">
      <c r="A4300" t="s">
        <v>15</v>
      </c>
      <c r="B4300" s="5">
        <v>44161.956145833334</v>
      </c>
    </row>
    <row r="4301" spans="1:13">
      <c r="A4301" t="s">
        <v>2</v>
      </c>
    </row>
    <row r="4302" spans="1:13">
      <c r="A4302" t="s">
        <v>46</v>
      </c>
      <c r="B4302" t="s">
        <v>741</v>
      </c>
    </row>
    <row r="4303" spans="1:13">
      <c r="A4303" t="s">
        <v>5</v>
      </c>
      <c r="B4303" s="2" t="e">
        <f>B4295/SUM(TimeEntries1004101410181028[Time delta in h])</f>
        <v>#VALUE!</v>
      </c>
      <c r="C4303" t="s">
        <v>6</v>
      </c>
    </row>
    <row r="4304" spans="1:13">
      <c r="A4304" t="s">
        <v>93</v>
      </c>
    </row>
    <row r="4305" spans="1:13">
      <c r="A4305" t="s">
        <v>94</v>
      </c>
    </row>
    <row r="4306" spans="1:13">
      <c r="A4306" t="s">
        <v>129</v>
      </c>
      <c r="B4306" s="1">
        <v>44161.956099537034</v>
      </c>
    </row>
    <row r="4308" spans="1:13">
      <c r="A4308" t="s">
        <v>10</v>
      </c>
      <c r="B4308" t="s">
        <v>7</v>
      </c>
      <c r="C4308" t="s">
        <v>8</v>
      </c>
      <c r="D4308" t="s">
        <v>9</v>
      </c>
      <c r="E4308" t="s">
        <v>134</v>
      </c>
      <c r="F4308" t="s">
        <v>84</v>
      </c>
      <c r="G4308" t="s">
        <v>85</v>
      </c>
      <c r="I4308" t="s">
        <v>70</v>
      </c>
      <c r="J4308" s="15" t="s">
        <v>68</v>
      </c>
      <c r="K4308" s="2" t="s">
        <v>69</v>
      </c>
      <c r="L4308" t="s">
        <v>71</v>
      </c>
      <c r="M4308" t="s">
        <v>72</v>
      </c>
    </row>
    <row r="4309" spans="1:13">
      <c r="A4309" t="s">
        <v>126</v>
      </c>
      <c r="B4309" s="1">
        <v>44160.854328703703</v>
      </c>
      <c r="C4309" s="1">
        <v>44161.956145833334</v>
      </c>
      <c r="D4309" s="2">
        <f>MAX((TimeEntries1004101410181028[[#This Row],[End time]]-TimeEntries1004101410181028[[#This Row],[Start time]])*24,0)</f>
        <v>26.443611111142673</v>
      </c>
      <c r="F4309" s="54" t="s">
        <v>184</v>
      </c>
      <c r="G4309" s="22" t="s">
        <v>185</v>
      </c>
      <c r="J4309" s="15"/>
      <c r="K4309" s="2"/>
      <c r="L4309" s="2">
        <f>SUM(TimeEntries1004101410181028[Time delta in h])</f>
        <v>26.443611111142673</v>
      </c>
      <c r="M4309" s="16">
        <f>Tabelle73671005101510191029[[#This Row],[EBS self time]]/Tabelle73671005101510191029[[#This Row],[Total time]]</f>
        <v>0</v>
      </c>
    </row>
    <row r="4310" spans="1:13">
      <c r="B4310" s="1"/>
      <c r="C4310" s="1"/>
      <c r="D4310" s="2"/>
    </row>
    <row r="4312" spans="1:13">
      <c r="A4312" t="s">
        <v>189</v>
      </c>
      <c r="B4312" t="s">
        <v>744</v>
      </c>
      <c r="C4312" t="s">
        <v>190</v>
      </c>
      <c r="D4312">
        <v>23</v>
      </c>
      <c r="E4312" t="s">
        <v>191</v>
      </c>
      <c r="F4312">
        <v>13</v>
      </c>
    </row>
    <row r="4313" spans="1:13">
      <c r="A4313" s="4" t="s">
        <v>24</v>
      </c>
      <c r="I4313" t="s">
        <v>135</v>
      </c>
      <c r="J4313" t="s">
        <v>136</v>
      </c>
    </row>
    <row r="4314" spans="1:13">
      <c r="A4314" t="s">
        <v>3</v>
      </c>
      <c r="B4314" t="s">
        <v>746</v>
      </c>
    </row>
    <row r="4315" spans="1:13">
      <c r="A4315" t="s">
        <v>77</v>
      </c>
      <c r="B4315" s="2">
        <v>2.1587924957275391</v>
      </c>
      <c r="C4315" t="s">
        <v>4</v>
      </c>
    </row>
    <row r="4316" spans="1:13">
      <c r="A4316" t="s">
        <v>0</v>
      </c>
      <c r="B4316" s="2">
        <f>SUM(TimeEntries10201030[Time delta in h])</f>
        <v>28.269166666665114</v>
      </c>
      <c r="C4316" t="s">
        <v>4</v>
      </c>
    </row>
    <row r="4317" spans="1:13">
      <c r="A4317" t="s">
        <v>13</v>
      </c>
      <c r="B4317" s="5" t="s">
        <v>92</v>
      </c>
    </row>
    <row r="4318" spans="1:13">
      <c r="A4318" t="s">
        <v>14</v>
      </c>
      <c r="B4318" s="5" t="s">
        <v>18</v>
      </c>
    </row>
    <row r="4319" spans="1:13">
      <c r="A4319" t="s">
        <v>1</v>
      </c>
      <c r="B4319" t="s">
        <v>131</v>
      </c>
    </row>
    <row r="4320" spans="1:13">
      <c r="A4320" t="s">
        <v>15</v>
      </c>
      <c r="B4320" s="5">
        <v>44161.956157407411</v>
      </c>
    </row>
    <row r="4321" spans="1:13">
      <c r="A4321" t="s">
        <v>2</v>
      </c>
    </row>
    <row r="4322" spans="1:13">
      <c r="A4322" t="s">
        <v>46</v>
      </c>
      <c r="B4322" t="s">
        <v>744</v>
      </c>
    </row>
    <row r="4323" spans="1:13">
      <c r="A4323" t="s">
        <v>5</v>
      </c>
      <c r="B4323" s="2">
        <f>B4315/SUM(TimeEntries10201030[Time delta in h])</f>
        <v>7.6365621993137081E-2</v>
      </c>
      <c r="C4323" t="s">
        <v>6</v>
      </c>
    </row>
    <row r="4324" spans="1:13">
      <c r="A4324" t="s">
        <v>93</v>
      </c>
    </row>
    <row r="4325" spans="1:13">
      <c r="A4325" t="s">
        <v>94</v>
      </c>
    </row>
    <row r="4326" spans="1:13">
      <c r="A4326" t="s">
        <v>129</v>
      </c>
      <c r="B4326" s="1">
        <v>44161.956145833334</v>
      </c>
    </row>
    <row r="4328" spans="1:13">
      <c r="A4328" t="s">
        <v>10</v>
      </c>
      <c r="B4328" t="s">
        <v>7</v>
      </c>
      <c r="C4328" t="s">
        <v>8</v>
      </c>
      <c r="D4328" t="s">
        <v>9</v>
      </c>
      <c r="E4328" t="s">
        <v>134</v>
      </c>
      <c r="F4328" t="s">
        <v>84</v>
      </c>
      <c r="G4328" t="s">
        <v>85</v>
      </c>
      <c r="I4328" t="s">
        <v>70</v>
      </c>
      <c r="J4328" s="15" t="s">
        <v>68</v>
      </c>
      <c r="K4328" s="2" t="s">
        <v>69</v>
      </c>
      <c r="L4328" t="s">
        <v>71</v>
      </c>
      <c r="M4328" t="s">
        <v>72</v>
      </c>
    </row>
    <row r="4329" spans="1:13">
      <c r="A4329" t="s">
        <v>126</v>
      </c>
      <c r="B4329" s="1">
        <v>44160.778275462966</v>
      </c>
      <c r="C4329" s="1">
        <v>44161.956157407411</v>
      </c>
      <c r="D4329" s="2">
        <f>MAX((TimeEntries10201030[[#This Row],[End time]]-TimeEntries10201030[[#This Row],[Start time]])*24,0)</f>
        <v>28.269166666665114</v>
      </c>
      <c r="F4329" s="54" t="s">
        <v>184</v>
      </c>
      <c r="G4329" s="22" t="s">
        <v>185</v>
      </c>
      <c r="I4329" t="s">
        <v>126</v>
      </c>
      <c r="J4329" s="15">
        <v>0.05</v>
      </c>
      <c r="K4329" s="2">
        <v>1.0793962478637695</v>
      </c>
      <c r="L4329" s="2">
        <f>SUM(TimeEntries10201030[Time delta in h])</f>
        <v>28.269166666665114</v>
      </c>
      <c r="M4329" s="16">
        <f>Tabelle736710211031[[#This Row],[EBS self time]]/Tabelle736710211031[[#This Row],[Total time]]</f>
        <v>3.8182810996568541E-2</v>
      </c>
    </row>
    <row r="4330" spans="1:13">
      <c r="B4330" s="1"/>
      <c r="C4330" s="1"/>
      <c r="D4330" s="2"/>
      <c r="I4330" t="s">
        <v>127</v>
      </c>
      <c r="J4330" s="15">
        <v>0.2</v>
      </c>
      <c r="K4330" s="2">
        <v>1.0793962478637695</v>
      </c>
      <c r="L4330" s="2">
        <f>SUM(TimeEntries10201030[Time delta in h])</f>
        <v>28.269166666665114</v>
      </c>
      <c r="M4330" s="16">
        <f>Tabelle736710211031[[#This Row],[EBS self time]]/Tabelle736710211031[[#This Row],[Total time]]</f>
        <v>3.8182810996568541E-2</v>
      </c>
    </row>
    <row r="4331" spans="1:13">
      <c r="I4331" t="s">
        <v>169</v>
      </c>
      <c r="J4331" s="15">
        <v>0.35</v>
      </c>
      <c r="K4331" s="2">
        <v>1.0793962478637695</v>
      </c>
      <c r="L4331" s="2">
        <f>SUM(TimeEntries10201030[Time delta in h])</f>
        <v>28.269166666665114</v>
      </c>
      <c r="M4331" s="16">
        <f>Tabelle736710211031[[#This Row],[EBS self time]]/Tabelle736710211031[[#This Row],[Total time]]</f>
        <v>3.8182810996568541E-2</v>
      </c>
    </row>
    <row r="4332" spans="1:13">
      <c r="I4332" t="s">
        <v>172</v>
      </c>
      <c r="J4332" s="15">
        <v>0.5</v>
      </c>
      <c r="K4332" s="2">
        <v>1.0793962478637695</v>
      </c>
      <c r="L4332" s="2">
        <f>SUM(TimeEntries10201030[Time delta in h])</f>
        <v>28.269166666665114</v>
      </c>
      <c r="M4332" s="16">
        <f>Tabelle736710211031[[#This Row],[EBS self time]]/Tabelle736710211031[[#This Row],[Total time]]</f>
        <v>3.8182810996568541E-2</v>
      </c>
    </row>
    <row r="4333" spans="1:13">
      <c r="I4333" t="s">
        <v>187</v>
      </c>
      <c r="J4333" s="15">
        <v>0.65</v>
      </c>
      <c r="K4333" s="2">
        <v>2.3987280570259397</v>
      </c>
      <c r="L4333" s="2">
        <f>SUM(TimeEntries10201030[Time delta in h])</f>
        <v>28.269166666665114</v>
      </c>
      <c r="M4333" s="16">
        <f>Tabelle736710211031[[#This Row],[EBS self time]]/Tabelle736710211031[[#This Row],[Total time]]</f>
        <v>8.4853157693343326E-2</v>
      </c>
    </row>
    <row r="4334" spans="1:13">
      <c r="I4334" t="s">
        <v>192</v>
      </c>
      <c r="J4334" s="15">
        <v>0.8</v>
      </c>
      <c r="K4334" s="2">
        <v>4.1837063870688738</v>
      </c>
      <c r="L4334" s="2">
        <f>SUM(TimeEntries10201030[Time delta in h])</f>
        <v>28.269166666665114</v>
      </c>
      <c r="M4334" s="16">
        <f>Tabelle736710211031[[#This Row],[EBS self time]]/Tabelle736710211031[[#This Row],[Total time]]</f>
        <v>0.14799539145956797</v>
      </c>
    </row>
    <row r="4335" spans="1:13">
      <c r="I4335" t="s">
        <v>193</v>
      </c>
      <c r="J4335" s="15">
        <v>0.95</v>
      </c>
      <c r="K4335" s="2">
        <v>4.1837063870688738</v>
      </c>
      <c r="L4335" s="2">
        <f>SUM(TimeEntries10201030[Time delta in h])</f>
        <v>28.269166666665114</v>
      </c>
      <c r="M4335" s="16">
        <f>Tabelle736710211031[[#This Row],[EBS self time]]/Tabelle736710211031[[#This Row],[Total time]]</f>
        <v>0.14799539145956797</v>
      </c>
    </row>
    <row r="4337" spans="1:10">
      <c r="A4337" t="s">
        <v>189</v>
      </c>
      <c r="B4337" t="s">
        <v>747</v>
      </c>
      <c r="C4337" t="s">
        <v>190</v>
      </c>
      <c r="D4337">
        <v>23</v>
      </c>
      <c r="E4337" t="s">
        <v>191</v>
      </c>
      <c r="F4337">
        <v>13</v>
      </c>
    </row>
    <row r="4338" spans="1:10">
      <c r="A4338" s="4" t="s">
        <v>24</v>
      </c>
      <c r="I4338" t="s">
        <v>135</v>
      </c>
      <c r="J4338" t="s">
        <v>136</v>
      </c>
    </row>
    <row r="4339" spans="1:10">
      <c r="A4339" t="s">
        <v>3</v>
      </c>
      <c r="B4339" t="s">
        <v>749</v>
      </c>
    </row>
    <row r="4340" spans="1:10">
      <c r="A4340" t="s">
        <v>77</v>
      </c>
      <c r="B4340" s="2">
        <v>5.4096784591674805</v>
      </c>
      <c r="C4340" t="s">
        <v>4</v>
      </c>
    </row>
    <row r="4341" spans="1:10">
      <c r="A4341" t="s">
        <v>0</v>
      </c>
      <c r="B4341" s="2">
        <f>SUM(TimeEntries10221032[Time delta in h])</f>
        <v>11.234722222143319</v>
      </c>
      <c r="C4341" t="s">
        <v>4</v>
      </c>
    </row>
    <row r="4342" spans="1:10">
      <c r="A4342" t="s">
        <v>13</v>
      </c>
      <c r="B4342" s="5" t="s">
        <v>92</v>
      </c>
    </row>
    <row r="4343" spans="1:10">
      <c r="A4343" t="s">
        <v>14</v>
      </c>
      <c r="B4343" s="5" t="s">
        <v>18</v>
      </c>
    </row>
    <row r="4344" spans="1:10">
      <c r="A4344" t="s">
        <v>1</v>
      </c>
      <c r="B4344" t="s">
        <v>131</v>
      </c>
    </row>
    <row r="4345" spans="1:10">
      <c r="A4345" t="s">
        <v>15</v>
      </c>
      <c r="B4345" s="5">
        <v>44161.95616898148</v>
      </c>
    </row>
    <row r="4346" spans="1:10">
      <c r="A4346" t="s">
        <v>2</v>
      </c>
    </row>
    <row r="4347" spans="1:10">
      <c r="A4347" t="s">
        <v>46</v>
      </c>
      <c r="B4347" t="s">
        <v>747</v>
      </c>
    </row>
    <row r="4348" spans="1:10">
      <c r="A4348" t="s">
        <v>5</v>
      </c>
      <c r="B4348" s="2">
        <f>B4340/SUM(TimeEntries10221032[Time delta in h])</f>
        <v>0.48151421567906305</v>
      </c>
      <c r="C4348" t="s">
        <v>6</v>
      </c>
    </row>
    <row r="4349" spans="1:10">
      <c r="A4349" t="s">
        <v>93</v>
      </c>
      <c r="B4349" t="s">
        <v>182</v>
      </c>
    </row>
    <row r="4350" spans="1:10">
      <c r="A4350" t="s">
        <v>94</v>
      </c>
      <c r="B4350" t="s">
        <v>1276</v>
      </c>
    </row>
    <row r="4351" spans="1:10">
      <c r="A4351" t="s">
        <v>129</v>
      </c>
      <c r="B4351" s="1">
        <v>44161.956157407411</v>
      </c>
    </row>
    <row r="4353" spans="1:13">
      <c r="A4353" t="s">
        <v>10</v>
      </c>
      <c r="B4353" t="s">
        <v>7</v>
      </c>
      <c r="C4353" t="s">
        <v>8</v>
      </c>
      <c r="D4353" t="s">
        <v>9</v>
      </c>
      <c r="E4353" t="s">
        <v>134</v>
      </c>
      <c r="F4353" t="s">
        <v>84</v>
      </c>
      <c r="G4353" t="s">
        <v>85</v>
      </c>
      <c r="I4353" t="s">
        <v>70</v>
      </c>
      <c r="J4353" s="15" t="s">
        <v>68</v>
      </c>
      <c r="K4353" s="2" t="s">
        <v>69</v>
      </c>
      <c r="L4353" t="s">
        <v>71</v>
      </c>
      <c r="M4353" t="s">
        <v>72</v>
      </c>
    </row>
    <row r="4354" spans="1:13">
      <c r="A4354" t="s">
        <v>126</v>
      </c>
      <c r="B4354" s="1">
        <v>44161.488055555557</v>
      </c>
      <c r="C4354" s="1">
        <v>44161.95616898148</v>
      </c>
      <c r="D4354" s="2">
        <f>MAX((TimeEntries10221032[[#This Row],[End time]]-TimeEntries10221032[[#This Row],[Start time]])*24,0)</f>
        <v>11.234722222143319</v>
      </c>
      <c r="F4354" s="54" t="s">
        <v>184</v>
      </c>
      <c r="G4354" s="22" t="s">
        <v>185</v>
      </c>
      <c r="I4354" t="s">
        <v>126</v>
      </c>
      <c r="J4354" s="15">
        <v>0.05</v>
      </c>
      <c r="K4354" s="2">
        <v>2.7048392295837402</v>
      </c>
      <c r="L4354" s="2">
        <f>SUM(TimeEntries10221032[Time delta in h])</f>
        <v>11.234722222143319</v>
      </c>
      <c r="M4354" s="16">
        <f>Tabelle736710231033[[#This Row],[EBS self time]]/Tabelle736710231033[[#This Row],[Total time]]</f>
        <v>0.24075710783953153</v>
      </c>
    </row>
    <row r="4355" spans="1:13">
      <c r="B4355" s="1"/>
      <c r="C4355" s="1"/>
      <c r="D4355" s="2"/>
      <c r="I4355" t="s">
        <v>127</v>
      </c>
      <c r="J4355" s="15">
        <v>0.2</v>
      </c>
      <c r="K4355" s="2">
        <v>2.7048392295837402</v>
      </c>
      <c r="L4355" s="2">
        <f>SUM(TimeEntries10221032[Time delta in h])</f>
        <v>11.234722222143319</v>
      </c>
      <c r="M4355" s="16">
        <f>Tabelle736710231033[[#This Row],[EBS self time]]/Tabelle736710231033[[#This Row],[Total time]]</f>
        <v>0.24075710783953153</v>
      </c>
    </row>
    <row r="4356" spans="1:13">
      <c r="I4356" t="s">
        <v>169</v>
      </c>
      <c r="J4356" s="15">
        <v>0.35</v>
      </c>
      <c r="K4356" s="2">
        <v>2.7048392295837402</v>
      </c>
      <c r="L4356" s="2">
        <f>SUM(TimeEntries10221032[Time delta in h])</f>
        <v>11.234722222143319</v>
      </c>
      <c r="M4356" s="16">
        <f>Tabelle736710231033[[#This Row],[EBS self time]]/Tabelle736710231033[[#This Row],[Total time]]</f>
        <v>0.24075710783953153</v>
      </c>
    </row>
    <row r="4357" spans="1:13">
      <c r="I4357" t="s">
        <v>172</v>
      </c>
      <c r="J4357" s="15">
        <v>0.5</v>
      </c>
      <c r="K4357" s="2">
        <v>2.7048392295837402</v>
      </c>
      <c r="L4357" s="2">
        <f>SUM(TimeEntries10221032[Time delta in h])</f>
        <v>11.234722222143319</v>
      </c>
      <c r="M4357" s="16">
        <f>Tabelle736710231033[[#This Row],[EBS self time]]/Tabelle736710231033[[#This Row],[Total time]]</f>
        <v>0.24075710783953153</v>
      </c>
    </row>
    <row r="4358" spans="1:13">
      <c r="I4358" t="s">
        <v>187</v>
      </c>
      <c r="J4358" s="15">
        <v>0.65</v>
      </c>
      <c r="K4358" s="2">
        <v>6.0109285747358063</v>
      </c>
      <c r="L4358" s="2">
        <f>SUM(TimeEntries10221032[Time delta in h])</f>
        <v>11.234722222143319</v>
      </c>
      <c r="M4358" s="16">
        <f>Tabelle736710231033[[#This Row],[EBS self time]]/Tabelle736710231033[[#This Row],[Total time]]</f>
        <v>0.53503134798370333</v>
      </c>
    </row>
    <row r="4359" spans="1:13">
      <c r="I4359" t="s">
        <v>192</v>
      </c>
      <c r="J4359" s="15">
        <v>0.8</v>
      </c>
      <c r="K4359" s="2">
        <v>10.483872982882714</v>
      </c>
      <c r="L4359" s="2">
        <f>SUM(TimeEntries10221032[Time delta in h])</f>
        <v>11.234722222143319</v>
      </c>
      <c r="M4359" s="16">
        <f>Tabelle736710231033[[#This Row],[EBS self time]]/Tabelle736710231033[[#This Row],[Total time]]</f>
        <v>0.93316708464934695</v>
      </c>
    </row>
    <row r="4360" spans="1:13">
      <c r="I4360" t="s">
        <v>193</v>
      </c>
      <c r="J4360" s="15">
        <v>0.95</v>
      </c>
      <c r="K4360" s="2">
        <v>10.483872982882714</v>
      </c>
      <c r="L4360" s="2">
        <f>SUM(TimeEntries10221032[Time delta in h])</f>
        <v>11.234722222143319</v>
      </c>
      <c r="M4360" s="16">
        <f>Tabelle736710231033[[#This Row],[EBS self time]]/Tabelle736710231033[[#This Row],[Total time]]</f>
        <v>0.93316708464934695</v>
      </c>
    </row>
    <row r="4362" spans="1:13">
      <c r="A4362" t="s">
        <v>189</v>
      </c>
      <c r="B4362" t="s">
        <v>753</v>
      </c>
      <c r="C4362" t="s">
        <v>190</v>
      </c>
      <c r="D4362">
        <v>18</v>
      </c>
      <c r="E4362" t="s">
        <v>191</v>
      </c>
      <c r="F4362">
        <v>13</v>
      </c>
    </row>
    <row r="4363" spans="1:13">
      <c r="A4363" s="4" t="s">
        <v>24</v>
      </c>
      <c r="I4363" t="s">
        <v>135</v>
      </c>
      <c r="J4363" t="s">
        <v>136</v>
      </c>
    </row>
    <row r="4364" spans="1:13">
      <c r="A4364" t="s">
        <v>3</v>
      </c>
      <c r="B4364" t="s">
        <v>755</v>
      </c>
    </row>
    <row r="4365" spans="1:13">
      <c r="A4365" t="s">
        <v>77</v>
      </c>
      <c r="B4365" s="2" t="s">
        <v>92</v>
      </c>
      <c r="C4365" t="s">
        <v>4</v>
      </c>
    </row>
    <row r="4366" spans="1:13">
      <c r="A4366" t="s">
        <v>0</v>
      </c>
      <c r="B4366" s="2">
        <f>SUM(TimeEntries1026103610401050[Time delta in h])</f>
        <v>29.433611111075152</v>
      </c>
      <c r="C4366" t="s">
        <v>4</v>
      </c>
    </row>
    <row r="4367" spans="1:13">
      <c r="A4367" t="s">
        <v>13</v>
      </c>
      <c r="B4367" s="5" t="s">
        <v>92</v>
      </c>
    </row>
    <row r="4368" spans="1:13">
      <c r="A4368" t="s">
        <v>14</v>
      </c>
      <c r="B4368" s="5" t="s">
        <v>18</v>
      </c>
    </row>
    <row r="4369" spans="1:13">
      <c r="A4369" t="s">
        <v>1</v>
      </c>
      <c r="B4369" t="s">
        <v>91</v>
      </c>
    </row>
    <row r="4370" spans="1:13">
      <c r="A4370" t="s">
        <v>15</v>
      </c>
      <c r="B4370" s="5" t="s">
        <v>92</v>
      </c>
    </row>
    <row r="4371" spans="1:13">
      <c r="A4371" t="s">
        <v>2</v>
      </c>
    </row>
    <row r="4372" spans="1:13">
      <c r="A4372" t="s">
        <v>46</v>
      </c>
      <c r="B4372" t="s">
        <v>753</v>
      </c>
    </row>
    <row r="4373" spans="1:13">
      <c r="A4373" t="s">
        <v>5</v>
      </c>
      <c r="B4373" s="2" t="e">
        <f>B4365/SUM(TimeEntries1026103610401050[Time delta in h])</f>
        <v>#VALUE!</v>
      </c>
      <c r="C4373" t="s">
        <v>6</v>
      </c>
    </row>
    <row r="4374" spans="1:13">
      <c r="A4374" t="s">
        <v>93</v>
      </c>
    </row>
    <row r="4375" spans="1:13">
      <c r="A4375" t="s">
        <v>94</v>
      </c>
    </row>
    <row r="4376" spans="1:13">
      <c r="A4376" t="s">
        <v>129</v>
      </c>
      <c r="B4376" s="1">
        <v>44161.956180555557</v>
      </c>
    </row>
    <row r="4378" spans="1:13">
      <c r="A4378" t="s">
        <v>10</v>
      </c>
      <c r="B4378" t="s">
        <v>7</v>
      </c>
      <c r="C4378" t="s">
        <v>8</v>
      </c>
      <c r="D4378" t="s">
        <v>9</v>
      </c>
      <c r="E4378" t="s">
        <v>134</v>
      </c>
      <c r="F4378" t="s">
        <v>84</v>
      </c>
      <c r="G4378" t="s">
        <v>85</v>
      </c>
      <c r="I4378" t="s">
        <v>70</v>
      </c>
      <c r="J4378" s="15" t="s">
        <v>68</v>
      </c>
      <c r="K4378" s="2" t="s">
        <v>69</v>
      </c>
      <c r="L4378" t="s">
        <v>71</v>
      </c>
      <c r="M4378" t="s">
        <v>72</v>
      </c>
    </row>
    <row r="4379" spans="1:13">
      <c r="A4379" t="s">
        <v>126</v>
      </c>
      <c r="B4379" s="1">
        <v>44160.729837962965</v>
      </c>
      <c r="C4379" s="1">
        <v>44161.956238425926</v>
      </c>
      <c r="D4379" s="2">
        <f>MAX((TimeEntries1026103610401050[[#This Row],[End time]]-TimeEntries1026103610401050[[#This Row],[Start time]])*24,0)</f>
        <v>29.433611111075152</v>
      </c>
      <c r="F4379" s="54" t="s">
        <v>184</v>
      </c>
      <c r="G4379" s="22" t="s">
        <v>185</v>
      </c>
      <c r="J4379" s="15"/>
      <c r="K4379" s="2"/>
      <c r="L4379" s="2">
        <f>SUM(TimeEntries1026103610401050[Time delta in h])</f>
        <v>29.433611111075152</v>
      </c>
      <c r="M4379" s="16">
        <f>Tabelle73671027103710411051[[#This Row],[EBS self time]]/Tabelle73671027103710411051[[#This Row],[Total time]]</f>
        <v>0</v>
      </c>
    </row>
    <row r="4380" spans="1:13">
      <c r="B4380" s="1"/>
      <c r="C4380" s="1"/>
      <c r="D4380" s="2"/>
    </row>
    <row r="4382" spans="1:13">
      <c r="A4382" t="s">
        <v>189</v>
      </c>
      <c r="B4382" t="s">
        <v>756</v>
      </c>
      <c r="C4382" t="s">
        <v>190</v>
      </c>
      <c r="D4382">
        <v>23</v>
      </c>
      <c r="E4382" t="s">
        <v>191</v>
      </c>
      <c r="F4382">
        <v>13</v>
      </c>
    </row>
    <row r="4383" spans="1:13">
      <c r="A4383" s="4" t="s">
        <v>24</v>
      </c>
      <c r="I4383" t="s">
        <v>135</v>
      </c>
      <c r="J4383" t="s">
        <v>136</v>
      </c>
    </row>
    <row r="4384" spans="1:13">
      <c r="A4384" t="s">
        <v>3</v>
      </c>
      <c r="B4384" t="s">
        <v>758</v>
      </c>
    </row>
    <row r="4385" spans="1:13">
      <c r="A4385" t="s">
        <v>77</v>
      </c>
      <c r="B4385" s="2">
        <v>12.015027046203613</v>
      </c>
      <c r="C4385" t="s">
        <v>4</v>
      </c>
    </row>
    <row r="4386" spans="1:13">
      <c r="A4386" t="s">
        <v>0</v>
      </c>
      <c r="B4386" s="2">
        <f>SUM(TimeEntries10421052[Time delta in h])</f>
        <v>6.6688888889621012</v>
      </c>
      <c r="C4386" t="s">
        <v>4</v>
      </c>
    </row>
    <row r="4387" spans="1:13">
      <c r="A4387" t="s">
        <v>13</v>
      </c>
      <c r="B4387" s="5" t="s">
        <v>92</v>
      </c>
    </row>
    <row r="4388" spans="1:13">
      <c r="A4388" t="s">
        <v>14</v>
      </c>
      <c r="B4388" s="5" t="s">
        <v>18</v>
      </c>
    </row>
    <row r="4389" spans="1:13">
      <c r="A4389" t="s">
        <v>1</v>
      </c>
      <c r="B4389" t="s">
        <v>131</v>
      </c>
    </row>
    <row r="4390" spans="1:13">
      <c r="A4390" t="s">
        <v>15</v>
      </c>
      <c r="B4390" s="5">
        <v>44161.956250000003</v>
      </c>
    </row>
    <row r="4391" spans="1:13">
      <c r="A4391" t="s">
        <v>2</v>
      </c>
    </row>
    <row r="4392" spans="1:13">
      <c r="A4392" t="s">
        <v>46</v>
      </c>
      <c r="B4392" t="s">
        <v>756</v>
      </c>
    </row>
    <row r="4393" spans="1:13">
      <c r="A4393" t="s">
        <v>5</v>
      </c>
      <c r="B4393" s="2">
        <f>B4385/SUM(TimeEntries10421052[Time delta in h])</f>
        <v>1.8016535057421759</v>
      </c>
      <c r="C4393" t="s">
        <v>6</v>
      </c>
    </row>
    <row r="4394" spans="1:13">
      <c r="A4394" t="s">
        <v>93</v>
      </c>
    </row>
    <row r="4395" spans="1:13">
      <c r="A4395" t="s">
        <v>94</v>
      </c>
    </row>
    <row r="4396" spans="1:13">
      <c r="A4396" t="s">
        <v>129</v>
      </c>
      <c r="B4396" s="1">
        <v>44161.956250000003</v>
      </c>
    </row>
    <row r="4398" spans="1:13">
      <c r="A4398" t="s">
        <v>10</v>
      </c>
      <c r="B4398" t="s">
        <v>7</v>
      </c>
      <c r="C4398" t="s">
        <v>8</v>
      </c>
      <c r="D4398" t="s">
        <v>9</v>
      </c>
      <c r="E4398" t="s">
        <v>134</v>
      </c>
      <c r="F4398" t="s">
        <v>84</v>
      </c>
      <c r="G4398" t="s">
        <v>85</v>
      </c>
      <c r="I4398" t="s">
        <v>70</v>
      </c>
      <c r="J4398" s="15" t="s">
        <v>68</v>
      </c>
      <c r="K4398" s="2" t="s">
        <v>69</v>
      </c>
      <c r="L4398" t="s">
        <v>71</v>
      </c>
      <c r="M4398" t="s">
        <v>72</v>
      </c>
    </row>
    <row r="4399" spans="1:13">
      <c r="A4399" t="s">
        <v>126</v>
      </c>
      <c r="B4399" s="1">
        <v>44161.678379629629</v>
      </c>
      <c r="C4399" s="1">
        <v>44161.956250000003</v>
      </c>
      <c r="D4399" s="2">
        <f>MAX((TimeEntries10421052[[#This Row],[End time]]-TimeEntries10421052[[#This Row],[Start time]])*24,0)</f>
        <v>6.6688888889621012</v>
      </c>
      <c r="F4399" s="54" t="s">
        <v>184</v>
      </c>
      <c r="G4399" s="22" t="s">
        <v>185</v>
      </c>
      <c r="I4399" t="s">
        <v>126</v>
      </c>
      <c r="J4399" s="15">
        <v>0.05</v>
      </c>
      <c r="K4399" s="2">
        <v>6.0075135231018066</v>
      </c>
      <c r="L4399" s="2">
        <f>SUM(TimeEntries10421052[Time delta in h])</f>
        <v>6.6688888889621012</v>
      </c>
      <c r="M4399" s="16">
        <f>Tabelle736710431053[[#This Row],[EBS self time]]/Tabelle736710431053[[#This Row],[Total time]]</f>
        <v>0.90082675287108793</v>
      </c>
    </row>
    <row r="4400" spans="1:13">
      <c r="B4400" s="1"/>
      <c r="C4400" s="1"/>
      <c r="D4400" s="2"/>
      <c r="I4400" t="s">
        <v>127</v>
      </c>
      <c r="J4400" s="15">
        <v>0.2</v>
      </c>
      <c r="K4400" s="2">
        <v>6.0075135231018066</v>
      </c>
      <c r="L4400" s="2">
        <f>SUM(TimeEntries10421052[Time delta in h])</f>
        <v>6.6688888889621012</v>
      </c>
      <c r="M4400" s="16">
        <f>Tabelle736710431053[[#This Row],[EBS self time]]/Tabelle736710431053[[#This Row],[Total time]]</f>
        <v>0.90082675287108793</v>
      </c>
    </row>
    <row r="4401" spans="1:13">
      <c r="I4401" t="s">
        <v>169</v>
      </c>
      <c r="J4401" s="15">
        <v>0.35</v>
      </c>
      <c r="K4401" s="2">
        <v>6.0075135231018066</v>
      </c>
      <c r="L4401" s="2">
        <f>SUM(TimeEntries10421052[Time delta in h])</f>
        <v>6.6688888889621012</v>
      </c>
      <c r="M4401" s="16">
        <f>Tabelle736710431053[[#This Row],[EBS self time]]/Tabelle736710431053[[#This Row],[Total time]]</f>
        <v>0.90082675287108793</v>
      </c>
    </row>
    <row r="4402" spans="1:13">
      <c r="I4402" t="s">
        <v>172</v>
      </c>
      <c r="J4402" s="15">
        <v>0.5</v>
      </c>
      <c r="K4402" s="2">
        <v>6.0075135231018066</v>
      </c>
      <c r="L4402" s="2">
        <f>SUM(TimeEntries10421052[Time delta in h])</f>
        <v>6.6688888889621012</v>
      </c>
      <c r="M4402" s="16">
        <f>Tabelle736710431053[[#This Row],[EBS self time]]/Tabelle736710431053[[#This Row],[Total time]]</f>
        <v>0.90082675287108793</v>
      </c>
    </row>
    <row r="4403" spans="1:13">
      <c r="I4403" t="s">
        <v>187</v>
      </c>
      <c r="J4403" s="15">
        <v>0.65</v>
      </c>
      <c r="K4403" s="2">
        <v>13.350418133606288</v>
      </c>
      <c r="L4403" s="2">
        <f>SUM(TimeEntries10421052[Time delta in h])</f>
        <v>6.6688888889621012</v>
      </c>
      <c r="M4403" s="16">
        <f>Tabelle736710431053[[#This Row],[EBS self time]]/Tabelle736710431053[[#This Row],[Total time]]</f>
        <v>2.0018954215451101</v>
      </c>
    </row>
    <row r="4404" spans="1:13">
      <c r="I4404" t="s">
        <v>192</v>
      </c>
      <c r="J4404" s="15">
        <v>0.8</v>
      </c>
      <c r="K4404" s="2">
        <v>23.284936136053513</v>
      </c>
      <c r="L4404" s="2">
        <f>SUM(TimeEntries10421052[Time delta in h])</f>
        <v>6.6688888889621012</v>
      </c>
      <c r="M4404" s="16">
        <f>Tabelle736710431053[[#This Row],[EBS self time]]/Tabelle736710431053[[#This Row],[Total time]]</f>
        <v>3.4915765615158443</v>
      </c>
    </row>
    <row r="4405" spans="1:13">
      <c r="I4405" t="s">
        <v>193</v>
      </c>
      <c r="J4405" s="15">
        <v>0.95</v>
      </c>
      <c r="K4405" s="2">
        <v>23.284936136053513</v>
      </c>
      <c r="L4405" s="2">
        <f>SUM(TimeEntries10421052[Time delta in h])</f>
        <v>6.6688888889621012</v>
      </c>
      <c r="M4405" s="16">
        <f>Tabelle736710431053[[#This Row],[EBS self time]]/Tabelle736710431053[[#This Row],[Total time]]</f>
        <v>3.4915765615158443</v>
      </c>
    </row>
    <row r="4407" spans="1:13">
      <c r="A4407" t="s">
        <v>189</v>
      </c>
      <c r="B4407" t="s">
        <v>759</v>
      </c>
      <c r="C4407" t="s">
        <v>190</v>
      </c>
      <c r="D4407">
        <v>23</v>
      </c>
      <c r="E4407" t="s">
        <v>191</v>
      </c>
      <c r="F4407">
        <v>13</v>
      </c>
    </row>
    <row r="4408" spans="1:13">
      <c r="A4408" s="4" t="s">
        <v>24</v>
      </c>
      <c r="I4408" t="s">
        <v>135</v>
      </c>
      <c r="J4408" t="s">
        <v>136</v>
      </c>
    </row>
    <row r="4409" spans="1:13">
      <c r="A4409" t="s">
        <v>3</v>
      </c>
      <c r="B4409" t="s">
        <v>761</v>
      </c>
    </row>
    <row r="4410" spans="1:13">
      <c r="A4410" t="s">
        <v>77</v>
      </c>
      <c r="B4410" s="2">
        <v>14.887521743774414</v>
      </c>
      <c r="C4410" t="s">
        <v>4</v>
      </c>
    </row>
    <row r="4411" spans="1:13">
      <c r="A4411" t="s">
        <v>0</v>
      </c>
      <c r="B4411" s="2">
        <f>SUM(TimeEntries10441054[Time delta in h])</f>
        <v>23.334444444451947</v>
      </c>
      <c r="C4411" t="s">
        <v>4</v>
      </c>
    </row>
    <row r="4412" spans="1:13">
      <c r="A4412" t="s">
        <v>13</v>
      </c>
      <c r="B4412" s="5" t="s">
        <v>92</v>
      </c>
    </row>
    <row r="4413" spans="1:13">
      <c r="A4413" t="s">
        <v>14</v>
      </c>
      <c r="B4413" s="5" t="s">
        <v>18</v>
      </c>
    </row>
    <row r="4414" spans="1:13">
      <c r="A4414" t="s">
        <v>1</v>
      </c>
      <c r="B4414" t="s">
        <v>91</v>
      </c>
    </row>
    <row r="4415" spans="1:13">
      <c r="A4415" t="s">
        <v>15</v>
      </c>
      <c r="B4415" s="5" t="s">
        <v>92</v>
      </c>
    </row>
    <row r="4416" spans="1:13">
      <c r="A4416" t="s">
        <v>2</v>
      </c>
    </row>
    <row r="4417" spans="1:13">
      <c r="A4417" t="s">
        <v>46</v>
      </c>
      <c r="B4417" t="s">
        <v>759</v>
      </c>
    </row>
    <row r="4418" spans="1:13">
      <c r="A4418" t="s">
        <v>5</v>
      </c>
      <c r="B4418" s="2">
        <f>B4410/SUM(TimeEntries10441054[Time delta in h])</f>
        <v>0.63800626491084544</v>
      </c>
      <c r="C4418" t="s">
        <v>6</v>
      </c>
    </row>
    <row r="4419" spans="1:13">
      <c r="A4419" t="s">
        <v>93</v>
      </c>
    </row>
    <row r="4420" spans="1:13">
      <c r="A4420" t="s">
        <v>94</v>
      </c>
    </row>
    <row r="4421" spans="1:13">
      <c r="A4421" t="s">
        <v>129</v>
      </c>
      <c r="B4421" s="1">
        <v>44161.956261574072</v>
      </c>
    </row>
    <row r="4423" spans="1:13">
      <c r="A4423" t="s">
        <v>10</v>
      </c>
      <c r="B4423" t="s">
        <v>7</v>
      </c>
      <c r="C4423" t="s">
        <v>8</v>
      </c>
      <c r="D4423" t="s">
        <v>9</v>
      </c>
      <c r="E4423" t="s">
        <v>134</v>
      </c>
      <c r="F4423" t="s">
        <v>84</v>
      </c>
      <c r="G4423" t="s">
        <v>85</v>
      </c>
      <c r="I4423" t="s">
        <v>70</v>
      </c>
      <c r="J4423" s="15" t="s">
        <v>68</v>
      </c>
      <c r="K4423" s="2" t="s">
        <v>69</v>
      </c>
      <c r="L4423" t="s">
        <v>71</v>
      </c>
      <c r="M4423" t="s">
        <v>72</v>
      </c>
    </row>
    <row r="4424" spans="1:13">
      <c r="A4424" t="s">
        <v>126</v>
      </c>
      <c r="B4424" s="1">
        <v>44160.983993055554</v>
      </c>
      <c r="C4424" s="1">
        <v>44161.956261574072</v>
      </c>
      <c r="D4424" s="2">
        <f>MAX((TimeEntries10441054[[#This Row],[End time]]-TimeEntries10441054[[#This Row],[Start time]])*24,0)</f>
        <v>23.334444444451947</v>
      </c>
      <c r="F4424" s="54" t="s">
        <v>184</v>
      </c>
      <c r="G4424" s="22" t="s">
        <v>185</v>
      </c>
      <c r="I4424" t="s">
        <v>126</v>
      </c>
      <c r="J4424" s="15">
        <v>0.05</v>
      </c>
      <c r="K4424" s="2">
        <v>7.443760871887207</v>
      </c>
      <c r="L4424" s="2">
        <f>SUM(TimeEntries10441054[Time delta in h])</f>
        <v>23.334444444451947</v>
      </c>
      <c r="M4424" s="16">
        <f>Tabelle736710451055[[#This Row],[EBS self time]]/Tabelle736710451055[[#This Row],[Total time]]</f>
        <v>0.31900313245542272</v>
      </c>
    </row>
    <row r="4425" spans="1:13">
      <c r="B4425" s="1"/>
      <c r="C4425" s="1"/>
      <c r="D4425" s="2"/>
      <c r="I4425" t="s">
        <v>127</v>
      </c>
      <c r="J4425" s="15">
        <v>0.2</v>
      </c>
      <c r="K4425" s="2">
        <v>7.443760871887207</v>
      </c>
      <c r="L4425" s="2">
        <f>SUM(TimeEntries10441054[Time delta in h])</f>
        <v>23.334444444451947</v>
      </c>
      <c r="M4425" s="16">
        <f>Tabelle736710451055[[#This Row],[EBS self time]]/Tabelle736710451055[[#This Row],[Total time]]</f>
        <v>0.31900313245542272</v>
      </c>
    </row>
    <row r="4426" spans="1:13">
      <c r="I4426" t="s">
        <v>169</v>
      </c>
      <c r="J4426" s="15">
        <v>0.35</v>
      </c>
      <c r="K4426" s="2">
        <v>7.443760871887207</v>
      </c>
      <c r="L4426" s="2">
        <f>SUM(TimeEntries10441054[Time delta in h])</f>
        <v>23.334444444451947</v>
      </c>
      <c r="M4426" s="16">
        <f>Tabelle736710451055[[#This Row],[EBS self time]]/Tabelle736710451055[[#This Row],[Total time]]</f>
        <v>0.31900313245542272</v>
      </c>
    </row>
    <row r="4427" spans="1:13">
      <c r="I4427" t="s">
        <v>172</v>
      </c>
      <c r="J4427" s="15">
        <v>0.5</v>
      </c>
      <c r="K4427" s="2">
        <v>7.443760871887207</v>
      </c>
      <c r="L4427" s="2">
        <f>SUM(TimeEntries10441054[Time delta in h])</f>
        <v>23.334444444451947</v>
      </c>
      <c r="M4427" s="16">
        <f>Tabelle736710451055[[#This Row],[EBS self time]]/Tabelle736710451055[[#This Row],[Total time]]</f>
        <v>0.31900313245542272</v>
      </c>
    </row>
    <row r="4428" spans="1:13">
      <c r="I4428" t="s">
        <v>187</v>
      </c>
      <c r="J4428" s="15">
        <v>0.65</v>
      </c>
      <c r="K4428" s="2">
        <v>7.443760871887207</v>
      </c>
      <c r="L4428" s="2">
        <f>SUM(TimeEntries10441054[Time delta in h])</f>
        <v>23.334444444451947</v>
      </c>
      <c r="M4428" s="16">
        <f>Tabelle736710451055[[#This Row],[EBS self time]]/Tabelle736710451055[[#This Row],[Total time]]</f>
        <v>0.31900313245542272</v>
      </c>
    </row>
    <row r="4429" spans="1:13">
      <c r="I4429" t="s">
        <v>192</v>
      </c>
      <c r="J4429" s="15">
        <v>0.8</v>
      </c>
      <c r="K4429" s="2">
        <v>28.851786325144211</v>
      </c>
      <c r="L4429" s="2">
        <f>SUM(TimeEntries10441054[Time delta in h])</f>
        <v>23.334444444451947</v>
      </c>
      <c r="M4429" s="16">
        <f>Tabelle736710451055[[#This Row],[EBS self time]]/Tabelle736710451055[[#This Row],[Total time]]</f>
        <v>1.2364462498272197</v>
      </c>
    </row>
    <row r="4430" spans="1:13">
      <c r="I4430" t="s">
        <v>193</v>
      </c>
      <c r="J4430" s="15">
        <v>0.95</v>
      </c>
      <c r="K4430" s="2">
        <v>28.851786325144211</v>
      </c>
      <c r="L4430" s="2">
        <f>SUM(TimeEntries10441054[Time delta in h])</f>
        <v>23.334444444451947</v>
      </c>
      <c r="M4430" s="16">
        <f>Tabelle736710451055[[#This Row],[EBS self time]]/Tabelle736710451055[[#This Row],[Total time]]</f>
        <v>1.2364462498272197</v>
      </c>
    </row>
    <row r="4432" spans="1:13">
      <c r="A4432" t="s">
        <v>189</v>
      </c>
      <c r="B4432" t="s">
        <v>762</v>
      </c>
      <c r="C4432" t="s">
        <v>190</v>
      </c>
      <c r="D4432">
        <v>23</v>
      </c>
      <c r="E4432" t="s">
        <v>191</v>
      </c>
      <c r="F4432">
        <v>13</v>
      </c>
    </row>
    <row r="4433" spans="1:13">
      <c r="A4433" s="4" t="s">
        <v>24</v>
      </c>
      <c r="I4433" t="s">
        <v>135</v>
      </c>
      <c r="J4433" t="s">
        <v>136</v>
      </c>
    </row>
    <row r="4434" spans="1:13">
      <c r="A4434" t="s">
        <v>3</v>
      </c>
      <c r="B4434" t="s">
        <v>764</v>
      </c>
    </row>
    <row r="4435" spans="1:13">
      <c r="A4435" t="s">
        <v>77</v>
      </c>
      <c r="B4435" s="2">
        <v>14.564311027526855</v>
      </c>
      <c r="C4435" t="s">
        <v>4</v>
      </c>
    </row>
    <row r="4436" spans="1:13">
      <c r="A4436" t="s">
        <v>0</v>
      </c>
      <c r="B4436" s="2">
        <f>SUM(TimeEntries10461056[Time delta in h])</f>
        <v>23.994444444368128</v>
      </c>
      <c r="C4436" t="s">
        <v>4</v>
      </c>
    </row>
    <row r="4437" spans="1:13">
      <c r="A4437" t="s">
        <v>13</v>
      </c>
      <c r="B4437" s="5" t="s">
        <v>92</v>
      </c>
    </row>
    <row r="4438" spans="1:13">
      <c r="A4438" t="s">
        <v>14</v>
      </c>
      <c r="B4438" s="5" t="s">
        <v>18</v>
      </c>
    </row>
    <row r="4439" spans="1:13">
      <c r="A4439" t="s">
        <v>1</v>
      </c>
      <c r="B4439" t="s">
        <v>91</v>
      </c>
    </row>
    <row r="4440" spans="1:13">
      <c r="A4440" t="s">
        <v>15</v>
      </c>
      <c r="B4440" s="5" t="s">
        <v>92</v>
      </c>
    </row>
    <row r="4441" spans="1:13">
      <c r="A4441" t="s">
        <v>2</v>
      </c>
    </row>
    <row r="4442" spans="1:13">
      <c r="A4442" t="s">
        <v>46</v>
      </c>
      <c r="B4442" t="s">
        <v>762</v>
      </c>
    </row>
    <row r="4443" spans="1:13">
      <c r="A4443" t="s">
        <v>5</v>
      </c>
      <c r="B4443" s="2">
        <f>B4435/SUM(TimeEntries10461056[Time delta in h])</f>
        <v>0.60698679901902575</v>
      </c>
      <c r="C4443" t="s">
        <v>6</v>
      </c>
    </row>
    <row r="4444" spans="1:13">
      <c r="A4444" t="s">
        <v>93</v>
      </c>
    </row>
    <row r="4445" spans="1:13">
      <c r="A4445" t="s">
        <v>94</v>
      </c>
    </row>
    <row r="4446" spans="1:13">
      <c r="A4446" t="s">
        <v>129</v>
      </c>
      <c r="B4446" s="1">
        <v>44161.956273148149</v>
      </c>
    </row>
    <row r="4448" spans="1:13">
      <c r="A4448" t="s">
        <v>10</v>
      </c>
      <c r="B4448" t="s">
        <v>7</v>
      </c>
      <c r="C4448" t="s">
        <v>8</v>
      </c>
      <c r="D4448" t="s">
        <v>9</v>
      </c>
      <c r="E4448" t="s">
        <v>134</v>
      </c>
      <c r="F4448" t="s">
        <v>84</v>
      </c>
      <c r="G4448" t="s">
        <v>85</v>
      </c>
      <c r="I4448" t="s">
        <v>70</v>
      </c>
      <c r="J4448" s="15" t="s">
        <v>68</v>
      </c>
      <c r="K4448" s="2" t="s">
        <v>69</v>
      </c>
      <c r="L4448" t="s">
        <v>71</v>
      </c>
      <c r="M4448" t="s">
        <v>72</v>
      </c>
    </row>
    <row r="4449" spans="1:13">
      <c r="A4449" t="s">
        <v>126</v>
      </c>
      <c r="B4449" s="1">
        <v>44160.956516203703</v>
      </c>
      <c r="C4449" s="1">
        <v>44161.956284722219</v>
      </c>
      <c r="D4449" s="2">
        <f>MAX((TimeEntries10461056[[#This Row],[End time]]-TimeEntries10461056[[#This Row],[Start time]])*24,0)</f>
        <v>23.994444444368128</v>
      </c>
      <c r="F4449" s="54" t="s">
        <v>184</v>
      </c>
      <c r="G4449" s="22" t="s">
        <v>185</v>
      </c>
      <c r="I4449" t="s">
        <v>126</v>
      </c>
      <c r="J4449" s="15">
        <v>0.05</v>
      </c>
      <c r="K4449" s="2">
        <v>7.2821555137634277</v>
      </c>
      <c r="L4449" s="2">
        <f>SUM(TimeEntries10461056[Time delta in h])</f>
        <v>23.994444444368128</v>
      </c>
      <c r="M4449" s="16">
        <f>Tabelle736710471057[[#This Row],[EBS self time]]/Tabelle736710471057[[#This Row],[Total time]]</f>
        <v>0.30349339950951287</v>
      </c>
    </row>
    <row r="4450" spans="1:13">
      <c r="B4450" s="1"/>
      <c r="C4450" s="1"/>
      <c r="D4450" s="2"/>
      <c r="I4450" t="s">
        <v>127</v>
      </c>
      <c r="J4450" s="15">
        <v>0.2</v>
      </c>
      <c r="K4450" s="2">
        <v>7.2821555137634277</v>
      </c>
      <c r="L4450" s="2">
        <f>SUM(TimeEntries10461056[Time delta in h])</f>
        <v>23.994444444368128</v>
      </c>
      <c r="M4450" s="16">
        <f>Tabelle736710471057[[#This Row],[EBS self time]]/Tabelle736710471057[[#This Row],[Total time]]</f>
        <v>0.30349339950951287</v>
      </c>
    </row>
    <row r="4451" spans="1:13">
      <c r="I4451" t="s">
        <v>169</v>
      </c>
      <c r="J4451" s="15">
        <v>0.35</v>
      </c>
      <c r="K4451" s="2">
        <v>7.2821555137634277</v>
      </c>
      <c r="L4451" s="2">
        <f>SUM(TimeEntries10461056[Time delta in h])</f>
        <v>23.994444444368128</v>
      </c>
      <c r="M4451" s="16">
        <f>Tabelle736710471057[[#This Row],[EBS self time]]/Tabelle736710471057[[#This Row],[Total time]]</f>
        <v>0.30349339950951287</v>
      </c>
    </row>
    <row r="4452" spans="1:13">
      <c r="I4452" t="s">
        <v>172</v>
      </c>
      <c r="J4452" s="15">
        <v>0.5</v>
      </c>
      <c r="K4452" s="2">
        <v>7.2821555137634277</v>
      </c>
      <c r="L4452" s="2">
        <f>SUM(TimeEntries10461056[Time delta in h])</f>
        <v>23.994444444368128</v>
      </c>
      <c r="M4452" s="16">
        <f>Tabelle736710471057[[#This Row],[EBS self time]]/Tabelle736710471057[[#This Row],[Total time]]</f>
        <v>0.30349339950951287</v>
      </c>
    </row>
    <row r="4453" spans="1:13">
      <c r="I4453" t="s">
        <v>187</v>
      </c>
      <c r="J4453" s="15">
        <v>0.65</v>
      </c>
      <c r="K4453" s="2">
        <v>28.2254089680753</v>
      </c>
      <c r="L4453" s="2">
        <f>SUM(TimeEntries10461056[Time delta in h])</f>
        <v>23.994444444368128</v>
      </c>
      <c r="M4453" s="16">
        <f>Tabelle736710471057[[#This Row],[EBS self time]]/Tabelle736710471057[[#This Row],[Total time]]</f>
        <v>1.176331005850825</v>
      </c>
    </row>
    <row r="4454" spans="1:13">
      <c r="I4454" t="s">
        <v>192</v>
      </c>
      <c r="J4454" s="15">
        <v>0.8</v>
      </c>
      <c r="K4454" s="2">
        <v>28.2254089680753</v>
      </c>
      <c r="L4454" s="2">
        <f>SUM(TimeEntries10461056[Time delta in h])</f>
        <v>23.994444444368128</v>
      </c>
      <c r="M4454" s="16">
        <f>Tabelle736710471057[[#This Row],[EBS self time]]/Tabelle736710471057[[#This Row],[Total time]]</f>
        <v>1.176331005850825</v>
      </c>
    </row>
    <row r="4455" spans="1:13">
      <c r="I4455" t="s">
        <v>193</v>
      </c>
      <c r="J4455" s="15">
        <v>0.95</v>
      </c>
      <c r="K4455" s="2">
        <v>28.2254089680753</v>
      </c>
      <c r="L4455" s="2">
        <f>SUM(TimeEntries10461056[Time delta in h])</f>
        <v>23.994444444368128</v>
      </c>
      <c r="M4455" s="16">
        <f>Tabelle736710471057[[#This Row],[EBS self time]]/Tabelle736710471057[[#This Row],[Total time]]</f>
        <v>1.176331005850825</v>
      </c>
    </row>
    <row r="4457" spans="1:13">
      <c r="A4457" t="s">
        <v>189</v>
      </c>
      <c r="B4457" t="s">
        <v>765</v>
      </c>
      <c r="C4457" t="s">
        <v>190</v>
      </c>
      <c r="D4457">
        <v>18</v>
      </c>
      <c r="E4457" t="s">
        <v>191</v>
      </c>
      <c r="F4457">
        <v>13</v>
      </c>
    </row>
    <row r="4458" spans="1:13">
      <c r="A4458" s="4" t="s">
        <v>24</v>
      </c>
      <c r="I4458" t="s">
        <v>135</v>
      </c>
      <c r="J4458" t="s">
        <v>136</v>
      </c>
    </row>
    <row r="4459" spans="1:13">
      <c r="A4459" t="s">
        <v>3</v>
      </c>
      <c r="B4459" t="s">
        <v>767</v>
      </c>
    </row>
    <row r="4460" spans="1:13">
      <c r="A4460" t="s">
        <v>77</v>
      </c>
      <c r="B4460" s="2" t="s">
        <v>92</v>
      </c>
      <c r="C4460" t="s">
        <v>4</v>
      </c>
    </row>
    <row r="4461" spans="1:13">
      <c r="A4461" t="s">
        <v>0</v>
      </c>
      <c r="B4461" s="2">
        <f>SUM(TimeEntries1048105810621072[Time delta in h])</f>
        <v>2.1358333331882022</v>
      </c>
      <c r="C4461" t="s">
        <v>4</v>
      </c>
    </row>
    <row r="4462" spans="1:13">
      <c r="A4462" t="s">
        <v>13</v>
      </c>
      <c r="B4462" s="5" t="s">
        <v>92</v>
      </c>
    </row>
    <row r="4463" spans="1:13">
      <c r="A4463" t="s">
        <v>14</v>
      </c>
      <c r="B4463" s="5" t="s">
        <v>18</v>
      </c>
    </row>
    <row r="4464" spans="1:13">
      <c r="A4464" t="s">
        <v>1</v>
      </c>
      <c r="B4464" t="s">
        <v>91</v>
      </c>
    </row>
    <row r="4465" spans="1:13">
      <c r="A4465" t="s">
        <v>15</v>
      </c>
      <c r="B4465" s="5" t="s">
        <v>92</v>
      </c>
    </row>
    <row r="4466" spans="1:13">
      <c r="A4466" t="s">
        <v>2</v>
      </c>
    </row>
    <row r="4467" spans="1:13">
      <c r="A4467" t="s">
        <v>46</v>
      </c>
      <c r="B4467" t="s">
        <v>765</v>
      </c>
    </row>
    <row r="4468" spans="1:13">
      <c r="A4468" t="s">
        <v>5</v>
      </c>
      <c r="B4468" s="2" t="e">
        <f>B4460/SUM(TimeEntries1048105810621072[Time delta in h])</f>
        <v>#VALUE!</v>
      </c>
      <c r="C4468" t="s">
        <v>6</v>
      </c>
    </row>
    <row r="4469" spans="1:13">
      <c r="A4469" t="s">
        <v>93</v>
      </c>
    </row>
    <row r="4470" spans="1:13">
      <c r="A4470" t="s">
        <v>94</v>
      </c>
    </row>
    <row r="4471" spans="1:13">
      <c r="A4471" t="s">
        <v>129</v>
      </c>
      <c r="B4471" s="1">
        <v>44161.956284722219</v>
      </c>
    </row>
    <row r="4473" spans="1:13">
      <c r="A4473" t="s">
        <v>10</v>
      </c>
      <c r="B4473" t="s">
        <v>7</v>
      </c>
      <c r="C4473" t="s">
        <v>8</v>
      </c>
      <c r="D4473" t="s">
        <v>9</v>
      </c>
      <c r="E4473" t="s">
        <v>134</v>
      </c>
      <c r="F4473" t="s">
        <v>84</v>
      </c>
      <c r="G4473" t="s">
        <v>85</v>
      </c>
      <c r="I4473" t="s">
        <v>70</v>
      </c>
      <c r="J4473" s="15" t="s">
        <v>68</v>
      </c>
      <c r="K4473" s="2" t="s">
        <v>69</v>
      </c>
      <c r="L4473" t="s">
        <v>71</v>
      </c>
      <c r="M4473" t="s">
        <v>72</v>
      </c>
    </row>
    <row r="4474" spans="1:13">
      <c r="A4474" t="s">
        <v>126</v>
      </c>
      <c r="B4474" s="1">
        <v>44161.867326388892</v>
      </c>
      <c r="C4474" s="1">
        <v>44161.956319444442</v>
      </c>
      <c r="D4474" s="2">
        <f>MAX((TimeEntries1048105810621072[[#This Row],[End time]]-TimeEntries1048105810621072[[#This Row],[Start time]])*24,0)</f>
        <v>2.1358333331882022</v>
      </c>
      <c r="F4474" s="54" t="s">
        <v>184</v>
      </c>
      <c r="G4474" s="22" t="s">
        <v>185</v>
      </c>
      <c r="J4474" s="15"/>
      <c r="K4474" s="2"/>
      <c r="L4474" s="2">
        <f>SUM(TimeEntries1048105810621072[Time delta in h])</f>
        <v>2.1358333331882022</v>
      </c>
      <c r="M4474" s="16">
        <f>Tabelle73671049105910631073[[#This Row],[EBS self time]]/Tabelle73671049105910631073[[#This Row],[Total time]]</f>
        <v>0</v>
      </c>
    </row>
    <row r="4475" spans="1:13">
      <c r="B4475" s="1"/>
      <c r="C4475" s="1"/>
      <c r="D4475" s="2"/>
    </row>
    <row r="4477" spans="1:13">
      <c r="A4477" t="s">
        <v>189</v>
      </c>
      <c r="B4477" t="s">
        <v>768</v>
      </c>
      <c r="C4477" t="s">
        <v>190</v>
      </c>
      <c r="D4477">
        <v>23</v>
      </c>
      <c r="E4477" t="s">
        <v>191</v>
      </c>
      <c r="F4477">
        <v>13</v>
      </c>
    </row>
    <row r="4478" spans="1:13">
      <c r="A4478" s="4" t="s">
        <v>24</v>
      </c>
      <c r="I4478" t="s">
        <v>135</v>
      </c>
      <c r="J4478" t="s">
        <v>136</v>
      </c>
    </row>
    <row r="4479" spans="1:13">
      <c r="A4479" t="s">
        <v>3</v>
      </c>
      <c r="B4479" t="s">
        <v>770</v>
      </c>
    </row>
    <row r="4480" spans="1:13">
      <c r="A4480" t="s">
        <v>77</v>
      </c>
      <c r="B4480" s="2">
        <v>10.550052642822266</v>
      </c>
      <c r="C4480" t="s">
        <v>4</v>
      </c>
    </row>
    <row r="4481" spans="1:13">
      <c r="A4481" t="s">
        <v>0</v>
      </c>
      <c r="B4481" s="2">
        <f>SUM(TimeEntries10641074[Time delta in h])</f>
        <v>6.284999999916181</v>
      </c>
      <c r="C4481" t="s">
        <v>4</v>
      </c>
    </row>
    <row r="4482" spans="1:13">
      <c r="A4482" t="s">
        <v>13</v>
      </c>
      <c r="B4482" s="5" t="s">
        <v>92</v>
      </c>
    </row>
    <row r="4483" spans="1:13">
      <c r="A4483" t="s">
        <v>14</v>
      </c>
      <c r="B4483" s="5" t="s">
        <v>18</v>
      </c>
    </row>
    <row r="4484" spans="1:13">
      <c r="A4484" t="s">
        <v>1</v>
      </c>
      <c r="B4484" t="s">
        <v>131</v>
      </c>
    </row>
    <row r="4485" spans="1:13">
      <c r="A4485" t="s">
        <v>15</v>
      </c>
      <c r="B4485" s="5">
        <v>44161.956331018519</v>
      </c>
    </row>
    <row r="4486" spans="1:13">
      <c r="A4486" t="s">
        <v>2</v>
      </c>
    </row>
    <row r="4487" spans="1:13">
      <c r="A4487" t="s">
        <v>46</v>
      </c>
      <c r="B4487" t="s">
        <v>768</v>
      </c>
    </row>
    <row r="4488" spans="1:13">
      <c r="A4488" t="s">
        <v>5</v>
      </c>
      <c r="B4488" s="2">
        <f>B4480/SUM(TimeEntries10641074[Time delta in h])</f>
        <v>1.6786082168596603</v>
      </c>
      <c r="C4488" t="s">
        <v>6</v>
      </c>
    </row>
    <row r="4489" spans="1:13">
      <c r="A4489" t="s">
        <v>93</v>
      </c>
    </row>
    <row r="4490" spans="1:13">
      <c r="A4490" t="s">
        <v>94</v>
      </c>
    </row>
    <row r="4491" spans="1:13">
      <c r="A4491" t="s">
        <v>129</v>
      </c>
      <c r="B4491" s="1">
        <v>44161.956331018519</v>
      </c>
    </row>
    <row r="4493" spans="1:13">
      <c r="A4493" t="s">
        <v>10</v>
      </c>
      <c r="B4493" t="s">
        <v>7</v>
      </c>
      <c r="C4493" t="s">
        <v>8</v>
      </c>
      <c r="D4493" t="s">
        <v>9</v>
      </c>
      <c r="E4493" t="s">
        <v>134</v>
      </c>
      <c r="F4493" t="s">
        <v>84</v>
      </c>
      <c r="G4493" t="s">
        <v>85</v>
      </c>
      <c r="I4493" t="s">
        <v>70</v>
      </c>
      <c r="J4493" s="15" t="s">
        <v>68</v>
      </c>
      <c r="K4493" s="2" t="s">
        <v>69</v>
      </c>
      <c r="L4493" t="s">
        <v>71</v>
      </c>
      <c r="M4493" t="s">
        <v>72</v>
      </c>
    </row>
    <row r="4494" spans="1:13">
      <c r="A4494" t="s">
        <v>126</v>
      </c>
      <c r="B4494" s="1">
        <v>44161.694456018522</v>
      </c>
      <c r="C4494" s="1">
        <v>44161.956331018519</v>
      </c>
      <c r="D4494" s="2">
        <f>MAX((TimeEntries10641074[[#This Row],[End time]]-TimeEntries10641074[[#This Row],[Start time]])*24,0)</f>
        <v>6.284999999916181</v>
      </c>
      <c r="F4494" s="54" t="s">
        <v>184</v>
      </c>
      <c r="G4494" s="22" t="s">
        <v>185</v>
      </c>
      <c r="I4494" t="s">
        <v>126</v>
      </c>
      <c r="J4494" s="15">
        <v>0.05</v>
      </c>
      <c r="K4494" s="2">
        <v>5.2750263214111328</v>
      </c>
      <c r="L4494" s="2">
        <f>SUM(TimeEntries10641074[Time delta in h])</f>
        <v>6.284999999916181</v>
      </c>
      <c r="M4494" s="16">
        <f>Tabelle736710651075[[#This Row],[EBS self time]]/Tabelle736710651075[[#This Row],[Total time]]</f>
        <v>0.83930410842983016</v>
      </c>
    </row>
    <row r="4495" spans="1:13">
      <c r="B4495" s="1"/>
      <c r="C4495" s="1"/>
      <c r="D4495" s="2"/>
      <c r="I4495" t="s">
        <v>127</v>
      </c>
      <c r="J4495" s="15">
        <v>0.2</v>
      </c>
      <c r="K4495" s="2">
        <v>5.2750263214111328</v>
      </c>
      <c r="L4495" s="2">
        <f>SUM(TimeEntries10641074[Time delta in h])</f>
        <v>6.284999999916181</v>
      </c>
      <c r="M4495" s="16">
        <f>Tabelle736710651075[[#This Row],[EBS self time]]/Tabelle736710651075[[#This Row],[Total time]]</f>
        <v>0.83930410842983016</v>
      </c>
    </row>
    <row r="4496" spans="1:13">
      <c r="I4496" t="s">
        <v>169</v>
      </c>
      <c r="J4496" s="15">
        <v>0.35</v>
      </c>
      <c r="K4496" s="2">
        <v>5.2750263214111328</v>
      </c>
      <c r="L4496" s="2">
        <f>SUM(TimeEntries10641074[Time delta in h])</f>
        <v>6.284999999916181</v>
      </c>
      <c r="M4496" s="16">
        <f>Tabelle736710651075[[#This Row],[EBS self time]]/Tabelle736710651075[[#This Row],[Total time]]</f>
        <v>0.83930410842983016</v>
      </c>
    </row>
    <row r="4497" spans="1:13">
      <c r="I4497" t="s">
        <v>172</v>
      </c>
      <c r="J4497" s="15">
        <v>0.5</v>
      </c>
      <c r="K4497" s="2">
        <v>5.2750263214111328</v>
      </c>
      <c r="L4497" s="2">
        <f>SUM(TimeEntries10641074[Time delta in h])</f>
        <v>6.284999999916181</v>
      </c>
      <c r="M4497" s="16">
        <f>Tabelle736710651075[[#This Row],[EBS self time]]/Tabelle736710651075[[#This Row],[Total time]]</f>
        <v>0.83930410842983016</v>
      </c>
    </row>
    <row r="4498" spans="1:13">
      <c r="I4498" t="s">
        <v>187</v>
      </c>
      <c r="J4498" s="15">
        <v>0.65</v>
      </c>
      <c r="K4498" s="2">
        <v>11.722621478221217</v>
      </c>
      <c r="L4498" s="2">
        <f>SUM(TimeEntries10641074[Time delta in h])</f>
        <v>6.284999999916181</v>
      </c>
      <c r="M4498" s="16">
        <f>Tabelle736710651075[[#This Row],[EBS self time]]/Tabelle736710651075[[#This Row],[Total time]]</f>
        <v>1.8651744595668345</v>
      </c>
    </row>
    <row r="4499" spans="1:13">
      <c r="I4499" t="s">
        <v>192</v>
      </c>
      <c r="J4499" s="15">
        <v>0.8</v>
      </c>
      <c r="K4499" s="2">
        <v>20.445838455081908</v>
      </c>
      <c r="L4499" s="2">
        <f>SUM(TimeEntries10641074[Time delta in h])</f>
        <v>6.284999999916181</v>
      </c>
      <c r="M4499" s="16">
        <f>Tabelle736710651075[[#This Row],[EBS self time]]/Tabelle736710651075[[#This Row],[Total time]]</f>
        <v>3.2531166993404268</v>
      </c>
    </row>
    <row r="4500" spans="1:13">
      <c r="I4500" t="s">
        <v>193</v>
      </c>
      <c r="J4500" s="15">
        <v>0.95</v>
      </c>
      <c r="K4500" s="2">
        <v>20.445838455081908</v>
      </c>
      <c r="L4500" s="2">
        <f>SUM(TimeEntries10641074[Time delta in h])</f>
        <v>6.284999999916181</v>
      </c>
      <c r="M4500" s="16">
        <f>Tabelle736710651075[[#This Row],[EBS self time]]/Tabelle736710651075[[#This Row],[Total time]]</f>
        <v>3.2531166993404268</v>
      </c>
    </row>
    <row r="4502" spans="1:13">
      <c r="A4502" t="s">
        <v>189</v>
      </c>
      <c r="B4502" t="s">
        <v>771</v>
      </c>
      <c r="C4502" t="s">
        <v>190</v>
      </c>
      <c r="D4502">
        <v>23</v>
      </c>
      <c r="E4502" t="s">
        <v>191</v>
      </c>
      <c r="F4502">
        <v>13</v>
      </c>
    </row>
    <row r="4503" spans="1:13">
      <c r="A4503" s="4" t="s">
        <v>24</v>
      </c>
      <c r="I4503" t="s">
        <v>135</v>
      </c>
      <c r="J4503" t="s">
        <v>136</v>
      </c>
    </row>
    <row r="4504" spans="1:13">
      <c r="A4504" t="s">
        <v>3</v>
      </c>
      <c r="B4504" t="s">
        <v>773</v>
      </c>
    </row>
    <row r="4505" spans="1:13">
      <c r="A4505" t="s">
        <v>77</v>
      </c>
      <c r="B4505" s="2">
        <v>6.4262514114379883</v>
      </c>
      <c r="C4505" t="s">
        <v>4</v>
      </c>
    </row>
    <row r="4506" spans="1:13">
      <c r="A4506" t="s">
        <v>0</v>
      </c>
      <c r="B4506" s="2">
        <f>SUM(TimeEntries10661076[Time delta in h])</f>
        <v>17.389166666718666</v>
      </c>
      <c r="C4506" t="s">
        <v>4</v>
      </c>
    </row>
    <row r="4507" spans="1:13">
      <c r="A4507" t="s">
        <v>13</v>
      </c>
      <c r="B4507" s="5" t="s">
        <v>92</v>
      </c>
    </row>
    <row r="4508" spans="1:13">
      <c r="A4508" t="s">
        <v>14</v>
      </c>
      <c r="B4508" s="5" t="s">
        <v>18</v>
      </c>
    </row>
    <row r="4509" spans="1:13">
      <c r="A4509" t="s">
        <v>1</v>
      </c>
      <c r="B4509" t="s">
        <v>91</v>
      </c>
    </row>
    <row r="4510" spans="1:13">
      <c r="A4510" t="s">
        <v>15</v>
      </c>
      <c r="B4510" s="5" t="s">
        <v>92</v>
      </c>
    </row>
    <row r="4511" spans="1:13">
      <c r="A4511" t="s">
        <v>2</v>
      </c>
    </row>
    <row r="4512" spans="1:13">
      <c r="A4512" t="s">
        <v>46</v>
      </c>
      <c r="B4512" t="s">
        <v>771</v>
      </c>
    </row>
    <row r="4513" spans="1:13">
      <c r="A4513" t="s">
        <v>5</v>
      </c>
      <c r="B4513" s="2">
        <f>B4505/SUM(TimeEntries10661076[Time delta in h])</f>
        <v>0.36955488061065445</v>
      </c>
      <c r="C4513" t="s">
        <v>6</v>
      </c>
    </row>
    <row r="4514" spans="1:13">
      <c r="A4514" t="s">
        <v>93</v>
      </c>
    </row>
    <row r="4515" spans="1:13">
      <c r="A4515" t="s">
        <v>94</v>
      </c>
    </row>
    <row r="4516" spans="1:13">
      <c r="A4516" t="s">
        <v>129</v>
      </c>
      <c r="B4516" s="1">
        <v>44161.956342592595</v>
      </c>
    </row>
    <row r="4518" spans="1:13">
      <c r="A4518" t="s">
        <v>10</v>
      </c>
      <c r="B4518" t="s">
        <v>7</v>
      </c>
      <c r="C4518" t="s">
        <v>8</v>
      </c>
      <c r="D4518" t="s">
        <v>9</v>
      </c>
      <c r="E4518" t="s">
        <v>134</v>
      </c>
      <c r="F4518" t="s">
        <v>84</v>
      </c>
      <c r="G4518" t="s">
        <v>85</v>
      </c>
      <c r="I4518" t="s">
        <v>70</v>
      </c>
      <c r="J4518" s="15" t="s">
        <v>68</v>
      </c>
      <c r="K4518" s="2" t="s">
        <v>69</v>
      </c>
      <c r="L4518" t="s">
        <v>71</v>
      </c>
      <c r="M4518" t="s">
        <v>72</v>
      </c>
    </row>
    <row r="4519" spans="1:13">
      <c r="A4519" t="s">
        <v>126</v>
      </c>
      <c r="B4519" s="1">
        <v>44161.231793981482</v>
      </c>
      <c r="C4519" s="1">
        <v>44161.956342592595</v>
      </c>
      <c r="D4519" s="2">
        <f>MAX((TimeEntries10661076[[#This Row],[End time]]-TimeEntries10661076[[#This Row],[Start time]])*24,0)</f>
        <v>17.389166666718666</v>
      </c>
      <c r="F4519" s="54" t="s">
        <v>184</v>
      </c>
      <c r="G4519" s="22" t="s">
        <v>185</v>
      </c>
      <c r="I4519" t="s">
        <v>126</v>
      </c>
      <c r="J4519" s="15">
        <v>0.05</v>
      </c>
      <c r="K4519" s="2">
        <v>3.2131257057189941</v>
      </c>
      <c r="L4519" s="2">
        <f>SUM(TimeEntries10661076[Time delta in h])</f>
        <v>17.389166666718666</v>
      </c>
      <c r="M4519" s="16">
        <f>Tabelle736710671077[[#This Row],[EBS self time]]/Tabelle736710671077[[#This Row],[Total time]]</f>
        <v>0.18477744030532722</v>
      </c>
    </row>
    <row r="4520" spans="1:13">
      <c r="B4520" s="1"/>
      <c r="C4520" s="1"/>
      <c r="D4520" s="2"/>
      <c r="I4520" t="s">
        <v>127</v>
      </c>
      <c r="J4520" s="15">
        <v>0.2</v>
      </c>
      <c r="K4520" s="2">
        <v>3.2131257057189941</v>
      </c>
      <c r="L4520" s="2">
        <f>SUM(TimeEntries10661076[Time delta in h])</f>
        <v>17.389166666718666</v>
      </c>
      <c r="M4520" s="16">
        <f>Tabelle736710671077[[#This Row],[EBS self time]]/Tabelle736710671077[[#This Row],[Total time]]</f>
        <v>0.18477744030532722</v>
      </c>
    </row>
    <row r="4521" spans="1:13">
      <c r="I4521" t="s">
        <v>169</v>
      </c>
      <c r="J4521" s="15">
        <v>0.35</v>
      </c>
      <c r="K4521" s="2">
        <v>3.2131257057189941</v>
      </c>
      <c r="L4521" s="2">
        <f>SUM(TimeEntries10661076[Time delta in h])</f>
        <v>17.389166666718666</v>
      </c>
      <c r="M4521" s="16">
        <f>Tabelle736710671077[[#This Row],[EBS self time]]/Tabelle736710671077[[#This Row],[Total time]]</f>
        <v>0.18477744030532722</v>
      </c>
    </row>
    <row r="4522" spans="1:13">
      <c r="I4522" t="s">
        <v>172</v>
      </c>
      <c r="J4522" s="15">
        <v>0.5</v>
      </c>
      <c r="K4522" s="2">
        <v>3.2131257057189941</v>
      </c>
      <c r="L4522" s="2">
        <f>SUM(TimeEntries10661076[Time delta in h])</f>
        <v>17.389166666718666</v>
      </c>
      <c r="M4522" s="16">
        <f>Tabelle736710671077[[#This Row],[EBS self time]]/Tabelle736710671077[[#This Row],[Total time]]</f>
        <v>0.18477744030532722</v>
      </c>
    </row>
    <row r="4523" spans="1:13">
      <c r="I4523" t="s">
        <v>187</v>
      </c>
      <c r="J4523" s="15">
        <v>0.65</v>
      </c>
      <c r="K4523" s="2">
        <v>12.453975603561993</v>
      </c>
      <c r="L4523" s="2">
        <f>SUM(TimeEntries10661076[Time delta in h])</f>
        <v>17.389166666718666</v>
      </c>
      <c r="M4523" s="16">
        <f>Tabelle736710671077[[#This Row],[EBS self time]]/Tabelle736710671077[[#This Row],[Total time]]</f>
        <v>0.71619162909041556</v>
      </c>
    </row>
    <row r="4524" spans="1:13">
      <c r="I4524" t="s">
        <v>192</v>
      </c>
      <c r="J4524" s="15">
        <v>0.8</v>
      </c>
      <c r="K4524" s="2">
        <v>12.453975603561993</v>
      </c>
      <c r="L4524" s="2">
        <f>SUM(TimeEntries10661076[Time delta in h])</f>
        <v>17.389166666718666</v>
      </c>
      <c r="M4524" s="16">
        <f>Tabelle736710671077[[#This Row],[EBS self time]]/Tabelle736710671077[[#This Row],[Total time]]</f>
        <v>0.71619162909041556</v>
      </c>
    </row>
    <row r="4525" spans="1:13">
      <c r="I4525" t="s">
        <v>193</v>
      </c>
      <c r="J4525" s="15">
        <v>0.95</v>
      </c>
      <c r="K4525" s="2">
        <v>12.453975603561993</v>
      </c>
      <c r="L4525" s="2">
        <f>SUM(TimeEntries10661076[Time delta in h])</f>
        <v>17.389166666718666</v>
      </c>
      <c r="M4525" s="16">
        <f>Tabelle736710671077[[#This Row],[EBS self time]]/Tabelle736710671077[[#This Row],[Total time]]</f>
        <v>0.71619162909041556</v>
      </c>
    </row>
    <row r="4527" spans="1:13">
      <c r="A4527" t="s">
        <v>189</v>
      </c>
      <c r="B4527" t="s">
        <v>774</v>
      </c>
      <c r="C4527" t="s">
        <v>190</v>
      </c>
      <c r="D4527">
        <v>18</v>
      </c>
      <c r="E4527" t="s">
        <v>191</v>
      </c>
      <c r="F4527">
        <v>13</v>
      </c>
    </row>
    <row r="4528" spans="1:13">
      <c r="A4528" s="4" t="s">
        <v>24</v>
      </c>
      <c r="I4528" t="s">
        <v>135</v>
      </c>
      <c r="J4528" t="s">
        <v>136</v>
      </c>
    </row>
    <row r="4529" spans="1:13">
      <c r="A4529" t="s">
        <v>3</v>
      </c>
      <c r="B4529" t="s">
        <v>776</v>
      </c>
    </row>
    <row r="4530" spans="1:13">
      <c r="A4530" t="s">
        <v>77</v>
      </c>
      <c r="B4530" s="2" t="s">
        <v>92</v>
      </c>
      <c r="C4530" t="s">
        <v>4</v>
      </c>
    </row>
    <row r="4531" spans="1:13">
      <c r="A4531" t="s">
        <v>0</v>
      </c>
      <c r="B4531" s="2">
        <f>SUM(TimeEntries10681078[Time delta in h])</f>
        <v>27.285833333269693</v>
      </c>
      <c r="C4531" t="s">
        <v>4</v>
      </c>
    </row>
    <row r="4532" spans="1:13">
      <c r="A4532" t="s">
        <v>13</v>
      </c>
      <c r="B4532" s="5" t="s">
        <v>92</v>
      </c>
    </row>
    <row r="4533" spans="1:13">
      <c r="A4533" t="s">
        <v>14</v>
      </c>
      <c r="B4533" s="5" t="s">
        <v>18</v>
      </c>
    </row>
    <row r="4534" spans="1:13">
      <c r="A4534" t="s">
        <v>1</v>
      </c>
      <c r="B4534" t="s">
        <v>91</v>
      </c>
    </row>
    <row r="4535" spans="1:13">
      <c r="A4535" t="s">
        <v>15</v>
      </c>
      <c r="B4535" s="5" t="s">
        <v>92</v>
      </c>
    </row>
    <row r="4536" spans="1:13">
      <c r="A4536" t="s">
        <v>2</v>
      </c>
    </row>
    <row r="4537" spans="1:13">
      <c r="A4537" t="s">
        <v>46</v>
      </c>
      <c r="B4537" t="s">
        <v>774</v>
      </c>
    </row>
    <row r="4538" spans="1:13">
      <c r="A4538" t="s">
        <v>5</v>
      </c>
      <c r="B4538" s="2" t="e">
        <f>B4530/SUM(TimeEntries10681078[Time delta in h])</f>
        <v>#VALUE!</v>
      </c>
      <c r="C4538" t="s">
        <v>6</v>
      </c>
    </row>
    <row r="4539" spans="1:13">
      <c r="A4539" t="s">
        <v>93</v>
      </c>
    </row>
    <row r="4540" spans="1:13">
      <c r="A4540" t="s">
        <v>94</v>
      </c>
    </row>
    <row r="4541" spans="1:13">
      <c r="A4541" t="s">
        <v>129</v>
      </c>
      <c r="B4541" s="1">
        <v>44161.956354166665</v>
      </c>
    </row>
    <row r="4543" spans="1:13">
      <c r="A4543" t="s">
        <v>10</v>
      </c>
      <c r="B4543" t="s">
        <v>7</v>
      </c>
      <c r="C4543" t="s">
        <v>8</v>
      </c>
      <c r="D4543" t="s">
        <v>9</v>
      </c>
      <c r="E4543" t="s">
        <v>134</v>
      </c>
      <c r="F4543" t="s">
        <v>84</v>
      </c>
      <c r="G4543" t="s">
        <v>85</v>
      </c>
      <c r="I4543" t="s">
        <v>70</v>
      </c>
      <c r="J4543" s="15" t="s">
        <v>68</v>
      </c>
      <c r="K4543" s="2" t="s">
        <v>69</v>
      </c>
      <c r="L4543" t="s">
        <v>71</v>
      </c>
      <c r="M4543" t="s">
        <v>72</v>
      </c>
    </row>
    <row r="4544" spans="1:13">
      <c r="A4544" t="s">
        <v>126</v>
      </c>
      <c r="B4544" s="1">
        <v>44160.819444444445</v>
      </c>
      <c r="C4544" s="1">
        <v>44161.956354166665</v>
      </c>
      <c r="D4544" s="2">
        <f>MAX((TimeEntries10681078[[#This Row],[End time]]-TimeEntries10681078[[#This Row],[Start time]])*24,0)</f>
        <v>27.285833333269693</v>
      </c>
      <c r="F4544" s="54" t="s">
        <v>184</v>
      </c>
      <c r="G4544" s="22" t="s">
        <v>185</v>
      </c>
      <c r="J4544" s="15"/>
      <c r="K4544" s="2"/>
      <c r="L4544" s="2">
        <f>SUM(TimeEntries10681078[Time delta in h])</f>
        <v>27.285833333269693</v>
      </c>
      <c r="M4544" s="16">
        <f>Tabelle736710691079[[#This Row],[EBS self time]]/Tabelle736710691079[[#This Row],[Total time]]</f>
        <v>0</v>
      </c>
    </row>
    <row r="4545" spans="1:10">
      <c r="B4545" s="1"/>
      <c r="C4545" s="1"/>
      <c r="D4545" s="2"/>
    </row>
    <row r="4547" spans="1:10">
      <c r="A4547" t="s">
        <v>189</v>
      </c>
      <c r="B4547" t="s">
        <v>777</v>
      </c>
      <c r="C4547" t="s">
        <v>190</v>
      </c>
      <c r="D4547">
        <v>23</v>
      </c>
      <c r="E4547" t="s">
        <v>191</v>
      </c>
      <c r="F4547">
        <v>13</v>
      </c>
    </row>
    <row r="4548" spans="1:10">
      <c r="A4548" s="4" t="s">
        <v>24</v>
      </c>
      <c r="I4548" t="s">
        <v>135</v>
      </c>
      <c r="J4548" t="s">
        <v>136</v>
      </c>
    </row>
    <row r="4549" spans="1:10">
      <c r="A4549" t="s">
        <v>3</v>
      </c>
      <c r="B4549" t="s">
        <v>779</v>
      </c>
    </row>
    <row r="4550" spans="1:10">
      <c r="A4550" t="s">
        <v>77</v>
      </c>
      <c r="B4550" s="2">
        <v>9.8742809295654297</v>
      </c>
      <c r="C4550" t="s">
        <v>4</v>
      </c>
    </row>
    <row r="4551" spans="1:10">
      <c r="A4551" t="s">
        <v>0</v>
      </c>
      <c r="B4551" s="2">
        <f>SUM(TimeEntries1070108010841094[Time delta in h])</f>
        <v>30.921666666632518</v>
      </c>
      <c r="C4551" t="s">
        <v>4</v>
      </c>
    </row>
    <row r="4552" spans="1:10">
      <c r="A4552" t="s">
        <v>13</v>
      </c>
      <c r="B4552" s="5" t="s">
        <v>92</v>
      </c>
    </row>
    <row r="4553" spans="1:10">
      <c r="A4553" t="s">
        <v>14</v>
      </c>
      <c r="B4553" s="5" t="s">
        <v>18</v>
      </c>
    </row>
    <row r="4554" spans="1:10">
      <c r="A4554" t="s">
        <v>1</v>
      </c>
      <c r="B4554" t="s">
        <v>131</v>
      </c>
    </row>
    <row r="4555" spans="1:10">
      <c r="A4555" t="s">
        <v>15</v>
      </c>
      <c r="B4555" s="5">
        <v>44161.956388888888</v>
      </c>
    </row>
    <row r="4556" spans="1:10">
      <c r="A4556" t="s">
        <v>2</v>
      </c>
    </row>
    <row r="4557" spans="1:10">
      <c r="A4557" t="s">
        <v>46</v>
      </c>
      <c r="B4557" t="s">
        <v>777</v>
      </c>
    </row>
    <row r="4558" spans="1:10">
      <c r="A4558" t="s">
        <v>5</v>
      </c>
      <c r="B4558" s="2">
        <f>B4550/SUM(TimeEntries1070108010841094[Time delta in h])</f>
        <v>0.31933210573739024</v>
      </c>
      <c r="C4558" t="s">
        <v>6</v>
      </c>
    </row>
    <row r="4559" spans="1:10">
      <c r="A4559" t="s">
        <v>93</v>
      </c>
    </row>
    <row r="4560" spans="1:10">
      <c r="A4560" t="s">
        <v>94</v>
      </c>
    </row>
    <row r="4561" spans="1:13">
      <c r="A4561" t="s">
        <v>129</v>
      </c>
      <c r="B4561" s="1">
        <v>44161.956365740742</v>
      </c>
    </row>
    <row r="4563" spans="1:13">
      <c r="A4563" t="s">
        <v>10</v>
      </c>
      <c r="B4563" t="s">
        <v>7</v>
      </c>
      <c r="C4563" t="s">
        <v>8</v>
      </c>
      <c r="D4563" t="s">
        <v>9</v>
      </c>
      <c r="E4563" t="s">
        <v>134</v>
      </c>
      <c r="F4563" t="s">
        <v>84</v>
      </c>
      <c r="G4563" t="s">
        <v>85</v>
      </c>
      <c r="I4563" t="s">
        <v>70</v>
      </c>
      <c r="J4563" s="15" t="s">
        <v>68</v>
      </c>
      <c r="K4563" s="2" t="s">
        <v>69</v>
      </c>
      <c r="L4563" t="s">
        <v>71</v>
      </c>
      <c r="M4563" t="s">
        <v>72</v>
      </c>
    </row>
    <row r="4564" spans="1:13">
      <c r="A4564" t="s">
        <v>126</v>
      </c>
      <c r="B4564" s="1">
        <v>44160.667986111112</v>
      </c>
      <c r="C4564" s="1">
        <v>44161.956388888888</v>
      </c>
      <c r="D4564" s="2">
        <f>MAX((TimeEntries1070108010841094[[#This Row],[End time]]-TimeEntries1070108010841094[[#This Row],[Start time]])*24,0)</f>
        <v>30.921666666632518</v>
      </c>
      <c r="F4564" s="54" t="s">
        <v>184</v>
      </c>
      <c r="G4564" s="22" t="s">
        <v>185</v>
      </c>
      <c r="I4564" t="s">
        <v>126</v>
      </c>
      <c r="J4564" s="15">
        <v>0.05</v>
      </c>
      <c r="K4564" s="2">
        <v>4.9371404647827148</v>
      </c>
      <c r="L4564" s="2">
        <f>SUM(TimeEntries1070108010841094[Time delta in h])</f>
        <v>30.921666666632518</v>
      </c>
      <c r="M4564" s="16">
        <f>Tabelle73671071108110851095[[#This Row],[EBS self time]]/Tabelle73671071108110851095[[#This Row],[Total time]]</f>
        <v>0.15966605286869512</v>
      </c>
    </row>
    <row r="4565" spans="1:13">
      <c r="B4565" s="1"/>
      <c r="C4565" s="1"/>
      <c r="D4565" s="2"/>
      <c r="I4565" t="s">
        <v>127</v>
      </c>
      <c r="J4565" s="15">
        <v>0.2</v>
      </c>
      <c r="K4565" s="2">
        <v>4.9371404647827148</v>
      </c>
      <c r="L4565" s="2">
        <f>SUM(TimeEntries1070108010841094[Time delta in h])</f>
        <v>30.921666666632518</v>
      </c>
      <c r="M4565" s="16">
        <f>Tabelle73671071108110851095[[#This Row],[EBS self time]]/Tabelle73671071108110851095[[#This Row],[Total time]]</f>
        <v>0.15966605286869512</v>
      </c>
    </row>
    <row r="4566" spans="1:13">
      <c r="I4566" t="s">
        <v>169</v>
      </c>
      <c r="J4566" s="15">
        <v>0.35</v>
      </c>
      <c r="K4566" s="2">
        <v>4.9371404647827148</v>
      </c>
      <c r="L4566" s="2">
        <f>SUM(TimeEntries1070108010841094[Time delta in h])</f>
        <v>30.921666666632518</v>
      </c>
      <c r="M4566" s="16">
        <f>Tabelle73671071108110851095[[#This Row],[EBS self time]]/Tabelle73671071108110851095[[#This Row],[Total time]]</f>
        <v>0.15966605286869512</v>
      </c>
    </row>
    <row r="4567" spans="1:13">
      <c r="I4567" t="s">
        <v>172</v>
      </c>
      <c r="J4567" s="15">
        <v>0.5</v>
      </c>
      <c r="K4567" s="2">
        <v>4.9371404647827148</v>
      </c>
      <c r="L4567" s="2">
        <f>SUM(TimeEntries1070108010841094[Time delta in h])</f>
        <v>30.921666666632518</v>
      </c>
      <c r="M4567" s="16">
        <f>Tabelle73671071108110851095[[#This Row],[EBS self time]]/Tabelle73671071108110851095[[#This Row],[Total time]]</f>
        <v>0.15966605286869512</v>
      </c>
    </row>
    <row r="4568" spans="1:13">
      <c r="I4568" t="s">
        <v>187</v>
      </c>
      <c r="J4568" s="15">
        <v>0.65</v>
      </c>
      <c r="K4568" s="2">
        <v>19.136203351870986</v>
      </c>
      <c r="L4568" s="2">
        <f>SUM(TimeEntries1070108010841094[Time delta in h])</f>
        <v>30.921666666632518</v>
      </c>
      <c r="M4568" s="16">
        <f>Tabelle73671071108110851095[[#This Row],[EBS self time]]/Tabelle73671071108110851095[[#This Row],[Total time]]</f>
        <v>0.61886067003370193</v>
      </c>
    </row>
    <row r="4569" spans="1:13">
      <c r="I4569" t="s">
        <v>192</v>
      </c>
      <c r="J4569" s="15">
        <v>0.8</v>
      </c>
      <c r="K4569" s="2">
        <v>19.136203351870986</v>
      </c>
      <c r="L4569" s="2">
        <f>SUM(TimeEntries1070108010841094[Time delta in h])</f>
        <v>30.921666666632518</v>
      </c>
      <c r="M4569" s="16">
        <f>Tabelle73671071108110851095[[#This Row],[EBS self time]]/Tabelle73671071108110851095[[#This Row],[Total time]]</f>
        <v>0.61886067003370193</v>
      </c>
    </row>
    <row r="4570" spans="1:13">
      <c r="I4570" t="s">
        <v>193</v>
      </c>
      <c r="J4570" s="15">
        <v>0.95</v>
      </c>
      <c r="K4570" s="2">
        <v>19.136203351870986</v>
      </c>
      <c r="L4570" s="2">
        <f>SUM(TimeEntries1070108010841094[Time delta in h])</f>
        <v>30.921666666632518</v>
      </c>
      <c r="M4570" s="16">
        <f>Tabelle73671071108110851095[[#This Row],[EBS self time]]/Tabelle73671071108110851095[[#This Row],[Total time]]</f>
        <v>0.61886067003370193</v>
      </c>
    </row>
    <row r="4572" spans="1:13">
      <c r="A4572" t="s">
        <v>189</v>
      </c>
      <c r="B4572" t="s">
        <v>780</v>
      </c>
      <c r="C4572" t="s">
        <v>190</v>
      </c>
      <c r="D4572">
        <v>23</v>
      </c>
      <c r="E4572" t="s">
        <v>191</v>
      </c>
      <c r="F4572">
        <v>13</v>
      </c>
    </row>
    <row r="4573" spans="1:13">
      <c r="A4573" s="4" t="s">
        <v>24</v>
      </c>
      <c r="I4573" t="s">
        <v>135</v>
      </c>
      <c r="J4573" t="s">
        <v>136</v>
      </c>
    </row>
    <row r="4574" spans="1:13">
      <c r="A4574" t="s">
        <v>3</v>
      </c>
      <c r="B4574" t="s">
        <v>782</v>
      </c>
    </row>
    <row r="4575" spans="1:13">
      <c r="A4575" t="s">
        <v>77</v>
      </c>
      <c r="B4575" s="2">
        <v>8.6668968200683594E-2</v>
      </c>
      <c r="C4575" t="s">
        <v>4</v>
      </c>
    </row>
    <row r="4576" spans="1:13">
      <c r="A4576" t="s">
        <v>0</v>
      </c>
      <c r="B4576" s="2">
        <f>SUM(TimeEntries10861096[Time delta in h])</f>
        <v>1.7741666666697711</v>
      </c>
      <c r="C4576" t="s">
        <v>4</v>
      </c>
    </row>
    <row r="4577" spans="1:13">
      <c r="A4577" t="s">
        <v>13</v>
      </c>
      <c r="B4577" s="5" t="s">
        <v>92</v>
      </c>
    </row>
    <row r="4578" spans="1:13">
      <c r="A4578" t="s">
        <v>14</v>
      </c>
      <c r="B4578" s="5" t="s">
        <v>18</v>
      </c>
    </row>
    <row r="4579" spans="1:13">
      <c r="A4579" t="s">
        <v>1</v>
      </c>
      <c r="B4579" t="s">
        <v>131</v>
      </c>
    </row>
    <row r="4580" spans="1:13">
      <c r="A4580" t="s">
        <v>15</v>
      </c>
      <c r="B4580" s="5">
        <v>44161.956400462965</v>
      </c>
    </row>
    <row r="4581" spans="1:13">
      <c r="A4581" t="s">
        <v>2</v>
      </c>
    </row>
    <row r="4582" spans="1:13">
      <c r="A4582" t="s">
        <v>46</v>
      </c>
      <c r="B4582" t="s">
        <v>780</v>
      </c>
    </row>
    <row r="4583" spans="1:13">
      <c r="A4583" t="s">
        <v>5</v>
      </c>
      <c r="B4583" s="2">
        <f>B4575/SUM(TimeEntries10861096[Time delta in h])</f>
        <v>4.8850522236091279E-2</v>
      </c>
      <c r="C4583" t="s">
        <v>6</v>
      </c>
    </row>
    <row r="4584" spans="1:13">
      <c r="A4584" t="s">
        <v>93</v>
      </c>
    </row>
    <row r="4585" spans="1:13">
      <c r="A4585" t="s">
        <v>94</v>
      </c>
    </row>
    <row r="4586" spans="1:13">
      <c r="A4586" t="s">
        <v>129</v>
      </c>
      <c r="B4586" s="1">
        <v>44161.956400462965</v>
      </c>
    </row>
    <row r="4588" spans="1:13">
      <c r="A4588" t="s">
        <v>10</v>
      </c>
      <c r="B4588" t="s">
        <v>7</v>
      </c>
      <c r="C4588" t="s">
        <v>8</v>
      </c>
      <c r="D4588" t="s">
        <v>9</v>
      </c>
      <c r="E4588" t="s">
        <v>134</v>
      </c>
      <c r="F4588" t="s">
        <v>84</v>
      </c>
      <c r="G4588" t="s">
        <v>85</v>
      </c>
      <c r="I4588" t="s">
        <v>70</v>
      </c>
      <c r="J4588" s="15" t="s">
        <v>68</v>
      </c>
      <c r="K4588" s="2" t="s">
        <v>69</v>
      </c>
      <c r="L4588" t="s">
        <v>71</v>
      </c>
      <c r="M4588" t="s">
        <v>72</v>
      </c>
    </row>
    <row r="4589" spans="1:13">
      <c r="A4589" t="s">
        <v>126</v>
      </c>
      <c r="B4589" s="1">
        <v>44161.882476851853</v>
      </c>
      <c r="C4589" s="1">
        <v>44161.956400462965</v>
      </c>
      <c r="D4589" s="2">
        <f>MAX((TimeEntries10861096[[#This Row],[End time]]-TimeEntries10861096[[#This Row],[Start time]])*24,0)</f>
        <v>1.7741666666697711</v>
      </c>
      <c r="F4589" s="54" t="s">
        <v>184</v>
      </c>
      <c r="G4589" s="22" t="s">
        <v>185</v>
      </c>
      <c r="I4589" t="s">
        <v>126</v>
      </c>
      <c r="J4589" s="15">
        <v>0.05</v>
      </c>
      <c r="K4589" s="2">
        <v>4.3334484100341797E-2</v>
      </c>
      <c r="L4589" s="2">
        <f>SUM(TimeEntries10861096[Time delta in h])</f>
        <v>1.7741666666697711</v>
      </c>
      <c r="M4589" s="16">
        <f>Tabelle736710871098[[#This Row],[EBS self time]]/Tabelle736710871098[[#This Row],[Total time]]</f>
        <v>2.4425261118045639E-2</v>
      </c>
    </row>
    <row r="4590" spans="1:13">
      <c r="B4590" s="1"/>
      <c r="C4590" s="1"/>
      <c r="D4590" s="2"/>
      <c r="I4590" t="s">
        <v>127</v>
      </c>
      <c r="J4590" s="15">
        <v>0.2</v>
      </c>
      <c r="K4590" s="2">
        <v>4.3334484100341797E-2</v>
      </c>
      <c r="L4590" s="2">
        <f>SUM(TimeEntries10861096[Time delta in h])</f>
        <v>1.7741666666697711</v>
      </c>
      <c r="M4590" s="16">
        <f>Tabelle736710871098[[#This Row],[EBS self time]]/Tabelle736710871098[[#This Row],[Total time]]</f>
        <v>2.4425261118045639E-2</v>
      </c>
    </row>
    <row r="4591" spans="1:13">
      <c r="I4591" t="s">
        <v>169</v>
      </c>
      <c r="J4591" s="15">
        <v>0.35</v>
      </c>
      <c r="K4591" s="2">
        <v>4.3334484100341797E-2</v>
      </c>
      <c r="L4591" s="2">
        <f>SUM(TimeEntries10861096[Time delta in h])</f>
        <v>1.7741666666697711</v>
      </c>
      <c r="M4591" s="16">
        <f>Tabelle736710871098[[#This Row],[EBS self time]]/Tabelle736710871098[[#This Row],[Total time]]</f>
        <v>2.4425261118045639E-2</v>
      </c>
    </row>
    <row r="4592" spans="1:13">
      <c r="I4592" t="s">
        <v>172</v>
      </c>
      <c r="J4592" s="15">
        <v>0.5</v>
      </c>
      <c r="K4592" s="2">
        <v>7.4491642242254213E-2</v>
      </c>
      <c r="L4592" s="2">
        <f>SUM(TimeEntries10861096[Time delta in h])</f>
        <v>1.7741666666697711</v>
      </c>
      <c r="M4592" s="16">
        <f>Tabelle736710871098[[#This Row],[EBS self time]]/Tabelle736710871098[[#This Row],[Total time]]</f>
        <v>4.1986834518811009E-2</v>
      </c>
    </row>
    <row r="4593" spans="1:13">
      <c r="I4593" t="s">
        <v>187</v>
      </c>
      <c r="J4593" s="15">
        <v>0.65</v>
      </c>
      <c r="K4593" s="2">
        <v>0.16796311666799146</v>
      </c>
      <c r="L4593" s="2">
        <f>SUM(TimeEntries10861096[Time delta in h])</f>
        <v>1.7741666666697711</v>
      </c>
      <c r="M4593" s="16">
        <f>Tabelle736710871098[[#This Row],[EBS self time]]/Tabelle736710871098[[#This Row],[Total time]]</f>
        <v>9.4671554721107123E-2</v>
      </c>
    </row>
    <row r="4594" spans="1:13">
      <c r="I4594" t="s">
        <v>192</v>
      </c>
      <c r="J4594" s="15">
        <v>0.8</v>
      </c>
      <c r="K4594" s="2">
        <v>0.16796311666799146</v>
      </c>
      <c r="L4594" s="2">
        <f>SUM(TimeEntries10861096[Time delta in h])</f>
        <v>1.7741666666697711</v>
      </c>
      <c r="M4594" s="16">
        <f>Tabelle736710871098[[#This Row],[EBS self time]]/Tabelle736710871098[[#This Row],[Total time]]</f>
        <v>9.4671554721107123E-2</v>
      </c>
    </row>
    <row r="4595" spans="1:13">
      <c r="I4595" t="s">
        <v>193</v>
      </c>
      <c r="J4595" s="15">
        <v>0.95</v>
      </c>
      <c r="K4595" s="2">
        <v>0.16796311666799146</v>
      </c>
      <c r="L4595" s="2">
        <f>SUM(TimeEntries10861096[Time delta in h])</f>
        <v>1.7741666666697711</v>
      </c>
      <c r="M4595" s="16">
        <f>Tabelle736710871098[[#This Row],[EBS self time]]/Tabelle736710871098[[#This Row],[Total time]]</f>
        <v>9.4671554721107123E-2</v>
      </c>
    </row>
    <row r="4597" spans="1:13">
      <c r="A4597" t="s">
        <v>189</v>
      </c>
      <c r="B4597" t="s">
        <v>783</v>
      </c>
      <c r="C4597" t="s">
        <v>190</v>
      </c>
      <c r="D4597">
        <v>23</v>
      </c>
      <c r="E4597" t="s">
        <v>191</v>
      </c>
      <c r="F4597">
        <v>13</v>
      </c>
    </row>
    <row r="4598" spans="1:13">
      <c r="A4598" s="4" t="s">
        <v>24</v>
      </c>
      <c r="I4598" t="s">
        <v>135</v>
      </c>
      <c r="J4598" t="s">
        <v>136</v>
      </c>
    </row>
    <row r="4599" spans="1:13">
      <c r="A4599" t="s">
        <v>3</v>
      </c>
      <c r="B4599" t="s">
        <v>785</v>
      </c>
    </row>
    <row r="4600" spans="1:13">
      <c r="A4600" t="s">
        <v>77</v>
      </c>
      <c r="B4600" s="2">
        <v>12.401096343994141</v>
      </c>
      <c r="C4600" t="s">
        <v>4</v>
      </c>
    </row>
    <row r="4601" spans="1:13">
      <c r="A4601" t="s">
        <v>0</v>
      </c>
      <c r="B4601" s="2">
        <f>SUM(TimeEntries10881099[Time delta in h])</f>
        <v>5.1163888889132068</v>
      </c>
      <c r="C4601" t="s">
        <v>4</v>
      </c>
    </row>
    <row r="4602" spans="1:13">
      <c r="A4602" t="s">
        <v>13</v>
      </c>
      <c r="B4602" s="5" t="s">
        <v>92</v>
      </c>
    </row>
    <row r="4603" spans="1:13">
      <c r="A4603" t="s">
        <v>14</v>
      </c>
      <c r="B4603" s="5" t="s">
        <v>18</v>
      </c>
    </row>
    <row r="4604" spans="1:13">
      <c r="A4604" t="s">
        <v>1</v>
      </c>
      <c r="B4604" t="s">
        <v>131</v>
      </c>
    </row>
    <row r="4605" spans="1:13">
      <c r="A4605" t="s">
        <v>15</v>
      </c>
      <c r="B4605" s="5">
        <v>44161.956423611111</v>
      </c>
    </row>
    <row r="4606" spans="1:13">
      <c r="A4606" t="s">
        <v>2</v>
      </c>
    </row>
    <row r="4607" spans="1:13">
      <c r="A4607" t="s">
        <v>46</v>
      </c>
      <c r="B4607" t="s">
        <v>783</v>
      </c>
    </row>
    <row r="4608" spans="1:13">
      <c r="A4608" t="s">
        <v>5</v>
      </c>
      <c r="B4608" s="2">
        <f>B4600/SUM(TimeEntries10881099[Time delta in h])</f>
        <v>2.4237986230613342</v>
      </c>
      <c r="C4608" t="s">
        <v>6</v>
      </c>
    </row>
    <row r="4609" spans="1:13">
      <c r="A4609" t="s">
        <v>93</v>
      </c>
    </row>
    <row r="4610" spans="1:13">
      <c r="A4610" t="s">
        <v>94</v>
      </c>
    </row>
    <row r="4611" spans="1:13">
      <c r="A4611" t="s">
        <v>129</v>
      </c>
      <c r="B4611" s="1">
        <v>44161.956423611111</v>
      </c>
    </row>
    <row r="4613" spans="1:13">
      <c r="A4613" t="s">
        <v>10</v>
      </c>
      <c r="B4613" t="s">
        <v>7</v>
      </c>
      <c r="C4613" t="s">
        <v>8</v>
      </c>
      <c r="D4613" t="s">
        <v>9</v>
      </c>
      <c r="E4613" t="s">
        <v>134</v>
      </c>
      <c r="F4613" t="s">
        <v>84</v>
      </c>
      <c r="G4613" t="s">
        <v>85</v>
      </c>
      <c r="I4613" t="s">
        <v>70</v>
      </c>
      <c r="J4613" s="15" t="s">
        <v>68</v>
      </c>
      <c r="K4613" s="2" t="s">
        <v>69</v>
      </c>
      <c r="L4613" t="s">
        <v>71</v>
      </c>
      <c r="M4613" t="s">
        <v>72</v>
      </c>
    </row>
    <row r="4614" spans="1:13">
      <c r="A4614" t="s">
        <v>126</v>
      </c>
      <c r="B4614" s="1">
        <v>44161.74324074074</v>
      </c>
      <c r="C4614" s="1">
        <v>44161.956423611111</v>
      </c>
      <c r="D4614" s="2">
        <f>MAX((TimeEntries10881099[[#This Row],[End time]]-TimeEntries10881099[[#This Row],[Start time]])*24,0)</f>
        <v>5.1163888889132068</v>
      </c>
      <c r="F4614" s="54" t="s">
        <v>184</v>
      </c>
      <c r="G4614" s="22" t="s">
        <v>185</v>
      </c>
      <c r="I4614" t="s">
        <v>126</v>
      </c>
      <c r="J4614" s="15">
        <v>0.05</v>
      </c>
      <c r="K4614" s="2">
        <v>6.2005481719970703</v>
      </c>
      <c r="L4614" s="2">
        <f>SUM(TimeEntries10881099[Time delta in h])</f>
        <v>5.1163888889132068</v>
      </c>
      <c r="M4614" s="16">
        <f>Tabelle736710891100[[#This Row],[EBS self time]]/Tabelle736710891100[[#This Row],[Total time]]</f>
        <v>1.2118993115306671</v>
      </c>
    </row>
    <row r="4615" spans="1:13">
      <c r="B4615" s="1"/>
      <c r="C4615" s="1"/>
      <c r="D4615" s="2"/>
      <c r="I4615" t="s">
        <v>127</v>
      </c>
      <c r="J4615" s="15">
        <v>0.2</v>
      </c>
      <c r="K4615" s="2">
        <v>6.2005481719970703</v>
      </c>
      <c r="L4615" s="2">
        <f>SUM(TimeEntries10881099[Time delta in h])</f>
        <v>5.1163888889132068</v>
      </c>
      <c r="M4615" s="16">
        <f>Tabelle736710891100[[#This Row],[EBS self time]]/Tabelle736710891100[[#This Row],[Total time]]</f>
        <v>1.2118993115306671</v>
      </c>
    </row>
    <row r="4616" spans="1:13">
      <c r="I4616" t="s">
        <v>169</v>
      </c>
      <c r="J4616" s="15">
        <v>0.35</v>
      </c>
      <c r="K4616" s="2">
        <v>6.2005481719970703</v>
      </c>
      <c r="L4616" s="2">
        <f>SUM(TimeEntries10881099[Time delta in h])</f>
        <v>5.1163888889132068</v>
      </c>
      <c r="M4616" s="16">
        <f>Tabelle736710891100[[#This Row],[EBS self time]]/Tabelle736710891100[[#This Row],[Total time]]</f>
        <v>1.2118993115306671</v>
      </c>
    </row>
    <row r="4617" spans="1:13">
      <c r="I4617" t="s">
        <v>172</v>
      </c>
      <c r="J4617" s="15">
        <v>0.5</v>
      </c>
      <c r="K4617" s="2">
        <v>6.2005481719970703</v>
      </c>
      <c r="L4617" s="2">
        <f>SUM(TimeEntries10881099[Time delta in h])</f>
        <v>5.1163888889132068</v>
      </c>
      <c r="M4617" s="16">
        <f>Tabelle736710891100[[#This Row],[EBS self time]]/Tabelle736710891100[[#This Row],[Total time]]</f>
        <v>1.2118993115306671</v>
      </c>
    </row>
    <row r="4618" spans="1:13">
      <c r="I4618" t="s">
        <v>187</v>
      </c>
      <c r="J4618" s="15">
        <v>0.65</v>
      </c>
      <c r="K4618" s="2">
        <v>24.033132449601048</v>
      </c>
      <c r="L4618" s="2">
        <f>SUM(TimeEntries10881099[Time delta in h])</f>
        <v>5.1163888889132068</v>
      </c>
      <c r="M4618" s="16">
        <f>Tabelle736710891100[[#This Row],[EBS self time]]/Tabelle736710891100[[#This Row],[Total time]]</f>
        <v>4.6972841532196403</v>
      </c>
    </row>
    <row r="4619" spans="1:13">
      <c r="I4619" t="s">
        <v>192</v>
      </c>
      <c r="J4619" s="15">
        <v>0.8</v>
      </c>
      <c r="K4619" s="2">
        <v>24.033132449601048</v>
      </c>
      <c r="L4619" s="2">
        <f>SUM(TimeEntries10881099[Time delta in h])</f>
        <v>5.1163888889132068</v>
      </c>
      <c r="M4619" s="16">
        <f>Tabelle736710891100[[#This Row],[EBS self time]]/Tabelle736710891100[[#This Row],[Total time]]</f>
        <v>4.6972841532196403</v>
      </c>
    </row>
    <row r="4620" spans="1:13">
      <c r="I4620" t="s">
        <v>193</v>
      </c>
      <c r="J4620" s="15">
        <v>0.95</v>
      </c>
      <c r="K4620" s="2">
        <v>24.033132449601048</v>
      </c>
      <c r="L4620" s="2">
        <f>SUM(TimeEntries10881099[Time delta in h])</f>
        <v>5.1163888889132068</v>
      </c>
      <c r="M4620" s="16">
        <f>Tabelle736710891100[[#This Row],[EBS self time]]/Tabelle736710891100[[#This Row],[Total time]]</f>
        <v>4.6972841532196403</v>
      </c>
    </row>
    <row r="4622" spans="1:13">
      <c r="A4622" t="s">
        <v>189</v>
      </c>
      <c r="B4622" t="s">
        <v>786</v>
      </c>
      <c r="C4622" t="s">
        <v>190</v>
      </c>
      <c r="D4622">
        <v>18</v>
      </c>
      <c r="E4622" t="s">
        <v>191</v>
      </c>
      <c r="F4622">
        <v>13</v>
      </c>
    </row>
    <row r="4623" spans="1:13">
      <c r="A4623" s="4" t="s">
        <v>24</v>
      </c>
      <c r="I4623" t="s">
        <v>135</v>
      </c>
      <c r="J4623" t="s">
        <v>136</v>
      </c>
    </row>
    <row r="4624" spans="1:13">
      <c r="A4624" t="s">
        <v>3</v>
      </c>
      <c r="B4624" t="s">
        <v>788</v>
      </c>
    </row>
    <row r="4625" spans="1:13">
      <c r="A4625" t="s">
        <v>77</v>
      </c>
      <c r="B4625" s="2" t="s">
        <v>92</v>
      </c>
      <c r="C4625" t="s">
        <v>4</v>
      </c>
    </row>
    <row r="4626" spans="1:13">
      <c r="A4626" t="s">
        <v>0</v>
      </c>
      <c r="B4626" s="2">
        <f>SUM(TimeEntries10901101[Time delta in h])</f>
        <v>4.8913888888782822</v>
      </c>
      <c r="C4626" t="s">
        <v>4</v>
      </c>
    </row>
    <row r="4627" spans="1:13">
      <c r="A4627" t="s">
        <v>13</v>
      </c>
      <c r="B4627" s="5" t="s">
        <v>92</v>
      </c>
    </row>
    <row r="4628" spans="1:13">
      <c r="A4628" t="s">
        <v>14</v>
      </c>
      <c r="B4628" s="5" t="s">
        <v>18</v>
      </c>
    </row>
    <row r="4629" spans="1:13">
      <c r="A4629" t="s">
        <v>1</v>
      </c>
      <c r="B4629" t="s">
        <v>91</v>
      </c>
    </row>
    <row r="4630" spans="1:13">
      <c r="A4630" t="s">
        <v>15</v>
      </c>
      <c r="B4630" s="5" t="s">
        <v>92</v>
      </c>
    </row>
    <row r="4631" spans="1:13">
      <c r="A4631" t="s">
        <v>2</v>
      </c>
    </row>
    <row r="4632" spans="1:13">
      <c r="A4632" t="s">
        <v>46</v>
      </c>
      <c r="B4632" t="s">
        <v>786</v>
      </c>
    </row>
    <row r="4633" spans="1:13">
      <c r="A4633" t="s">
        <v>5</v>
      </c>
      <c r="B4633" s="2" t="e">
        <f>B4625/SUM(TimeEntries10901101[Time delta in h])</f>
        <v>#VALUE!</v>
      </c>
      <c r="C4633" t="s">
        <v>6</v>
      </c>
    </row>
    <row r="4634" spans="1:13">
      <c r="A4634" t="s">
        <v>93</v>
      </c>
    </row>
    <row r="4635" spans="1:13">
      <c r="A4635" t="s">
        <v>94</v>
      </c>
    </row>
    <row r="4636" spans="1:13">
      <c r="A4636" t="s">
        <v>129</v>
      </c>
      <c r="B4636" s="1">
        <v>44161.956435185188</v>
      </c>
    </row>
    <row r="4638" spans="1:13">
      <c r="A4638" t="s">
        <v>10</v>
      </c>
      <c r="B4638" t="s">
        <v>7</v>
      </c>
      <c r="C4638" t="s">
        <v>8</v>
      </c>
      <c r="D4638" t="s">
        <v>9</v>
      </c>
      <c r="E4638" t="s">
        <v>134</v>
      </c>
      <c r="F4638" t="s">
        <v>84</v>
      </c>
      <c r="G4638" t="s">
        <v>85</v>
      </c>
      <c r="I4638" t="s">
        <v>70</v>
      </c>
      <c r="J4638" s="15" t="s">
        <v>68</v>
      </c>
      <c r="K4638" s="2" t="s">
        <v>69</v>
      </c>
      <c r="L4638" t="s">
        <v>71</v>
      </c>
      <c r="M4638" t="s">
        <v>72</v>
      </c>
    </row>
    <row r="4639" spans="1:13">
      <c r="A4639" t="s">
        <v>126</v>
      </c>
      <c r="B4639" s="1">
        <v>44161.752627314818</v>
      </c>
      <c r="C4639" s="1">
        <v>44161.956435185188</v>
      </c>
      <c r="D4639" s="2">
        <f>MAX((TimeEntries10901101[[#This Row],[End time]]-TimeEntries10901101[[#This Row],[Start time]])*24,0)</f>
        <v>4.8913888888782822</v>
      </c>
      <c r="F4639" s="54" t="s">
        <v>184</v>
      </c>
      <c r="G4639" s="22" t="s">
        <v>185</v>
      </c>
      <c r="J4639" s="15"/>
      <c r="K4639" s="2"/>
      <c r="L4639" s="2">
        <f>SUM(TimeEntries10901101[Time delta in h])</f>
        <v>4.8913888888782822</v>
      </c>
      <c r="M4639" s="16">
        <f>Tabelle736710911102[[#This Row],[EBS self time]]/Tabelle736710911102[[#This Row],[Total time]]</f>
        <v>0</v>
      </c>
    </row>
    <row r="4640" spans="1:13">
      <c r="B4640" s="1"/>
      <c r="C4640" s="1"/>
      <c r="D4640" s="2"/>
    </row>
    <row r="4642" spans="1:10">
      <c r="A4642" t="s">
        <v>189</v>
      </c>
      <c r="B4642" t="s">
        <v>789</v>
      </c>
      <c r="C4642" t="s">
        <v>190</v>
      </c>
      <c r="D4642">
        <v>18</v>
      </c>
      <c r="E4642" t="s">
        <v>191</v>
      </c>
      <c r="F4642">
        <v>13</v>
      </c>
    </row>
    <row r="4643" spans="1:10">
      <c r="A4643" s="4" t="s">
        <v>24</v>
      </c>
      <c r="I4643" t="s">
        <v>135</v>
      </c>
      <c r="J4643" t="s">
        <v>136</v>
      </c>
    </row>
    <row r="4644" spans="1:10">
      <c r="A4644" t="s">
        <v>3</v>
      </c>
      <c r="B4644" t="s">
        <v>791</v>
      </c>
    </row>
    <row r="4645" spans="1:10">
      <c r="A4645" t="s">
        <v>77</v>
      </c>
      <c r="B4645" s="2" t="s">
        <v>92</v>
      </c>
      <c r="C4645" t="s">
        <v>4</v>
      </c>
    </row>
    <row r="4646" spans="1:10">
      <c r="A4646" t="s">
        <v>0</v>
      </c>
      <c r="B4646" s="2">
        <f>SUM(TimeEntries10921103110715[Time delta in h])</f>
        <v>0.92444444436114281</v>
      </c>
      <c r="C4646" t="s">
        <v>4</v>
      </c>
    </row>
    <row r="4647" spans="1:10">
      <c r="A4647" t="s">
        <v>13</v>
      </c>
      <c r="B4647" s="5" t="s">
        <v>92</v>
      </c>
    </row>
    <row r="4648" spans="1:10">
      <c r="A4648" t="s">
        <v>14</v>
      </c>
      <c r="B4648" s="5" t="s">
        <v>18</v>
      </c>
    </row>
    <row r="4649" spans="1:10">
      <c r="A4649" t="s">
        <v>1</v>
      </c>
      <c r="B4649" t="s">
        <v>91</v>
      </c>
    </row>
    <row r="4650" spans="1:10">
      <c r="A4650" t="s">
        <v>15</v>
      </c>
      <c r="B4650" s="5" t="s">
        <v>92</v>
      </c>
    </row>
    <row r="4651" spans="1:10">
      <c r="A4651" t="s">
        <v>2</v>
      </c>
    </row>
    <row r="4652" spans="1:10">
      <c r="A4652" t="s">
        <v>46</v>
      </c>
      <c r="B4652" t="s">
        <v>789</v>
      </c>
    </row>
    <row r="4653" spans="1:10">
      <c r="A4653" t="s">
        <v>5</v>
      </c>
      <c r="B4653" s="2" t="e">
        <f>B4645/SUM(TimeEntries10921103110715[Time delta in h])</f>
        <v>#VALUE!</v>
      </c>
      <c r="C4653" t="s">
        <v>6</v>
      </c>
    </row>
    <row r="4654" spans="1:10">
      <c r="A4654" t="s">
        <v>93</v>
      </c>
    </row>
    <row r="4655" spans="1:10">
      <c r="A4655" t="s">
        <v>94</v>
      </c>
    </row>
    <row r="4656" spans="1:10">
      <c r="A4656" t="s">
        <v>129</v>
      </c>
      <c r="B4656" s="1">
        <v>44161.956446759257</v>
      </c>
    </row>
    <row r="4658" spans="1:13">
      <c r="A4658" t="s">
        <v>10</v>
      </c>
      <c r="B4658" t="s">
        <v>7</v>
      </c>
      <c r="C4658" t="s">
        <v>8</v>
      </c>
      <c r="D4658" t="s">
        <v>9</v>
      </c>
      <c r="E4658" t="s">
        <v>134</v>
      </c>
      <c r="F4658" t="s">
        <v>84</v>
      </c>
      <c r="G4658" t="s">
        <v>85</v>
      </c>
      <c r="I4658" t="s">
        <v>70</v>
      </c>
      <c r="J4658" s="15" t="s">
        <v>68</v>
      </c>
      <c r="K4658" s="2" t="s">
        <v>69</v>
      </c>
      <c r="L4658" t="s">
        <v>71</v>
      </c>
      <c r="M4658" t="s">
        <v>72</v>
      </c>
    </row>
    <row r="4659" spans="1:13">
      <c r="A4659" t="s">
        <v>126</v>
      </c>
      <c r="B4659" s="1">
        <v>44161.917962962965</v>
      </c>
      <c r="C4659" s="1">
        <v>44161.95648148148</v>
      </c>
      <c r="D4659" s="2">
        <f>MAX((TimeEntries10921103110715[[#This Row],[End time]]-TimeEntries10921103110715[[#This Row],[Start time]])*24,0)</f>
        <v>0.92444444436114281</v>
      </c>
      <c r="F4659" s="54" t="s">
        <v>184</v>
      </c>
      <c r="G4659" s="22" t="s">
        <v>185</v>
      </c>
      <c r="J4659" s="15"/>
      <c r="K4659" s="2"/>
      <c r="L4659" s="2">
        <f>SUM(TimeEntries10921103110715[Time delta in h])</f>
        <v>0.92444444436114281</v>
      </c>
      <c r="M4659" s="16">
        <f>Tabelle736710931104110816[[#This Row],[EBS self time]]/Tabelle736710931104110816[[#This Row],[Total time]]</f>
        <v>0</v>
      </c>
    </row>
    <row r="4660" spans="1:13">
      <c r="B4660" s="1"/>
      <c r="C4660" s="1"/>
      <c r="D4660" s="2"/>
    </row>
    <row r="4662" spans="1:13">
      <c r="A4662" t="s">
        <v>189</v>
      </c>
      <c r="B4662" t="s">
        <v>792</v>
      </c>
      <c r="C4662" t="s">
        <v>190</v>
      </c>
      <c r="D4662">
        <v>18</v>
      </c>
      <c r="E4662" t="s">
        <v>191</v>
      </c>
      <c r="F4662">
        <v>13</v>
      </c>
    </row>
    <row r="4663" spans="1:13">
      <c r="A4663" s="4" t="s">
        <v>24</v>
      </c>
      <c r="I4663" t="s">
        <v>135</v>
      </c>
      <c r="J4663" t="s">
        <v>136</v>
      </c>
    </row>
    <row r="4664" spans="1:13">
      <c r="A4664" t="s">
        <v>3</v>
      </c>
      <c r="B4664" t="s">
        <v>794</v>
      </c>
    </row>
    <row r="4665" spans="1:13">
      <c r="A4665" t="s">
        <v>77</v>
      </c>
      <c r="B4665" s="2" t="s">
        <v>92</v>
      </c>
      <c r="C4665" t="s">
        <v>4</v>
      </c>
    </row>
    <row r="4666" spans="1:13">
      <c r="A4666" t="s">
        <v>0</v>
      </c>
      <c r="B4666" s="2">
        <f>SUM(TimeEntries110928[Time delta in h])</f>
        <v>31.557222222327255</v>
      </c>
      <c r="C4666" t="s">
        <v>4</v>
      </c>
    </row>
    <row r="4667" spans="1:13">
      <c r="A4667" t="s">
        <v>13</v>
      </c>
      <c r="B4667" s="5" t="s">
        <v>92</v>
      </c>
    </row>
    <row r="4668" spans="1:13">
      <c r="A4668" t="s">
        <v>14</v>
      </c>
      <c r="B4668" s="5" t="s">
        <v>18</v>
      </c>
    </row>
    <row r="4669" spans="1:13">
      <c r="A4669" t="s">
        <v>1</v>
      </c>
      <c r="B4669" t="s">
        <v>91</v>
      </c>
    </row>
    <row r="4670" spans="1:13">
      <c r="A4670" t="s">
        <v>15</v>
      </c>
      <c r="B4670" s="5" t="s">
        <v>92</v>
      </c>
    </row>
    <row r="4671" spans="1:13">
      <c r="A4671" t="s">
        <v>2</v>
      </c>
    </row>
    <row r="4672" spans="1:13">
      <c r="A4672" t="s">
        <v>46</v>
      </c>
      <c r="B4672" t="s">
        <v>792</v>
      </c>
    </row>
    <row r="4673" spans="1:13">
      <c r="A4673" t="s">
        <v>5</v>
      </c>
      <c r="B4673" s="2" t="e">
        <f>B4665/SUM(TimeEntries110928[Time delta in h])</f>
        <v>#VALUE!</v>
      </c>
      <c r="C4673" t="s">
        <v>6</v>
      </c>
    </row>
    <row r="4674" spans="1:13">
      <c r="A4674" t="s">
        <v>93</v>
      </c>
    </row>
    <row r="4675" spans="1:13">
      <c r="A4675" t="s">
        <v>94</v>
      </c>
    </row>
    <row r="4676" spans="1:13">
      <c r="A4676" t="s">
        <v>129</v>
      </c>
      <c r="B4676" s="1">
        <v>44161.956493055557</v>
      </c>
    </row>
    <row r="4678" spans="1:13">
      <c r="A4678" t="s">
        <v>10</v>
      </c>
      <c r="B4678" t="s">
        <v>7</v>
      </c>
      <c r="C4678" t="s">
        <v>8</v>
      </c>
      <c r="D4678" t="s">
        <v>9</v>
      </c>
      <c r="E4678" t="s">
        <v>134</v>
      </c>
      <c r="F4678" t="s">
        <v>84</v>
      </c>
      <c r="G4678" t="s">
        <v>85</v>
      </c>
      <c r="I4678" t="s">
        <v>70</v>
      </c>
      <c r="J4678" s="15" t="s">
        <v>68</v>
      </c>
      <c r="K4678" s="2" t="s">
        <v>69</v>
      </c>
      <c r="L4678" t="s">
        <v>71</v>
      </c>
      <c r="M4678" t="s">
        <v>72</v>
      </c>
    </row>
    <row r="4679" spans="1:13">
      <c r="A4679" t="s">
        <v>126</v>
      </c>
      <c r="B4679" s="1">
        <v>44160.641608796293</v>
      </c>
      <c r="C4679" s="1">
        <v>44161.956493055557</v>
      </c>
      <c r="D4679" s="2">
        <f>MAX((TimeEntries110928[[#This Row],[End time]]-TimeEntries110928[[#This Row],[Start time]])*24,0)</f>
        <v>31.557222222327255</v>
      </c>
      <c r="F4679" s="54" t="s">
        <v>184</v>
      </c>
      <c r="G4679" s="22" t="s">
        <v>185</v>
      </c>
      <c r="J4679" s="15"/>
      <c r="K4679" s="2"/>
      <c r="L4679" s="2">
        <f>SUM(TimeEntries110928[Time delta in h])</f>
        <v>31.557222222327255</v>
      </c>
      <c r="M4679" s="16">
        <f>Tabelle7367111029[[#This Row],[EBS self time]]/Tabelle7367111029[[#This Row],[Total time]]</f>
        <v>0</v>
      </c>
    </row>
    <row r="4680" spans="1:13">
      <c r="B4680" s="1"/>
      <c r="C4680" s="1"/>
      <c r="D4680" s="2"/>
    </row>
    <row r="4682" spans="1:13">
      <c r="A4682" t="s">
        <v>189</v>
      </c>
      <c r="B4682" t="s">
        <v>795</v>
      </c>
      <c r="C4682" t="s">
        <v>190</v>
      </c>
      <c r="D4682">
        <v>18</v>
      </c>
      <c r="E4682" t="s">
        <v>191</v>
      </c>
      <c r="F4682">
        <v>13</v>
      </c>
    </row>
    <row r="4683" spans="1:13">
      <c r="A4683" s="4" t="s">
        <v>24</v>
      </c>
      <c r="I4683" t="s">
        <v>135</v>
      </c>
      <c r="J4683" t="s">
        <v>136</v>
      </c>
    </row>
    <row r="4684" spans="1:13">
      <c r="A4684" t="s">
        <v>3</v>
      </c>
      <c r="B4684" t="s">
        <v>797</v>
      </c>
    </row>
    <row r="4685" spans="1:13">
      <c r="A4685" t="s">
        <v>77</v>
      </c>
      <c r="B4685" s="2" t="s">
        <v>92</v>
      </c>
      <c r="C4685" t="s">
        <v>4</v>
      </c>
    </row>
    <row r="4686" spans="1:13">
      <c r="A4686" t="s">
        <v>0</v>
      </c>
      <c r="B4686" s="2">
        <f>SUM(TimeEntries111130[Time delta in h])</f>
        <v>1.4216666665161029</v>
      </c>
      <c r="C4686" t="s">
        <v>4</v>
      </c>
    </row>
    <row r="4687" spans="1:13">
      <c r="A4687" t="s">
        <v>13</v>
      </c>
      <c r="B4687" s="5" t="s">
        <v>92</v>
      </c>
    </row>
    <row r="4688" spans="1:13">
      <c r="A4688" t="s">
        <v>14</v>
      </c>
      <c r="B4688" s="5" t="s">
        <v>18</v>
      </c>
    </row>
    <row r="4689" spans="1:13">
      <c r="A4689" t="s">
        <v>1</v>
      </c>
      <c r="B4689" t="s">
        <v>91</v>
      </c>
    </row>
    <row r="4690" spans="1:13">
      <c r="A4690" t="s">
        <v>15</v>
      </c>
      <c r="B4690" s="5" t="s">
        <v>92</v>
      </c>
    </row>
    <row r="4691" spans="1:13">
      <c r="A4691" t="s">
        <v>2</v>
      </c>
    </row>
    <row r="4692" spans="1:13">
      <c r="A4692" t="s">
        <v>46</v>
      </c>
      <c r="B4692" t="s">
        <v>795</v>
      </c>
    </row>
    <row r="4693" spans="1:13">
      <c r="A4693" t="s">
        <v>5</v>
      </c>
      <c r="B4693" s="2" t="e">
        <f>B4685/SUM(TimeEntries111130[Time delta in h])</f>
        <v>#VALUE!</v>
      </c>
      <c r="C4693" t="s">
        <v>6</v>
      </c>
    </row>
    <row r="4694" spans="1:13">
      <c r="A4694" t="s">
        <v>93</v>
      </c>
    </row>
    <row r="4695" spans="1:13">
      <c r="A4695" t="s">
        <v>94</v>
      </c>
    </row>
    <row r="4696" spans="1:13">
      <c r="A4696" t="s">
        <v>129</v>
      </c>
      <c r="B4696" s="1">
        <v>44161.956504629627</v>
      </c>
    </row>
    <row r="4698" spans="1:13">
      <c r="A4698" t="s">
        <v>10</v>
      </c>
      <c r="B4698" t="s">
        <v>7</v>
      </c>
      <c r="C4698" t="s">
        <v>8</v>
      </c>
      <c r="D4698" t="s">
        <v>9</v>
      </c>
      <c r="E4698" t="s">
        <v>134</v>
      </c>
      <c r="F4698" t="s">
        <v>84</v>
      </c>
      <c r="G4698" t="s">
        <v>85</v>
      </c>
      <c r="I4698" t="s">
        <v>70</v>
      </c>
      <c r="J4698" s="15" t="s">
        <v>68</v>
      </c>
      <c r="K4698" s="2" t="s">
        <v>69</v>
      </c>
      <c r="L4698" t="s">
        <v>71</v>
      </c>
      <c r="M4698" t="s">
        <v>72</v>
      </c>
    </row>
    <row r="4699" spans="1:13">
      <c r="A4699" t="s">
        <v>126</v>
      </c>
      <c r="B4699" s="1">
        <v>44161.897268518522</v>
      </c>
      <c r="C4699" s="1">
        <v>44161.956504629627</v>
      </c>
      <c r="D4699" s="2">
        <f>MAX((TimeEntries111130[[#This Row],[End time]]-TimeEntries111130[[#This Row],[Start time]])*24,0)</f>
        <v>1.4216666665161029</v>
      </c>
      <c r="F4699" s="54" t="s">
        <v>184</v>
      </c>
      <c r="G4699" s="22" t="s">
        <v>185</v>
      </c>
      <c r="J4699" s="15"/>
      <c r="K4699" s="2"/>
      <c r="L4699" s="2">
        <f>SUM(TimeEntries111130[Time delta in h])</f>
        <v>1.4216666665161029</v>
      </c>
      <c r="M4699" s="16">
        <f>Tabelle7367111231[[#This Row],[EBS self time]]/Tabelle7367111231[[#This Row],[Total time]]</f>
        <v>0</v>
      </c>
    </row>
    <row r="4700" spans="1:13">
      <c r="B4700" s="1"/>
      <c r="C4700" s="1"/>
      <c r="D4700" s="2"/>
    </row>
    <row r="4702" spans="1:13">
      <c r="A4702" t="s">
        <v>189</v>
      </c>
      <c r="B4702" t="s">
        <v>798</v>
      </c>
      <c r="C4702" t="s">
        <v>190</v>
      </c>
      <c r="D4702">
        <v>18</v>
      </c>
      <c r="E4702" t="s">
        <v>191</v>
      </c>
      <c r="F4702">
        <v>13</v>
      </c>
    </row>
    <row r="4703" spans="1:13">
      <c r="A4703" s="4" t="s">
        <v>24</v>
      </c>
      <c r="I4703" t="s">
        <v>135</v>
      </c>
      <c r="J4703" t="s">
        <v>136</v>
      </c>
    </row>
    <row r="4704" spans="1:13">
      <c r="A4704" t="s">
        <v>3</v>
      </c>
      <c r="B4704" t="s">
        <v>800</v>
      </c>
    </row>
    <row r="4705" spans="1:13">
      <c r="A4705" t="s">
        <v>77</v>
      </c>
      <c r="B4705" s="2" t="s">
        <v>92</v>
      </c>
      <c r="C4705" t="s">
        <v>4</v>
      </c>
    </row>
    <row r="4706" spans="1:13">
      <c r="A4706" t="s">
        <v>0</v>
      </c>
      <c r="B4706" s="2">
        <f>SUM(TimeEntries111332[Time delta in h])</f>
        <v>21.074166666716337</v>
      </c>
      <c r="C4706" t="s">
        <v>4</v>
      </c>
    </row>
    <row r="4707" spans="1:13">
      <c r="A4707" t="s">
        <v>13</v>
      </c>
      <c r="B4707" s="5" t="s">
        <v>92</v>
      </c>
    </row>
    <row r="4708" spans="1:13">
      <c r="A4708" t="s">
        <v>14</v>
      </c>
      <c r="B4708" s="5" t="s">
        <v>18</v>
      </c>
    </row>
    <row r="4709" spans="1:13">
      <c r="A4709" t="s">
        <v>1</v>
      </c>
      <c r="B4709" t="s">
        <v>91</v>
      </c>
    </row>
    <row r="4710" spans="1:13">
      <c r="A4710" t="s">
        <v>15</v>
      </c>
      <c r="B4710" s="5" t="s">
        <v>92</v>
      </c>
    </row>
    <row r="4711" spans="1:13">
      <c r="A4711" t="s">
        <v>2</v>
      </c>
    </row>
    <row r="4712" spans="1:13">
      <c r="A4712" t="s">
        <v>46</v>
      </c>
      <c r="B4712" t="s">
        <v>798</v>
      </c>
    </row>
    <row r="4713" spans="1:13">
      <c r="A4713" t="s">
        <v>5</v>
      </c>
      <c r="B4713" s="2" t="e">
        <f>B4705/SUM(TimeEntries111332[Time delta in h])</f>
        <v>#VALUE!</v>
      </c>
      <c r="C4713" t="s">
        <v>6</v>
      </c>
    </row>
    <row r="4714" spans="1:13">
      <c r="A4714" t="s">
        <v>93</v>
      </c>
    </row>
    <row r="4715" spans="1:13">
      <c r="A4715" t="s">
        <v>94</v>
      </c>
    </row>
    <row r="4716" spans="1:13">
      <c r="A4716" t="s">
        <v>129</v>
      </c>
      <c r="B4716" s="1">
        <v>44161.95652777778</v>
      </c>
    </row>
    <row r="4718" spans="1:13">
      <c r="A4718" t="s">
        <v>10</v>
      </c>
      <c r="B4718" t="s">
        <v>7</v>
      </c>
      <c r="C4718" t="s">
        <v>8</v>
      </c>
      <c r="D4718" t="s">
        <v>9</v>
      </c>
      <c r="E4718" t="s">
        <v>134</v>
      </c>
      <c r="F4718" t="s">
        <v>84</v>
      </c>
      <c r="G4718" t="s">
        <v>85</v>
      </c>
      <c r="I4718" t="s">
        <v>70</v>
      </c>
      <c r="J4718" s="15" t="s">
        <v>68</v>
      </c>
      <c r="K4718" s="2" t="s">
        <v>69</v>
      </c>
      <c r="L4718" t="s">
        <v>71</v>
      </c>
      <c r="M4718" t="s">
        <v>72</v>
      </c>
    </row>
    <row r="4719" spans="1:13">
      <c r="A4719" t="s">
        <v>126</v>
      </c>
      <c r="B4719" s="1">
        <v>44161.0784375</v>
      </c>
      <c r="C4719" s="1">
        <v>44161.95652777778</v>
      </c>
      <c r="D4719" s="2">
        <f>MAX((TimeEntries111332[[#This Row],[End time]]-TimeEntries111332[[#This Row],[Start time]])*24,0)</f>
        <v>21.074166666716337</v>
      </c>
      <c r="F4719" s="54" t="s">
        <v>184</v>
      </c>
      <c r="G4719" s="22" t="s">
        <v>185</v>
      </c>
      <c r="J4719" s="15"/>
      <c r="K4719" s="2"/>
      <c r="L4719" s="2">
        <f>SUM(TimeEntries111332[Time delta in h])</f>
        <v>21.074166666716337</v>
      </c>
      <c r="M4719" s="16">
        <f>Tabelle7367111433[[#This Row],[EBS self time]]/Tabelle7367111433[[#This Row],[Total time]]</f>
        <v>0</v>
      </c>
    </row>
    <row r="4720" spans="1:13">
      <c r="B4720" s="1"/>
      <c r="C4720" s="1"/>
      <c r="D4720" s="2"/>
    </row>
    <row r="4722" spans="1:10">
      <c r="A4722" t="s">
        <v>189</v>
      </c>
      <c r="B4722" t="s">
        <v>750</v>
      </c>
      <c r="C4722" t="s">
        <v>190</v>
      </c>
      <c r="D4722">
        <v>23</v>
      </c>
      <c r="E4722" t="s">
        <v>191</v>
      </c>
      <c r="F4722">
        <v>13</v>
      </c>
    </row>
    <row r="4723" spans="1:10">
      <c r="A4723" s="4" t="s">
        <v>24</v>
      </c>
      <c r="I4723" t="s">
        <v>135</v>
      </c>
      <c r="J4723" t="s">
        <v>136</v>
      </c>
    </row>
    <row r="4724" spans="1:10">
      <c r="A4724" t="s">
        <v>3</v>
      </c>
      <c r="B4724" t="s">
        <v>752</v>
      </c>
    </row>
    <row r="4725" spans="1:10">
      <c r="A4725" t="s">
        <v>77</v>
      </c>
      <c r="B4725" s="2">
        <v>9.007904052734375</v>
      </c>
      <c r="C4725" t="s">
        <v>4</v>
      </c>
    </row>
    <row r="4726" spans="1:10">
      <c r="A4726" t="s">
        <v>0</v>
      </c>
      <c r="B4726" s="2">
        <f>SUM(TimeEntries10241034634[Time delta in h])</f>
        <v>17.592500000086147</v>
      </c>
      <c r="C4726" t="s">
        <v>4</v>
      </c>
    </row>
    <row r="4727" spans="1:10">
      <c r="A4727" t="s">
        <v>13</v>
      </c>
      <c r="B4727" s="5" t="s">
        <v>92</v>
      </c>
    </row>
    <row r="4728" spans="1:10">
      <c r="A4728" t="s">
        <v>14</v>
      </c>
      <c r="B4728" s="5" t="s">
        <v>18</v>
      </c>
    </row>
    <row r="4729" spans="1:10">
      <c r="A4729" t="s">
        <v>1</v>
      </c>
      <c r="B4729" t="s">
        <v>131</v>
      </c>
    </row>
    <row r="4730" spans="1:10">
      <c r="A4730" t="s">
        <v>15</v>
      </c>
      <c r="B4730" s="5">
        <v>44161.956180555557</v>
      </c>
    </row>
    <row r="4731" spans="1:10">
      <c r="A4731" t="s">
        <v>2</v>
      </c>
    </row>
    <row r="4732" spans="1:10">
      <c r="A4732" t="s">
        <v>46</v>
      </c>
      <c r="B4732" t="s">
        <v>750</v>
      </c>
    </row>
    <row r="4733" spans="1:10">
      <c r="A4733" t="s">
        <v>5</v>
      </c>
      <c r="B4733" s="2">
        <f>B4725/SUM(TimeEntries10241034634[Time delta in h])</f>
        <v>0.51203092526305327</v>
      </c>
      <c r="C4733" t="s">
        <v>6</v>
      </c>
    </row>
    <row r="4734" spans="1:10">
      <c r="A4734" t="s">
        <v>93</v>
      </c>
    </row>
    <row r="4735" spans="1:10">
      <c r="A4735" t="s">
        <v>94</v>
      </c>
    </row>
    <row r="4736" spans="1:10">
      <c r="A4736" t="s">
        <v>129</v>
      </c>
      <c r="B4736" s="1">
        <v>44161.95616898148</v>
      </c>
    </row>
    <row r="4738" spans="1:13">
      <c r="A4738" t="s">
        <v>10</v>
      </c>
      <c r="B4738" t="s">
        <v>7</v>
      </c>
      <c r="C4738" t="s">
        <v>8</v>
      </c>
      <c r="D4738" t="s">
        <v>9</v>
      </c>
      <c r="E4738" t="s">
        <v>134</v>
      </c>
      <c r="F4738" t="s">
        <v>84</v>
      </c>
      <c r="G4738" t="s">
        <v>85</v>
      </c>
      <c r="I4738" t="s">
        <v>70</v>
      </c>
      <c r="J4738" s="15" t="s">
        <v>68</v>
      </c>
      <c r="K4738" s="2" t="s">
        <v>69</v>
      </c>
      <c r="L4738" t="s">
        <v>71</v>
      </c>
      <c r="M4738" t="s">
        <v>72</v>
      </c>
    </row>
    <row r="4739" spans="1:13">
      <c r="A4739" t="s">
        <v>126</v>
      </c>
      <c r="B4739" s="1">
        <v>44161.22315972222</v>
      </c>
      <c r="C4739" s="1">
        <v>44161.956180555557</v>
      </c>
      <c r="D4739" s="2">
        <f>MAX((TimeEntries10241034634[[#This Row],[End time]]-TimeEntries10241034634[[#This Row],[Start time]])*24,0)</f>
        <v>17.592500000086147</v>
      </c>
      <c r="F4739" s="54" t="s">
        <v>184</v>
      </c>
      <c r="G4739" s="22" t="s">
        <v>185</v>
      </c>
      <c r="I4739" t="s">
        <v>126</v>
      </c>
      <c r="J4739" s="15">
        <v>0.05</v>
      </c>
      <c r="K4739" s="2">
        <v>4.5039520263671875</v>
      </c>
      <c r="L4739" s="2">
        <f>SUM(TimeEntries10241034634[Time delta in h])</f>
        <v>17.592500000086147</v>
      </c>
      <c r="M4739" s="16">
        <f>Tabelle736710251035735[[#This Row],[EBS self time]]/Tabelle736710251035735[[#This Row],[Total time]]</f>
        <v>0.25601546263152664</v>
      </c>
    </row>
    <row r="4740" spans="1:13">
      <c r="B4740" s="1"/>
      <c r="C4740" s="1"/>
      <c r="D4740" s="2"/>
      <c r="I4740" t="s">
        <v>127</v>
      </c>
      <c r="J4740" s="15">
        <v>0.2</v>
      </c>
      <c r="K4740" s="2">
        <v>4.5039520263671875</v>
      </c>
      <c r="L4740" s="2">
        <f>SUM(TimeEntries10241034634[Time delta in h])</f>
        <v>17.592500000086147</v>
      </c>
      <c r="M4740" s="16">
        <f>Tabelle736710251035735[[#This Row],[EBS self time]]/Tabelle736710251035735[[#This Row],[Total time]]</f>
        <v>0.25601546263152664</v>
      </c>
    </row>
    <row r="4741" spans="1:13">
      <c r="I4741" t="s">
        <v>169</v>
      </c>
      <c r="J4741" s="15">
        <v>0.35</v>
      </c>
      <c r="K4741" s="2">
        <v>4.5039520263671875</v>
      </c>
      <c r="L4741" s="2">
        <f>SUM(TimeEntries10241034634[Time delta in h])</f>
        <v>17.592500000086147</v>
      </c>
      <c r="M4741" s="16">
        <f>Tabelle736710251035735[[#This Row],[EBS self time]]/Tabelle736710251035735[[#This Row],[Total time]]</f>
        <v>0.25601546263152664</v>
      </c>
    </row>
    <row r="4742" spans="1:13">
      <c r="I4742" t="s">
        <v>172</v>
      </c>
      <c r="J4742" s="15">
        <v>0.5</v>
      </c>
      <c r="K4742" s="2">
        <v>4.5039520263671875</v>
      </c>
      <c r="L4742" s="2">
        <f>SUM(TimeEntries10241034634[Time delta in h])</f>
        <v>17.592500000086147</v>
      </c>
      <c r="M4742" s="16">
        <f>Tabelle736710251035735[[#This Row],[EBS self time]]/Tabelle736710251035735[[#This Row],[Total time]]</f>
        <v>0.25601546263152664</v>
      </c>
    </row>
    <row r="4743" spans="1:13">
      <c r="I4743" t="s">
        <v>187</v>
      </c>
      <c r="J4743" s="15">
        <v>0.65</v>
      </c>
      <c r="K4743" s="2">
        <v>17.457178396772044</v>
      </c>
      <c r="L4743" s="2">
        <f>SUM(TimeEntries10241034634[Time delta in h])</f>
        <v>17.592500000086147</v>
      </c>
      <c r="M4743" s="16">
        <f>Tabelle736710251035735[[#This Row],[EBS self time]]/Tabelle736710251035735[[#This Row],[Total time]]</f>
        <v>0.99230799469583963</v>
      </c>
    </row>
    <row r="4744" spans="1:13">
      <c r="I4744" t="s">
        <v>192</v>
      </c>
      <c r="J4744" s="15">
        <v>0.8</v>
      </c>
      <c r="K4744" s="2">
        <v>17.457178396772044</v>
      </c>
      <c r="L4744" s="2">
        <f>SUM(TimeEntries10241034634[Time delta in h])</f>
        <v>17.592500000086147</v>
      </c>
      <c r="M4744" s="16">
        <f>Tabelle736710251035735[[#This Row],[EBS self time]]/Tabelle736710251035735[[#This Row],[Total time]]</f>
        <v>0.99230799469583963</v>
      </c>
    </row>
    <row r="4745" spans="1:13">
      <c r="I4745" t="s">
        <v>193</v>
      </c>
      <c r="J4745" s="15">
        <v>0.95</v>
      </c>
      <c r="K4745" s="2">
        <v>17.457178396772044</v>
      </c>
      <c r="L4745" s="2">
        <f>SUM(TimeEntries10241034634[Time delta in h])</f>
        <v>17.592500000086147</v>
      </c>
      <c r="M4745" s="16">
        <f>Tabelle736710251035735[[#This Row],[EBS self time]]/Tabelle736710251035735[[#This Row],[Total time]]</f>
        <v>0.99230799469583963</v>
      </c>
    </row>
  </sheetData>
  <hyperlinks>
    <hyperlink ref="A2" location="Planning!A1" display="Go back to 'Planning' sheet" xr:uid="{CF5D1455-A338-4A5A-92AF-CDE88B6214A5}"/>
    <hyperlink ref="A22" location="Planning!A1" display="Go back to 'Planning' sheet" xr:uid="{FDE719F8-6321-475B-817C-829AB6EDCA58}"/>
    <hyperlink ref="F38" location="$F$17" display="$F$17" xr:uid="{3EA8D5CE-28C7-425A-BC01-E516A3B2B56A}"/>
    <hyperlink ref="G38" location="$G$17" display="$G$17" xr:uid="{F3D2D183-5C8F-4BA7-AF41-F209E88590D9}"/>
    <hyperlink ref="A42" location="Planning!A1" display="Go back to 'Planning' sheet" xr:uid="{77C5E26D-AC88-4D92-A58C-D2F3BA9BDED5}"/>
    <hyperlink ref="F58" location="$F$17" display="$F$17" xr:uid="{E077B2CE-1F5F-4FF6-B5D0-4570E9AE64E2}"/>
    <hyperlink ref="G58" location="$G$17" display="$G$17" xr:uid="{436852E0-470F-4B16-A59E-EFBB218FA71C}"/>
    <hyperlink ref="F59" location="$F$18" display="$F$18" xr:uid="{C8EAA3E6-C390-4FB5-A11C-F4548E714079}"/>
    <hyperlink ref="G59" location="$G$18" display="$G$18" xr:uid="{6F634A06-92C4-4595-8A2B-A5C537BA7EAA}"/>
    <hyperlink ref="A63" location="Planning!A1" display="Go back to 'Planning' sheet" xr:uid="{4B44B42B-10C0-4E37-AAE0-C1F3EB444B80}"/>
    <hyperlink ref="F79" location="$F$17" display="$F$17" xr:uid="{B3E41091-092D-44E5-8BBB-CE51986CB5BC}"/>
    <hyperlink ref="G79" location="$G$17" display="$G$17" xr:uid="{E6BE8B9F-8AFE-4574-AAB0-D52A6F0A0889}"/>
    <hyperlink ref="F80" location="$F$18" display="$F$18" xr:uid="{90B0CA71-0197-4B03-AC4A-4A072120ED22}"/>
    <hyperlink ref="G80" location="$G$18" display="$G$18" xr:uid="{54514534-63DD-48D8-BEA8-CC03A66908BE}"/>
    <hyperlink ref="F81" location="$F$19" display="$F$19" xr:uid="{7794F8F3-745B-4BED-B79C-4119A36DF653}"/>
    <hyperlink ref="G81" location="$G$19" display="$G$19" xr:uid="{E7F482BB-C9D7-4E72-88B8-C454A542032C}"/>
    <hyperlink ref="A88" location="Planning!A1" display="Go back to 'Planning' sheet" xr:uid="{BBD63373-A4D1-496B-90D8-8EEB05AE0BB5}"/>
    <hyperlink ref="F104" location="$F$17" display="$F$17" xr:uid="{2FCF487C-EF7C-4479-BF4F-0A7439179E15}"/>
    <hyperlink ref="G104" location="$G$17" display="$G$17" xr:uid="{52A19D57-3577-4523-BFAE-3A959F225E31}"/>
    <hyperlink ref="A113" location="Planning!A1" display="Go back to 'Planning' sheet" xr:uid="{3A27A5F7-368E-44C0-9926-C70D9C3EAB15}"/>
    <hyperlink ref="A138" location="Planning!A1" display="Go back to 'Planning' sheet" xr:uid="{FF1025D8-2445-4BD7-811C-7E228FE569F0}"/>
    <hyperlink ref="F154" location="$F$17" display="$F$17" xr:uid="{0840C523-FB1B-4AAC-9CA4-0D0245738DB4}"/>
    <hyperlink ref="G154" location="$G$17" display="$G$17" xr:uid="{66AC0DDA-1546-46D5-BFB2-19066B6A26DE}"/>
    <hyperlink ref="F155" location="$F$18" display="$F$18" xr:uid="{05CAD48B-2CA2-4DD4-BC06-C7318714249D}"/>
    <hyperlink ref="G155" location="$G$18" display="$G$18" xr:uid="{1088AD3C-3122-49A5-8F04-5E5CB2083888}"/>
    <hyperlink ref="A163" location="Planning!A1" display="Go back to 'Planning' sheet" xr:uid="{107B5F1C-02C6-40CB-A642-32E3A011C8D8}"/>
    <hyperlink ref="F179" location="$F$17" display="$F$17" xr:uid="{F4C3580E-83F1-4011-BEEB-2B1A713D2A8E}"/>
    <hyperlink ref="G179" location="$G$17" display="$G$17" xr:uid="{EB562A14-0768-4131-B775-072705CE8853}"/>
    <hyperlink ref="A188" location="Planning!A1" display="Go back to 'Planning' sheet" xr:uid="{A7FEE27E-29A7-4D3B-8945-5E237A4A23FC}"/>
    <hyperlink ref="F204" location="$F$17" display="$F$17" xr:uid="{5FCDCD0A-FFDC-4978-B7EF-064369B9ECE2}"/>
    <hyperlink ref="G204" location="$G$17" display="$G$17" xr:uid="{B252D07D-71E3-448A-BDAA-C139449F9C4E}"/>
    <hyperlink ref="A213" location="Planning!A1" display="Go back to 'Planning' sheet" xr:uid="{6C39D049-4A92-4B98-B027-DE5F8FBDE942}"/>
    <hyperlink ref="F229" location="$F$17" display="$F$17" xr:uid="{7B0BD838-3816-43A1-942C-948F4DDAEE20}"/>
    <hyperlink ref="G229" location="$G$17" display="$G$17" xr:uid="{2BF5248D-8A8E-4CC5-B9B8-3A0BE5EB5CE0}"/>
    <hyperlink ref="A238" location="Planning!A1" display="Go back to 'Planning' sheet" xr:uid="{27B4DEF3-4A6E-47D2-B7A7-A4F63984F6D3}"/>
    <hyperlink ref="F254" location="$F$17" display="$F$17" xr:uid="{406B313D-F295-40EB-849A-FB3396D31C06}"/>
    <hyperlink ref="G254" location="$G$17" display="$G$17" xr:uid="{47C336F3-CF18-47F1-BF50-B02477AF3172}"/>
    <hyperlink ref="A263" location="Planning!A1" display="Go back to 'Planning' sheet" xr:uid="{3DD9C12A-7381-4632-A3C9-D4AEF3DF8649}"/>
    <hyperlink ref="F279" location="$F$17" display="$F$17" xr:uid="{47F46CB2-A7B9-41F8-8B02-7614E2570401}"/>
    <hyperlink ref="G279" location="$G$17" display="$G$17" xr:uid="{A4261191-107B-4B3F-8D59-61E159BD6332}"/>
    <hyperlink ref="A288" location="Planning!A1" display="Go back to 'Planning' sheet" xr:uid="{1DC4FB5D-D129-4777-8381-2C6A198C3399}"/>
    <hyperlink ref="F304" location="$F$17" display="$F$17" xr:uid="{04A6712D-992B-42CE-9216-09C2AB56A51B}"/>
    <hyperlink ref="G304" location="$G$17" display="$G$17" xr:uid="{32F3124F-AD27-4584-AD16-EFB96CF3BC8D}"/>
    <hyperlink ref="A308" location="Planning!A1" display="Go back to 'Planning' sheet" xr:uid="{A2F0BA5D-71A0-415D-A120-A43D7C60BF9A}"/>
    <hyperlink ref="F324" location="$F$17" display="$F$17" xr:uid="{D2E1A1DA-16CF-4ABF-A929-34F864B83B1F}"/>
    <hyperlink ref="G324" location="$G$17" display="$G$17" xr:uid="{7AEDA252-CAB4-41A5-9DA2-4CBD1240B068}"/>
    <hyperlink ref="A328" location="Planning!A1" display="Go back to 'Planning' sheet" xr:uid="{152EE89F-157F-4C6E-864D-A4844DFF77FA}"/>
    <hyperlink ref="F344" location="$F$17" display="$F$17" xr:uid="{B73197D6-F7C6-4022-B8C6-865AAC55014A}"/>
    <hyperlink ref="G344" location="$G$17" display="$G$17" xr:uid="{2BE5762A-24AC-4EBE-8EAE-F3EBA509EFA9}"/>
    <hyperlink ref="A353" location="Planning!A1" display="Go back to 'Planning' sheet" xr:uid="{27C90342-780E-415F-BB01-366E8143AB94}"/>
    <hyperlink ref="F369" location="$F$17" display="$F$17" xr:uid="{0502967C-39ED-4614-BD22-AE1E0AB7EFD0}"/>
    <hyperlink ref="G369" location="$G$17" display="$G$17" xr:uid="{A9FB2344-BC12-4683-922D-DA51429986FA}"/>
    <hyperlink ref="A373" location="Planning!A1" display="Go back to 'Planning' sheet" xr:uid="{36494772-65C4-4776-ADFF-59CC1A21226D}"/>
    <hyperlink ref="F389" location="$F$17" display="$F$17" xr:uid="{B111FA3A-038A-4D23-B4EC-207EB0ACB58C}"/>
    <hyperlink ref="G389" location="$G$17" display="$G$17" xr:uid="{55F2DE3F-9A83-4277-A97B-872814BE65F7}"/>
    <hyperlink ref="A398" location="Planning!A1" display="Go back to 'Planning' sheet" xr:uid="{8C553727-F112-4D95-B7FC-2C5C87C89A60}"/>
    <hyperlink ref="F414" location="$F$17" display="$F$17" xr:uid="{2228B18E-2418-45AE-BDF5-FC960B55F3DC}"/>
    <hyperlink ref="G414" location="$G$17" display="$G$17" xr:uid="{01EBFBAA-73F1-4F75-81C2-313CFD890688}"/>
    <hyperlink ref="A423" location="Planning!A1" display="Go back to 'Planning' sheet" xr:uid="{22B957D1-2CAC-4011-83E7-5BCE033665BD}"/>
    <hyperlink ref="F439" location="$F$17" display="$F$17" xr:uid="{82330AE7-D112-40DE-8075-7F5402F096AC}"/>
    <hyperlink ref="G439" location="$G$17" display="$G$17" xr:uid="{A1BD6B7D-A3A4-4B5C-AE2F-BDCFB51F094D}"/>
    <hyperlink ref="A448" location="Planning!A1" display="Go back to 'Planning' sheet" xr:uid="{99531767-9761-48DC-9472-F46DDA0B324C}"/>
    <hyperlink ref="F464" location="$F$17" display="$F$17" xr:uid="{0B4C00A9-AA0C-4555-92BC-97678B1E32A0}"/>
    <hyperlink ref="G464" location="$G$17" display="$G$17" xr:uid="{BE2FC502-9B95-4616-BEDF-604D4A046465}"/>
    <hyperlink ref="A468" location="Planning!A1" display="Go back to 'Planning' sheet" xr:uid="{05A77DDA-F50E-4B22-83DE-15C6392D6D03}"/>
    <hyperlink ref="F484" location="$F$17" display="$F$17" xr:uid="{29DDF978-DB2A-4DD6-B390-863EB3CCD64E}"/>
    <hyperlink ref="G484" location="$G$17" display="$G$17" xr:uid="{13E9DA05-1D86-4AA4-8BC0-69A86A50576F}"/>
    <hyperlink ref="A493" location="Planning!A1" display="Go back to 'Planning' sheet" xr:uid="{1257A90E-32FF-4F4C-9A4B-876447639878}"/>
    <hyperlink ref="F509" location="$F$17" display="$F$17" xr:uid="{FA66FA68-F484-4B35-BD19-98C0C6BFA48F}"/>
    <hyperlink ref="G509" location="$G$17" display="$G$17" xr:uid="{57F4C767-82A9-486B-982E-2CA671B1A42E}"/>
    <hyperlink ref="A518" location="Planning!A1" display="Go back to 'Planning' sheet" xr:uid="{3A6111B8-9DE6-4DE0-ABD1-4B4AD0FB3A0A}"/>
    <hyperlink ref="F534" location="$F$17" display="$F$17" xr:uid="{C4D6F98E-E182-4943-AEEE-281612EFFAD6}"/>
    <hyperlink ref="G534" location="$G$17" display="$G$17" xr:uid="{5A97AFC4-E5F1-4198-9588-51FBA1791A26}"/>
    <hyperlink ref="A543" location="Planning!A1" display="Go back to 'Planning' sheet" xr:uid="{7B042EB2-4271-4908-95C8-34D1CF1F9241}"/>
    <hyperlink ref="F559" location="$F$17" display="$F$17" xr:uid="{2BB433C8-417E-4FAD-A864-FBC3B9204C7C}"/>
    <hyperlink ref="G559" location="$G$17" display="$G$17" xr:uid="{9F3D08CA-BB42-4387-B63F-885C17E1807C}"/>
    <hyperlink ref="A568" location="Planning!A1" display="Go back to 'Planning' sheet" xr:uid="{1CDA6269-076A-484D-B1ED-69AD63AD95FD}"/>
    <hyperlink ref="F584" location="$F$17" display="$F$17" xr:uid="{7E4BDBD0-967D-4EEE-B170-A4B590D66C9C}"/>
    <hyperlink ref="G584" location="$G$17" display="$G$17" xr:uid="{6898B5CF-5C61-409D-AED1-EBD341095A59}"/>
    <hyperlink ref="A588" location="Planning!A1" display="Go back to 'Planning' sheet" xr:uid="{9349F412-A12D-476F-B4F9-B48C75987CA9}"/>
    <hyperlink ref="F604" location="$F$17" display="$F$17" xr:uid="{D4805469-96BA-478D-8F67-935F80F25936}"/>
    <hyperlink ref="G604" location="$G$17" display="$G$17" xr:uid="{6D5902B5-A936-433D-B726-EAC480743396}"/>
    <hyperlink ref="A613" location="Planning!A1" display="Go back to 'Planning' sheet" xr:uid="{A5301514-9AF8-4452-8098-51DA42303737}"/>
    <hyperlink ref="F629" location="$F$17" display="$F$17" xr:uid="{D345DDAE-0BF7-4D32-AE02-CA842E69EFB6}"/>
    <hyperlink ref="G629" location="$G$17" display="$G$17" xr:uid="{50948427-6BCA-4737-9D17-056EA9E86BAF}"/>
    <hyperlink ref="A633" location="Planning!A1" display="Go back to 'Planning' sheet" xr:uid="{F6BCD366-711D-45E5-A2E2-32074DAB9EA8}"/>
    <hyperlink ref="F649" location="$F$17" display="$F$17" xr:uid="{22EA215D-F13A-404D-8F03-D44F6BA1ED9E}"/>
    <hyperlink ref="G649" location="$G$17" display="$G$17" xr:uid="{7FBEF847-1EF8-4916-A463-831334CEED7A}"/>
    <hyperlink ref="A653" location="Planning!A1" display="Go back to 'Planning' sheet" xr:uid="{E037C1C5-2FC2-4698-B9A6-BA25F1E7938F}"/>
    <hyperlink ref="F669" location="$F$17" display="$F$17" xr:uid="{785A085A-561B-4FE5-8FA9-B3100AC67CE5}"/>
    <hyperlink ref="G669" location="$G$17" display="$G$17" xr:uid="{D604BE6B-4B3F-481E-8E89-00FFBB5B5CCE}"/>
    <hyperlink ref="A673" location="Planning!A1" display="Go back to 'Planning' sheet" xr:uid="{E93993B4-921F-4E08-96B0-A5647D0A091E}"/>
    <hyperlink ref="F689" location="$F$17" display="$F$17" xr:uid="{DDF156BD-C2BB-4982-9326-12E5E9DD29D9}"/>
    <hyperlink ref="G689" location="$G$17" display="$G$17" xr:uid="{5ED695D2-D9C3-4124-ACA4-08E1E896085E}"/>
    <hyperlink ref="A698" location="Planning!A1" display="Go back to 'Planning' sheet" xr:uid="{D3EAA7E6-7756-4F36-B43B-FB2CD4401D8F}"/>
    <hyperlink ref="F714" location="$F$17" display="$F$17" xr:uid="{88D2B5C8-D9FE-48D4-830C-51BE3EA9DCEF}"/>
    <hyperlink ref="G714" location="$G$17" display="$G$17" xr:uid="{5520F486-AA27-4CD0-AA20-052BE229FC05}"/>
    <hyperlink ref="A723" location="Planning!A1" display="Go back to 'Planning' sheet" xr:uid="{A2EDE9D7-DD7F-4285-8A5D-FF27C5838B30}"/>
    <hyperlink ref="F739" location="$F$17" display="$F$17" xr:uid="{A218A97C-A00E-4972-A414-523C2697A92E}"/>
    <hyperlink ref="G739" location="$G$17" display="$G$17" xr:uid="{34EC5145-9F19-48AA-830A-080EA758E01B}"/>
    <hyperlink ref="A743" location="Planning!A1" display="Go back to 'Planning' sheet" xr:uid="{60EBB57F-24A0-4404-A3CC-9958B2F81F05}"/>
    <hyperlink ref="F759" location="$F$17" display="$F$17" xr:uid="{7A59F65F-378E-43B9-896C-8E58244372F6}"/>
    <hyperlink ref="G759" location="$G$17" display="$G$17" xr:uid="{4749CEA8-74DB-49DD-B9E7-85BED9440563}"/>
    <hyperlink ref="A768" location="Planning!A1" display="Go back to 'Planning' sheet" xr:uid="{911C3106-41EE-45D5-9EB8-DB605B1E9F1F}"/>
    <hyperlink ref="F784" location="$F$17" display="$F$17" xr:uid="{809FA89A-F7BE-4159-9DD6-40F37BED43A7}"/>
    <hyperlink ref="G784" location="$G$17" display="$G$17" xr:uid="{554471C5-E579-4BC2-A9E7-ACABCB53EF92}"/>
    <hyperlink ref="A793" location="Planning!A1" display="Go back to 'Planning' sheet" xr:uid="{227B9C1A-7118-44E6-B75B-DC8DCBB0D457}"/>
    <hyperlink ref="F809" location="$F$17" display="$F$17" xr:uid="{D58B6E5B-E6E8-4723-B40D-57AD9F27572D}"/>
    <hyperlink ref="G809" location="$G$17" display="$G$17" xr:uid="{51AC8E49-D145-485E-977D-40A4E59D10E9}"/>
    <hyperlink ref="A818" location="Planning!A1" display="Go back to 'Planning' sheet" xr:uid="{EB01A209-BDF0-42C4-918B-46B4840262B7}"/>
    <hyperlink ref="F834" location="$F$17" display="$F$17" xr:uid="{1E64490A-FBDD-4C6A-8FD5-F6F52D74619F}"/>
    <hyperlink ref="G834" location="$G$17" display="$G$17" xr:uid="{C2ABEB8B-1354-4B6C-B479-7B1CC52A8D28}"/>
    <hyperlink ref="A838" location="Planning!A1" display="Go back to 'Planning' sheet" xr:uid="{52E2616D-D7AD-41A3-9A87-7063DB7B75D4}"/>
    <hyperlink ref="F854" location="$F$17" display="$F$17" xr:uid="{C67142A6-DF31-485A-BA74-2CCBFD1C0C8A}"/>
    <hyperlink ref="G854" location="$G$17" display="$G$17" xr:uid="{E6DA6138-FE33-41B3-8552-F4CE87D16793}"/>
    <hyperlink ref="A863" location="Planning!A1" display="Go back to 'Planning' sheet" xr:uid="{44A8F20E-9C1C-4BEA-8028-46674C45E5AD}"/>
    <hyperlink ref="F879" location="$F$17" display="$F$17" xr:uid="{D0A4E4AF-F087-4C74-8431-71EDA578DD22}"/>
    <hyperlink ref="G879" location="$G$17" display="$G$17" xr:uid="{F5198783-D515-4778-B8F5-39C62983D1DA}"/>
    <hyperlink ref="A883" location="Planning!A1" display="Go back to 'Planning' sheet" xr:uid="{390D20DD-4FE7-4DCF-A76A-B4001C52881A}"/>
    <hyperlink ref="F899" location="$F$17" display="$F$17" xr:uid="{4CC18F6E-5F18-4EC8-A077-8814D9C7493F}"/>
    <hyperlink ref="G899" location="$G$17" display="$G$17" xr:uid="{86DD4885-2C57-4778-8024-75C93C74DAAD}"/>
    <hyperlink ref="A908" location="Planning!A1" display="Go back to 'Planning' sheet" xr:uid="{6C1F47B9-15CF-4658-AD53-4B146B3B441B}"/>
    <hyperlink ref="F924" location="$F$17" display="$F$17" xr:uid="{8114C3E8-D72A-4982-A742-2280291856FE}"/>
    <hyperlink ref="G924" location="$G$17" display="$G$17" xr:uid="{BC997338-8202-4754-AFDC-F24FDD791C45}"/>
    <hyperlink ref="A933" location="Planning!A1" display="Go back to 'Planning' sheet" xr:uid="{45DFDE90-D3F8-46D5-9EC3-62C29B76AB32}"/>
    <hyperlink ref="F949" location="$F$17" display="$F$17" xr:uid="{F8C70927-6757-4423-A333-EA2D0B5AD5FE}"/>
    <hyperlink ref="G949" location="$G$17" display="$G$17" xr:uid="{25A2C5A8-C490-4C10-9967-F75C655B0BD6}"/>
    <hyperlink ref="A958" location="Planning!A1" display="Go back to 'Planning' sheet" xr:uid="{6DDA57F2-5439-4485-8657-9663F7A5CEE5}"/>
    <hyperlink ref="F974" location="$F$17" display="$F$17" xr:uid="{8352FA15-B535-407C-B377-D46453B9784A}"/>
    <hyperlink ref="G974" location="$G$17" display="$G$17" xr:uid="{39855703-40CC-4142-B01B-37287457191C}"/>
    <hyperlink ref="A983" location="Planning!A1" display="Go back to 'Planning' sheet" xr:uid="{88E5EB20-D3C7-43C7-A607-2F81E8B759FD}"/>
    <hyperlink ref="F999" location="$F$17" display="$F$17" xr:uid="{6E14DD19-1D3C-4301-8081-B7EC0691C514}"/>
    <hyperlink ref="G999" location="$G$17" display="$G$17" xr:uid="{D9C9CEAB-2EE4-4FFE-9C1A-557F82B94C08}"/>
    <hyperlink ref="A1003" location="Planning!A1" display="Go back to 'Planning' sheet" xr:uid="{CD088E02-197D-4443-A5E6-F61CCEA259CE}"/>
    <hyperlink ref="F1019" location="$F$17" display="$F$17" xr:uid="{76E40A5A-656E-401C-9DBF-DC5CAAE5157F}"/>
    <hyperlink ref="G1019" location="$G$17" display="$G$17" xr:uid="{EEF436E6-761F-4968-8A5F-B6433AAB4756}"/>
    <hyperlink ref="A1028" location="Planning!A1" display="Go back to 'Planning' sheet" xr:uid="{4906A838-2955-4D08-AF2F-C88EE1B33482}"/>
    <hyperlink ref="F1044" location="$F$17" display="$F$17" xr:uid="{966A5B26-49E8-4373-BC30-3F78DC6AAA04}"/>
    <hyperlink ref="G1044" location="$G$17" display="$G$17" xr:uid="{BE9DF408-CC44-4EA4-A5BF-610C557BED53}"/>
    <hyperlink ref="A1053" location="Planning!A1" display="Go back to 'Planning' sheet" xr:uid="{18CDC6DC-0DE5-473A-80F4-57BA781BB0CF}"/>
    <hyperlink ref="F1069" location="$F$17" display="$F$17" xr:uid="{F78E4B4C-E274-4F94-B722-1CDAF708047D}"/>
    <hyperlink ref="G1069" location="$G$17" display="$G$17" xr:uid="{6C05D2B6-D40A-48A0-8AFA-12EB50468356}"/>
    <hyperlink ref="A1073" location="Planning!A1" display="Go back to 'Planning' sheet" xr:uid="{F8688F90-0694-4C21-9EE6-C250E199E519}"/>
    <hyperlink ref="F1089" location="$F$17" display="$F$17" xr:uid="{76D3EF6A-6264-4A65-9FFD-2DD3A891EB32}"/>
    <hyperlink ref="G1089" location="$G$17" display="$G$17" xr:uid="{4F13D608-B86E-4CC2-B47F-758B0D2165D3}"/>
    <hyperlink ref="A1098" location="Planning!A1" display="Go back to 'Planning' sheet" xr:uid="{17645220-5A71-4204-9B52-108EDE797BCC}"/>
    <hyperlink ref="F1114" location="$F$17" display="$F$17" xr:uid="{74648662-6147-4FD8-A40B-36CD6867A01D}"/>
    <hyperlink ref="G1114" location="$G$17" display="$G$17" xr:uid="{3B6F64B7-3913-42B5-BD81-4977E3666ED4}"/>
    <hyperlink ref="A1123" location="Planning!A1" display="Go back to 'Planning' sheet" xr:uid="{F35958CD-9177-430C-B633-79AB98D38E57}"/>
    <hyperlink ref="F1139" location="$F$17" display="$F$17" xr:uid="{3A5BDB23-BED9-4B60-8808-B75369A0261A}"/>
    <hyperlink ref="G1139" location="$G$17" display="$G$17" xr:uid="{C538B603-4D6C-4C20-9880-097C973AE34A}"/>
    <hyperlink ref="A1143" location="Planning!A1" display="Go back to 'Planning' sheet" xr:uid="{9B1779BC-923C-45D4-9A3C-F8F7B409A610}"/>
    <hyperlink ref="F1159" location="$F$17" display="$F$17" xr:uid="{6249026A-41C5-461B-A82D-29EFF8AEF75B}"/>
    <hyperlink ref="G1159" location="$G$17" display="$G$17" xr:uid="{014905B2-C212-40BA-A005-52A0817E58E2}"/>
    <hyperlink ref="A1168" location="Planning!A1" display="Go back to 'Planning' sheet" xr:uid="{3118CBD3-EC38-4F2E-AB2B-08ED7CC5A6C2}"/>
    <hyperlink ref="F1184" location="$F$17" display="$F$17" xr:uid="{31969FB2-FFF8-44CA-A82B-CB9B4FF0B73C}"/>
    <hyperlink ref="G1184" location="$G$17" display="$G$17" xr:uid="{072C8326-1AE8-4D55-B469-020A8DAE2247}"/>
    <hyperlink ref="A1188" location="Planning!A1" display="Go back to 'Planning' sheet" xr:uid="{2085FCFF-1083-43BF-95BB-B2673070B199}"/>
    <hyperlink ref="F1204" location="$F$17" display="$F$17" xr:uid="{F1EB2421-01B6-4A77-A079-962789145251}"/>
    <hyperlink ref="G1204" location="$G$17" display="$G$17" xr:uid="{D6C760FE-9BA0-4D69-8001-04895670F496}"/>
    <hyperlink ref="A1208" location="Planning!A1" display="Go back to 'Planning' sheet" xr:uid="{370787AE-1CA5-483A-AE7A-EC1D20959C4A}"/>
    <hyperlink ref="F1224" location="$F$17" display="$F$17" xr:uid="{02A6C61B-49E5-405F-8EC5-F2A29AF3DB2A}"/>
    <hyperlink ref="G1224" location="$G$17" display="$G$17" xr:uid="{CC08A4F9-EE73-4065-9B0B-BE2C618AF6EC}"/>
    <hyperlink ref="A1228" location="Planning!A1" display="Go back to 'Planning' sheet" xr:uid="{CE1A9390-C67F-444F-B116-83115D169C18}"/>
    <hyperlink ref="F1244" location="$F$17" display="$F$17" xr:uid="{467D33AB-8C6B-4C07-8E58-6E8575536509}"/>
    <hyperlink ref="G1244" location="$G$17" display="$G$17" xr:uid="{38D37C46-1F6C-4E12-B867-AEEF08EBD17F}"/>
    <hyperlink ref="A1253" location="Planning!A1" display="Go back to 'Planning' sheet" xr:uid="{C62674CF-1D17-48EC-B968-8D3F10C48672}"/>
    <hyperlink ref="F1269" location="$F$17" display="$F$17" xr:uid="{4C7C99F7-1D28-4928-B82A-AD7E744B0415}"/>
    <hyperlink ref="G1269" location="$G$17" display="$G$17" xr:uid="{7B08A36E-CAE6-4191-B584-87815CA747DD}"/>
    <hyperlink ref="A1278" location="Planning!A1" display="Go back to 'Planning' sheet" xr:uid="{94784EDF-5121-4C51-92D7-62B5CB98B585}"/>
    <hyperlink ref="F1294" location="$F$17" display="$F$17" xr:uid="{54E6B07C-BCE6-450A-A413-C555AFC3A5D3}"/>
    <hyperlink ref="G1294" location="$G$17" display="$G$17" xr:uid="{F102BB8F-9A46-4DA8-983D-6EDFB9D47F45}"/>
    <hyperlink ref="A1303" location="Planning!A1" display="Go back to 'Planning' sheet" xr:uid="{4E9D02E8-D9D4-4994-BF42-6432D78DE6C6}"/>
    <hyperlink ref="F1319" location="$F$17" display="$F$17" xr:uid="{237F289C-8A62-4188-B56A-07FC84EE6414}"/>
    <hyperlink ref="G1319" location="$G$17" display="$G$17" xr:uid="{0CC4D740-0B71-4366-B409-24A3DC6F4341}"/>
    <hyperlink ref="A1323" location="Planning!A1" display="Go back to 'Planning' sheet" xr:uid="{4AB3C898-8B6A-4632-99A9-A516B045ED7E}"/>
    <hyperlink ref="F1339" location="$F$17" display="$F$17" xr:uid="{8F61EDF9-D6A3-400C-8259-1A885B84A44E}"/>
    <hyperlink ref="G1339" location="$G$17" display="$G$17" xr:uid="{968B5C81-7A81-46A6-AF0C-621FE8B9244F}"/>
    <hyperlink ref="A1348" location="Planning!A1" display="Go back to 'Planning' sheet" xr:uid="{D15A1E49-8342-48E6-B258-1809D44FE3B3}"/>
    <hyperlink ref="F1364" location="$F$17" display="$F$17" xr:uid="{FFBB4413-F730-4284-9F45-F2D2D3BBBEC6}"/>
    <hyperlink ref="G1364" location="$G$17" display="$G$17" xr:uid="{14399E4F-89B6-47BB-A6F8-5451EB99226C}"/>
    <hyperlink ref="A1373" location="Planning!A1" display="Go back to 'Planning' sheet" xr:uid="{610B6BCF-56CE-4FAD-BD24-3329167DB3DF}"/>
    <hyperlink ref="F1389" location="$F$17" display="$F$17" xr:uid="{7EFBBE83-23D7-4FC7-8C65-2BDC2209E480}"/>
    <hyperlink ref="G1389" location="$G$17" display="$G$17" xr:uid="{96600DC3-47C7-452A-9D89-1EADB7ED3CEF}"/>
    <hyperlink ref="A1393" location="Planning!A1" display="Go back to 'Planning' sheet" xr:uid="{AA4A0F0E-E66B-4FF8-8CDE-D6A927690342}"/>
    <hyperlink ref="F1409" location="$F$17" display="$F$17" xr:uid="{178E2DA4-68D9-4D6C-88D6-7676E66A0CEA}"/>
    <hyperlink ref="G1409" location="$G$17" display="$G$17" xr:uid="{C4CBC650-16A7-4797-9814-BA0078DD3C42}"/>
    <hyperlink ref="A1413" location="Planning!A1" display="Go back to 'Planning' sheet" xr:uid="{84F0608D-CAC2-45D9-939A-3CF56B0D49DB}"/>
    <hyperlink ref="F1429" location="$F$17" display="$F$17" xr:uid="{49C2DFB5-E11C-4BC6-98E4-D3AE2A7AB4D5}"/>
    <hyperlink ref="G1429" location="$G$17" display="$G$17" xr:uid="{0643951A-CDDF-482F-9D0C-A8217BDA00C3}"/>
    <hyperlink ref="A1438" location="Planning!A1" display="Go back to 'Planning' sheet" xr:uid="{B23F9ACF-E3EC-483E-B8F4-A5FDD887C747}"/>
    <hyperlink ref="F1454" location="$F$17" display="$F$17" xr:uid="{052230E5-B295-4FF1-8A27-DA6AD1F8A0BC}"/>
    <hyperlink ref="G1454" location="$G$17" display="$G$17" xr:uid="{0F71AF0F-73E5-45D4-A611-9F887953AAA9}"/>
    <hyperlink ref="A1463" location="Planning!A1" display="Go back to 'Planning' sheet" xr:uid="{499ACE7D-070E-4A75-BE15-306CC6585A4E}"/>
    <hyperlink ref="F1479" location="$F$17" display="$F$17" xr:uid="{E2299D1A-DF5D-4283-980C-A42C87D2B7EA}"/>
    <hyperlink ref="G1479" location="$G$17" display="$G$17" xr:uid="{1F7CCAA7-EE12-4B0B-BC1B-0C170A9AFC33}"/>
    <hyperlink ref="A1488" location="Planning!A1" display="Go back to 'Planning' sheet" xr:uid="{7E49045D-3D45-4601-B235-4E0A2DFCD28A}"/>
    <hyperlink ref="F1504" location="$F$17" display="$F$17" xr:uid="{3B504085-F024-46C2-84A7-ED1BE76608D2}"/>
    <hyperlink ref="G1504" location="$G$17" display="$G$17" xr:uid="{76355862-FA04-45FC-8225-79DA98D7E80A}"/>
    <hyperlink ref="A1513" location="Planning!A1" display="Go back to 'Planning' sheet" xr:uid="{E7ED34A8-7ADA-42D8-86DC-FED8AA028738}"/>
    <hyperlink ref="F1529" location="$F$17" display="$F$17" xr:uid="{B9F37CE8-4259-4ED1-8ADE-410DA074BC39}"/>
    <hyperlink ref="G1529" location="$G$17" display="$G$17" xr:uid="{4BC9A887-88B9-46FE-A726-6784C5994CEF}"/>
    <hyperlink ref="A1538" location="Planning!A1" display="Go back to 'Planning' sheet" xr:uid="{78FC3030-20E9-4AF3-89C5-9044CF03537B}"/>
    <hyperlink ref="F1554" location="$F$17" display="$F$17" xr:uid="{AF64F52C-9AD3-4CFC-8C49-AAEDCBD733E5}"/>
    <hyperlink ref="G1554" location="$G$17" display="$G$17" xr:uid="{53650FDA-2BC6-4CEB-B934-0AA6450CFEF2}"/>
    <hyperlink ref="A1563" location="Planning!A1" display="Go back to 'Planning' sheet" xr:uid="{E85737C3-019C-4BFB-95DD-E9E4ACBF8503}"/>
    <hyperlink ref="F1579" location="$F$17" display="$F$17" xr:uid="{3B0A7E09-D116-41CB-8584-A3801E54EB8A}"/>
    <hyperlink ref="G1579" location="$G$17" display="$G$17" xr:uid="{373D1669-7692-4142-86A0-6DD096CC814E}"/>
    <hyperlink ref="A1588" location="Planning!A1" display="Go back to 'Planning' sheet" xr:uid="{236A15C9-AFA6-41AE-A679-043096824046}"/>
    <hyperlink ref="F1604" location="$F$17" display="$F$17" xr:uid="{99313579-DDFF-40CF-90F1-D8944298F3BE}"/>
    <hyperlink ref="G1604" location="$G$17" display="$G$17" xr:uid="{D0B4D232-3081-42BC-AF07-292A46B02995}"/>
    <hyperlink ref="A1613" location="Planning!A1" display="Go back to 'Planning' sheet" xr:uid="{E05DF7F8-4217-46C7-B341-013BAD54C8DD}"/>
    <hyperlink ref="F1629" location="$F$17" display="$F$17" xr:uid="{B8B47691-BD49-46BB-9E12-A63AFFE84EF9}"/>
    <hyperlink ref="G1629" location="$G$17" display="$G$17" xr:uid="{91E8001B-BBF3-4ED9-89BE-9A9D2C663069}"/>
    <hyperlink ref="A1638" location="Planning!A1" display="Go back to 'Planning' sheet" xr:uid="{5F7E7A1A-673A-496B-B01A-8356AB554ED5}"/>
    <hyperlink ref="F1654" location="$F$17" display="$F$17" xr:uid="{CCEB3F82-224E-4A6E-8D2E-CA45E4C70BBE}"/>
    <hyperlink ref="G1654" location="$G$17" display="$G$17" xr:uid="{64046387-60DF-4620-846A-AF71BAF2F60D}"/>
    <hyperlink ref="A1663" location="Planning!A1" display="Go back to 'Planning' sheet" xr:uid="{337024FA-9A38-4A31-9285-D11EF624C9D2}"/>
    <hyperlink ref="F1679" location="$F$17" display="$F$17" xr:uid="{866482AB-2173-4F2A-902F-B32888057259}"/>
    <hyperlink ref="G1679" location="$G$17" display="$G$17" xr:uid="{425B6F78-BCF6-4E17-9922-CCDD1D17FB9E}"/>
    <hyperlink ref="A1688" location="Planning!A1" display="Go back to 'Planning' sheet" xr:uid="{4D83530C-3759-4B97-82D0-1763427D7501}"/>
    <hyperlink ref="F1704" location="$F$17" display="$F$17" xr:uid="{88B2B65E-112A-4244-9395-7247C87DF368}"/>
    <hyperlink ref="G1704" location="$G$17" display="$G$17" xr:uid="{00574959-E3EE-42EE-A4A7-7BF04030E5E4}"/>
    <hyperlink ref="A1713" location="Planning!A1" display="Go back to 'Planning' sheet" xr:uid="{B271FA22-01FB-4CD4-9DD8-263CBDC05C6C}"/>
    <hyperlink ref="F1729" location="$F$17" display="$F$17" xr:uid="{A980E803-7EDB-4332-937D-605F41AD9942}"/>
    <hyperlink ref="G1729" location="$G$17" display="$G$17" xr:uid="{07FA0502-087A-494D-B0DE-23015576FAF1}"/>
    <hyperlink ref="A1738" location="Planning!A1" display="Go back to 'Planning' sheet" xr:uid="{A668F448-CA78-4139-9EA2-06511B16F8C9}"/>
    <hyperlink ref="F1754" location="$F$17" display="$F$17" xr:uid="{798108F4-3A78-4F6E-8FFD-FF5BC0B00566}"/>
    <hyperlink ref="G1754" location="$G$17" display="$G$17" xr:uid="{6CC5E943-EC4A-44B5-8BF1-ED606F313C1D}"/>
    <hyperlink ref="A1763" location="Planning!A1" display="Go back to 'Planning' sheet" xr:uid="{70E56D32-B9E5-4D1B-8017-6826B16B351E}"/>
    <hyperlink ref="F1779" location="$F$17" display="$F$17" xr:uid="{D69015FC-ED99-4EBD-8C46-3CFD9D48FE0B}"/>
    <hyperlink ref="G1779" location="$G$17" display="$G$17" xr:uid="{B0C95E52-55F6-4114-87B2-E11BC7037510}"/>
    <hyperlink ref="A1783" location="Planning!A1" display="Go back to 'Planning' sheet" xr:uid="{C4421441-0145-48D3-A2FB-7A3FDDF73EDE}"/>
    <hyperlink ref="F1799" location="$F$17" display="$F$17" xr:uid="{E2AEB184-FBA5-4CBB-9EE6-65EF6952A65E}"/>
    <hyperlink ref="G1799" location="$G$17" display="$G$17" xr:uid="{FAC1E484-495E-4662-A035-55A123D96468}"/>
    <hyperlink ref="A1808" location="Planning!A1" display="Go back to 'Planning' sheet" xr:uid="{8C0793AF-69D1-41CE-83C1-7DD46E769A74}"/>
    <hyperlink ref="F1824" location="$F$17" display="$F$17" xr:uid="{1FABD41D-96CB-4426-AF0E-CFE523CBA100}"/>
    <hyperlink ref="G1824" location="$G$17" display="$G$17" xr:uid="{27C032CA-D9AE-4E52-97B1-07EA13A4C6B3}"/>
    <hyperlink ref="A1828" location="Planning!A1" display="Go back to 'Planning' sheet" xr:uid="{7CDFDCFE-563A-4DB9-B4A1-F45081402184}"/>
    <hyperlink ref="F1844" location="$F$17" display="$F$17" xr:uid="{EAFC51D5-98F3-4341-BCFB-A7643F3476B0}"/>
    <hyperlink ref="G1844" location="$G$17" display="$G$17" xr:uid="{FBFB29E4-1D26-4018-A6DC-852DBF4F8852}"/>
    <hyperlink ref="A1853" location="Planning!A1" display="Go back to 'Planning' sheet" xr:uid="{E8BD072D-9D8B-4746-B3E7-DFA34F473012}"/>
    <hyperlink ref="F1869" location="$F$17" display="$F$17" xr:uid="{5FE44F47-C6E7-4860-8F93-B98BC7B74685}"/>
    <hyperlink ref="G1869" location="$G$17" display="$G$17" xr:uid="{EE4A6499-3ECE-4606-A1B9-0DE6CCAF0090}"/>
    <hyperlink ref="A1873" location="Planning!A1" display="Go back to 'Planning' sheet" xr:uid="{F057C7B6-AEA5-4C0B-A346-E0D51A78B8A0}"/>
    <hyperlink ref="F1889" location="$F$17" display="$F$17" xr:uid="{43B5C05A-8F6F-4EF2-A693-F3AC16713D7C}"/>
    <hyperlink ref="G1889" location="$G$17" display="$G$17" xr:uid="{21CE529E-039E-481D-9B97-CEE823E7F667}"/>
    <hyperlink ref="A1898" location="Planning!A1" display="Go back to 'Planning' sheet" xr:uid="{63EB477F-A27F-41D9-B433-8C8D282ACDFB}"/>
    <hyperlink ref="F1914" location="$F$17" display="$F$17" xr:uid="{C77859C5-E17C-404F-B7EF-32853A418471}"/>
    <hyperlink ref="G1914" location="$G$17" display="$G$17" xr:uid="{21DF2219-9EC1-4365-9997-C24116AF873F}"/>
    <hyperlink ref="A1923" location="Planning!A1" display="Go back to 'Planning' sheet" xr:uid="{917DB8FB-3841-4885-B48D-30877040BE25}"/>
    <hyperlink ref="F1939" location="$F$17" display="$F$17" xr:uid="{A3B704E1-9134-4178-B89B-EC0389D71430}"/>
    <hyperlink ref="G1939" location="$G$17" display="$G$17" xr:uid="{06257283-17C3-4296-AF0D-895E318678AF}"/>
    <hyperlink ref="A1943" location="Planning!A1" display="Go back to 'Planning' sheet" xr:uid="{5FD35454-E96E-4613-BDA9-C92A4DFC1229}"/>
    <hyperlink ref="F1959" location="$F$17" display="$F$17" xr:uid="{BF1C3ACE-68A9-4302-B293-7B8B3AE2E9A3}"/>
    <hyperlink ref="G1959" location="$G$17" display="$G$17" xr:uid="{3F65D8EE-6CAD-4B6C-850A-63502AF484A9}"/>
    <hyperlink ref="A1968" location="Planning!A1" display="Go back to 'Planning' sheet" xr:uid="{9175C391-7E02-461F-BFAB-29F142969F74}"/>
    <hyperlink ref="F1984" location="$F$17" display="$F$17" xr:uid="{BE1E5741-9738-481B-A6DB-2C4BFCE0CAC0}"/>
    <hyperlink ref="G1984" location="$G$17" display="$G$17" xr:uid="{D0B86CCB-48A0-41B7-9922-B938BCD637B6}"/>
    <hyperlink ref="A1993" location="Planning!A1" display="Go back to 'Planning' sheet" xr:uid="{EFEB0435-2153-44E0-AEEF-F485C5FFA229}"/>
    <hyperlink ref="F2009" location="$F$17" display="$F$17" xr:uid="{2A93EAF3-8779-41C0-9434-1CEBF359C19E}"/>
    <hyperlink ref="G2009" location="$G$17" display="$G$17" xr:uid="{9AB5C20E-3B0A-4F86-8A71-41C198540696}"/>
    <hyperlink ref="A2018" location="Planning!A1" display="Go back to 'Planning' sheet" xr:uid="{EA24E028-5F38-4D40-88A3-3AB3A096889D}"/>
    <hyperlink ref="F2034" location="$F$17" display="$F$17" xr:uid="{0297E816-78FE-430D-831C-F8E184F58DA6}"/>
    <hyperlink ref="G2034" location="$G$17" display="$G$17" xr:uid="{133A40FD-655E-49DF-BDAE-44FA14EAC3FD}"/>
    <hyperlink ref="A2043" location="Planning!A1" display="Go back to 'Planning' sheet" xr:uid="{3D459267-D863-46A3-8020-BA34AAA3FDF8}"/>
    <hyperlink ref="F2059" location="$F$17" display="$F$17" xr:uid="{26A1424B-5575-463B-A80E-8568E18530C5}"/>
    <hyperlink ref="G2059" location="$G$17" display="$G$17" xr:uid="{1DE52799-0F6F-4503-95FB-15437C5ABC8F}"/>
    <hyperlink ref="A2068" location="Planning!A1" display="Go back to 'Planning' sheet" xr:uid="{370FFC79-D751-496D-A4A1-194578BB7C08}"/>
    <hyperlink ref="F2084" location="$F$17" display="$F$17" xr:uid="{6F7E6638-18F5-4BEC-B447-C4EF17D50921}"/>
    <hyperlink ref="G2084" location="$G$17" display="$G$17" xr:uid="{ECE49FE2-6084-469C-B6FA-66C4820D2A87}"/>
    <hyperlink ref="A2093" location="Planning!A1" display="Go back to 'Planning' sheet" xr:uid="{9A8DCDEA-1082-42F9-BFE6-5A13350BE278}"/>
    <hyperlink ref="F2109" location="$F$17" display="$F$17" xr:uid="{191940B1-0647-4ACB-891C-5F753E41174D}"/>
    <hyperlink ref="G2109" location="$G$17" display="$G$17" xr:uid="{9DD812F4-BD5A-49EC-8D26-EF9B018A7322}"/>
    <hyperlink ref="A2113" location="Planning!A1" display="Go back to 'Planning' sheet" xr:uid="{E5FDA935-82A5-48BD-839C-7E18FAC7204D}"/>
    <hyperlink ref="F2129" location="$F$17" display="$F$17" xr:uid="{BFBD3D2D-81B6-42A9-A828-E0AB418E3628}"/>
    <hyperlink ref="G2129" location="$G$17" display="$G$17" xr:uid="{15D4F5B3-53D2-44F8-A254-FBBE171FCBCB}"/>
    <hyperlink ref="A2138" location="Planning!A1" display="Go back to 'Planning' sheet" xr:uid="{94D5B089-FA61-4251-9F55-AB4EB4DB290B}"/>
    <hyperlink ref="F2154" location="$F$17" display="$F$17" xr:uid="{ACF12500-0A85-4DB9-ABE5-02E73F9B0C54}"/>
    <hyperlink ref="G2154" location="$G$17" display="$G$17" xr:uid="{5FC100F4-E911-4C75-AC02-44DA951F6E34}"/>
    <hyperlink ref="A2163" location="Planning!A1" display="Go back to 'Planning' sheet" xr:uid="{B4F84192-DDB6-45BD-AD18-FC6895B239F2}"/>
    <hyperlink ref="F2179" location="$F$17" display="$F$17" xr:uid="{F6F2903C-84B6-46CC-B587-EE15E02B7C3E}"/>
    <hyperlink ref="G2179" location="$G$17" display="$G$17" xr:uid="{3DC77553-08FD-4874-A488-96D5A27D86F7}"/>
    <hyperlink ref="A2183" location="Planning!A1" display="Go back to 'Planning' sheet" xr:uid="{1E65EB8A-59A9-4443-995D-FAF04ABBE6B3}"/>
    <hyperlink ref="F2199" location="$F$17" display="$F$17" xr:uid="{0641E44B-33DF-4A65-896F-EF3FF02A060D}"/>
    <hyperlink ref="G2199" location="$G$17" display="$G$17" xr:uid="{49650EE2-AC2D-43FA-8CDD-EA1F15DCE8BF}"/>
    <hyperlink ref="A2203" location="Planning!A1" display="Go back to 'Planning' sheet" xr:uid="{601CB36E-637C-4A0A-B5C1-AD6CCB064E82}"/>
    <hyperlink ref="F2219" location="$F$17" display="$F$17" xr:uid="{61EFB5B2-5D2E-41B4-A99B-37D339A09901}"/>
    <hyperlink ref="G2219" location="$G$17" display="$G$17" xr:uid="{3DD4CBC5-6211-4B23-BAFD-782BD0EA1F57}"/>
    <hyperlink ref="A2223" location="Planning!A1" display="Go back to 'Planning' sheet" xr:uid="{1BCE9B57-E369-484E-947C-60026BAF16FD}"/>
    <hyperlink ref="F2239" location="$F$17" display="$F$17" xr:uid="{4CE9132C-9F33-49AA-B231-BF4115E14E31}"/>
    <hyperlink ref="G2239" location="$G$17" display="$G$17" xr:uid="{F17A7F86-5FA2-4C7F-B854-7D3AD766AE63}"/>
    <hyperlink ref="A2248" location="Planning!A1" display="Go back to 'Planning' sheet" xr:uid="{92D2A600-4638-446B-AD27-508305785694}"/>
    <hyperlink ref="F2264" location="$F$17" display="$F$17" xr:uid="{CD2C9BC3-71F1-4692-A4FF-DB64BBEBA173}"/>
    <hyperlink ref="G2264" location="$G$17" display="$G$17" xr:uid="{7D753E51-EC0B-459D-B6E6-898F9D672254}"/>
    <hyperlink ref="A2273" location="Planning!A1" display="Go back to 'Planning' sheet" xr:uid="{7A728395-972D-4C86-A865-F08F942464C0}"/>
    <hyperlink ref="F2289" location="$F$17" display="$F$17" xr:uid="{AE287734-F880-4F6C-B93F-8280C8927403}"/>
    <hyperlink ref="G2289" location="$G$17" display="$G$17" xr:uid="{6AF2EB9E-81C6-49FF-8F88-135BB7C9E9E8}"/>
    <hyperlink ref="A2293" location="Planning!A1" display="Go back to 'Planning' sheet" xr:uid="{7C8A08D6-D60D-40A6-919D-00BD4532D413}"/>
    <hyperlink ref="F2309" location="$F$17" display="$F$17" xr:uid="{8AC02E9D-567A-4675-A800-40388B4D87AD}"/>
    <hyperlink ref="G2309" location="$G$17" display="$G$17" xr:uid="{784655F2-F83E-409B-A856-B49F92913934}"/>
    <hyperlink ref="A2318" location="Planning!A1" display="Go back to 'Planning' sheet" xr:uid="{1B764906-E8FE-4635-ABE1-8FDC5FAE89EB}"/>
    <hyperlink ref="F2334" location="$F$17" display="$F$17" xr:uid="{3AF96B12-B9D1-4D59-8C82-884E38B8D812}"/>
    <hyperlink ref="G2334" location="$G$17" display="$G$17" xr:uid="{B3476398-C9B6-4238-8F4C-4D69313F9E53}"/>
    <hyperlink ref="A2338" location="Planning!A1" display="Go back to 'Planning' sheet" xr:uid="{28A5CEA2-2D0D-4C45-8053-13A0AA994CBC}"/>
    <hyperlink ref="F2354" location="$F$17" display="$F$17" xr:uid="{EC61447A-6E96-4D2D-B776-C06C8B90C9CA}"/>
    <hyperlink ref="G2354" location="$G$17" display="$G$17" xr:uid="{31A801DA-5398-4740-B6A8-F41112781AEB}"/>
    <hyperlink ref="A2363" location="Planning!A1" display="Go back to 'Planning' sheet" xr:uid="{5299BDFD-F2F9-4BA0-B8CD-A413D3A59C4C}"/>
    <hyperlink ref="F2379" location="$F$17" display="$F$17" xr:uid="{075CC79C-4D5B-4EB2-BDC1-39A7BE2328BE}"/>
    <hyperlink ref="G2379" location="$G$17" display="$G$17" xr:uid="{731C13E1-9922-4BBC-B525-098DEB48D277}"/>
    <hyperlink ref="A2388" location="Planning!A1" display="Go back to 'Planning' sheet" xr:uid="{5EB210E2-6EED-4BCC-8D9F-EC9E67506B1B}"/>
    <hyperlink ref="F2404" location="$F$17" display="$F$17" xr:uid="{FF98629F-9CB5-416E-9CE1-54AD4E604C67}"/>
    <hyperlink ref="G2404" location="$G$17" display="$G$17" xr:uid="{10DC7EC2-9A50-4AC1-B709-D8226EEF9305}"/>
    <hyperlink ref="A2408" location="Planning!A1" display="Go back to 'Planning' sheet" xr:uid="{105377CC-ACDF-4BB7-B664-DF5CEC148B5D}"/>
    <hyperlink ref="F2424" location="$F$17" display="$F$17" xr:uid="{4B0A03CD-713F-4BF0-A77A-BBF1BF50F00C}"/>
    <hyperlink ref="G2424" location="$G$17" display="$G$17" xr:uid="{62B2AFB4-DB88-4544-B571-08AD49A09AAE}"/>
    <hyperlink ref="A2433" location="Planning!A1" display="Go back to 'Planning' sheet" xr:uid="{AFA19CDA-3F71-4928-BF47-8B0EC630CD06}"/>
    <hyperlink ref="F2449" location="$F$17" display="$F$17" xr:uid="{3F7031F0-26DA-4474-8B3B-CF0AB2441964}"/>
    <hyperlink ref="G2449" location="$G$17" display="$G$17" xr:uid="{52CB3E65-8A93-4860-9E3E-FCDE61D02177}"/>
    <hyperlink ref="A2458" location="Planning!A1" display="Go back to 'Planning' sheet" xr:uid="{E0CD9282-0031-4045-B883-4C582759D05F}"/>
    <hyperlink ref="F2474" location="$F$17" display="$F$17" xr:uid="{58C99E9E-CE19-4E4A-A9D2-334B17FF4922}"/>
    <hyperlink ref="G2474" location="$G$17" display="$G$17" xr:uid="{50A1884E-DD29-4C3B-96D7-2CCB09551D56}"/>
    <hyperlink ref="A2483" location="Planning!A1" display="Go back to 'Planning' sheet" xr:uid="{003508DE-B7FE-4B4C-9A09-F5783B4325B0}"/>
    <hyperlink ref="F2499" location="$F$17" display="$F$17" xr:uid="{17ED19D8-913A-4E39-884E-A61A7232A623}"/>
    <hyperlink ref="G2499" location="$G$17" display="$G$17" xr:uid="{240F0D49-C5C2-4881-A830-D8519FDCDD88}"/>
    <hyperlink ref="A2503" location="Planning!A1" display="Go back to 'Planning' sheet" xr:uid="{DACB1C1B-1F44-4390-8C11-51354A0B7C2D}"/>
    <hyperlink ref="F2519" location="$F$17" display="$F$17" xr:uid="{845D0E9F-600A-413D-B651-5CC880B8AA04}"/>
    <hyperlink ref="G2519" location="$G$17" display="$G$17" xr:uid="{97BC414B-1806-4B6F-B5C8-B5FCBDA78DDD}"/>
    <hyperlink ref="A2528" location="Planning!A1" display="Go back to 'Planning' sheet" xr:uid="{EA13EB89-AD38-475C-89AC-45F3648A4777}"/>
    <hyperlink ref="F2544" location="$F$17" display="$F$17" xr:uid="{F2DF9485-20D8-4F0B-BD9B-CA7CBC7F37C9}"/>
    <hyperlink ref="G2544" location="$G$17" display="$G$17" xr:uid="{67D78C20-51D4-4BE0-94CB-E7839CD30E93}"/>
    <hyperlink ref="A2553" location="Planning!A1" display="Go back to 'Planning' sheet" xr:uid="{2686F4C3-E7C2-482B-8E46-F66EDE1C935C}"/>
    <hyperlink ref="F2569" location="$F$17" display="$F$17" xr:uid="{71130C1D-9A00-42CB-8D49-A1CDAA4375D1}"/>
    <hyperlink ref="G2569" location="$G$17" display="$G$17" xr:uid="{9E08FE43-93F5-4A79-8CA1-BE18C5E8AC61}"/>
    <hyperlink ref="A2578" location="Planning!A1" display="Go back to 'Planning' sheet" xr:uid="{BF84D884-EF0D-4ACF-961D-677EA0C56BEE}"/>
    <hyperlink ref="F2594" location="$F$17" display="$F$17" xr:uid="{221F6EB7-F24F-4EA0-95D0-066CB5F86560}"/>
    <hyperlink ref="G2594" location="$G$17" display="$G$17" xr:uid="{2628C621-4045-4FBB-9B69-2070DD722777}"/>
    <hyperlink ref="A2603" location="Planning!A1" display="Go back to 'Planning' sheet" xr:uid="{2046E6D5-DA67-4B7C-A73E-E90CF000C385}"/>
    <hyperlink ref="F2619" location="$F$17" display="$F$17" xr:uid="{9BE473BB-B2B0-4A82-BE01-E2807D8BEFC8}"/>
    <hyperlink ref="G2619" location="$G$17" display="$G$17" xr:uid="{F8270497-9647-449D-95AA-8B83579A20BF}"/>
    <hyperlink ref="A2623" location="Planning!A1" display="Go back to 'Planning' sheet" xr:uid="{5CF08E22-8E49-45B6-95F9-F8039DE02BF0}"/>
    <hyperlink ref="F2639" location="$F$17" display="$F$17" xr:uid="{2B4E6026-28ED-446E-BF7B-9B1393054299}"/>
    <hyperlink ref="G2639" location="$G$17" display="$G$17" xr:uid="{95B69227-CEDD-4F6F-8E1D-A61675996791}"/>
    <hyperlink ref="A2643" location="Planning!A1" display="Go back to 'Planning' sheet" xr:uid="{CA9CED79-A950-49E1-A58E-5225ED1CD23B}"/>
    <hyperlink ref="F2659" location="$F$17" display="$F$17" xr:uid="{8B03C8F8-B578-4799-9165-D8F4C844BE8A}"/>
    <hyperlink ref="G2659" location="$G$17" display="$G$17" xr:uid="{CA89D48B-773B-491B-9B66-F507393AAC38}"/>
    <hyperlink ref="A2668" location="Planning!A1" display="Go back to 'Planning' sheet" xr:uid="{8DFF56A1-0043-429B-AF84-F81BE6BF7F83}"/>
    <hyperlink ref="F2684" location="$F$17" display="$F$17" xr:uid="{2592C332-636C-453B-B5C6-3CD1956ACDA8}"/>
    <hyperlink ref="G2684" location="$G$17" display="$G$17" xr:uid="{22356A6C-BDFA-4711-A847-6F9E3E415B76}"/>
    <hyperlink ref="A2693" location="Planning!A1" display="Go back to 'Planning' sheet" xr:uid="{E0CD0E10-3831-4411-99E1-0E23C025AB51}"/>
    <hyperlink ref="F2709" location="$F$17" display="$F$17" xr:uid="{40C201C2-87CE-4F19-9CB3-782157021C9D}"/>
    <hyperlink ref="G2709" location="$G$17" display="$G$17" xr:uid="{26C20553-7FDD-4E02-BD98-30E5259311E3}"/>
    <hyperlink ref="A2713" location="Planning!A1" display="Go back to 'Planning' sheet" xr:uid="{C2F2781D-CDDE-4EA5-A059-81E4A3D5E5E1}"/>
    <hyperlink ref="F2729" location="$F$17" display="$F$17" xr:uid="{F33D85CA-C6AD-4A01-B2FC-44D69980B592}"/>
    <hyperlink ref="G2729" location="$G$17" display="$G$17" xr:uid="{E2052F32-1E9C-430C-BC62-AC4C2C874803}"/>
    <hyperlink ref="A2733" location="Planning!A1" display="Go back to 'Planning' sheet" xr:uid="{27D5B891-E3E5-4E4E-A519-F5D50535C1E3}"/>
    <hyperlink ref="F2749" location="$F$17" display="$F$17" xr:uid="{AC063868-0678-4E01-AE33-14B3E614999A}"/>
    <hyperlink ref="G2749" location="$G$17" display="$G$17" xr:uid="{3E9A319B-D3BA-4C3F-9BCC-22B06B27D4C7}"/>
    <hyperlink ref="A2753" location="Planning!A1" display="Go back to 'Planning' sheet" xr:uid="{22906D2D-7F50-494D-A0AA-E2116522BE9E}"/>
    <hyperlink ref="F2769" location="$F$17" display="$F$17" xr:uid="{1CFC2E1A-CCE7-4DEA-99B0-CBBB4CBB156A}"/>
    <hyperlink ref="G2769" location="$G$17" display="$G$17" xr:uid="{903943DF-AEAB-4B8A-B48B-BEA777FF3DF4}"/>
    <hyperlink ref="A2773" location="Planning!A1" display="Go back to 'Planning' sheet" xr:uid="{AD1BFAD5-517D-4204-890A-2790EB8BA1F8}"/>
    <hyperlink ref="F2789" location="$F$17" display="$F$17" xr:uid="{B1C6846B-7027-4383-B202-8C92F3633302}"/>
    <hyperlink ref="G2789" location="$G$17" display="$G$17" xr:uid="{1A351097-0A8F-4B11-B1C9-ACDBD8DDEFA9}"/>
    <hyperlink ref="A2798" location="Planning!A1" display="Go back to 'Planning' sheet" xr:uid="{81E26F50-5981-45A6-82ED-346230ED94C3}"/>
    <hyperlink ref="F2814" location="$F$17" display="$F$17" xr:uid="{83014437-861C-4138-A316-4361FA0C6CE6}"/>
    <hyperlink ref="G2814" location="$G$17" display="$G$17" xr:uid="{80E6BCA6-6D1F-4EA0-82A7-694D36BE4F54}"/>
    <hyperlink ref="A2818" location="Planning!A1" display="Go back to 'Planning' sheet" xr:uid="{EFA4AA0B-C50F-423E-B918-300A8C89E109}"/>
    <hyperlink ref="F2834" location="$F$17" display="$F$17" xr:uid="{D23AF57E-16D8-4635-8683-B2A2DE98E731}"/>
    <hyperlink ref="G2834" location="$G$17" display="$G$17" xr:uid="{C779C1F3-BF2C-4686-B242-FDAB51DFD554}"/>
    <hyperlink ref="A2838" location="Planning!A1" display="Go back to 'Planning' sheet" xr:uid="{EAD42F45-EC66-420B-BF30-A8ECB9B808D5}"/>
    <hyperlink ref="F2854" location="$F$17" display="$F$17" xr:uid="{D1EED8BC-3484-48C6-9B59-8D05AA7448D9}"/>
    <hyperlink ref="G2854" location="$G$17" display="$G$17" xr:uid="{CEC90D6B-4962-4474-A7F6-8C27C77BDC29}"/>
    <hyperlink ref="A2858" location="Planning!A1" display="Go back to 'Planning' sheet" xr:uid="{1F5F2CD0-2A5C-40E9-84FA-BBD37AE7888D}"/>
    <hyperlink ref="F2874" location="$F$17" display="$F$17" xr:uid="{5D992CA4-49E2-48B8-B156-AD5773B7CEDA}"/>
    <hyperlink ref="G2874" location="$G$17" display="$G$17" xr:uid="{212CCA90-6C84-4F23-9B7A-378A91D85CC8}"/>
    <hyperlink ref="A2878" location="Planning!A1" display="Go back to 'Planning' sheet" xr:uid="{EF9D3337-AFDE-4B89-92AD-2F48B3F99D22}"/>
    <hyperlink ref="F2894" location="$F$17" display="$F$17" xr:uid="{B4F99344-0D9F-43E9-9D9F-10179AF801B3}"/>
    <hyperlink ref="G2894" location="$G$17" display="$G$17" xr:uid="{0BC4F080-2C69-441B-B775-43967B2EE28F}"/>
    <hyperlink ref="A2903" location="Planning!A1" display="Go back to 'Planning' sheet" xr:uid="{3819B2B5-F083-4E12-9FD5-8A6B39948725}"/>
    <hyperlink ref="F2919" location="$F$17" display="$F$17" xr:uid="{0D6D2F35-37A6-4C71-BFC7-CA4AF63A596F}"/>
    <hyperlink ref="G2919" location="$G$17" display="$G$17" xr:uid="{104AA191-5036-4790-9629-CA937B2EB04A}"/>
    <hyperlink ref="A2928" location="Planning!A1" display="Go back to 'Planning' sheet" xr:uid="{06812E75-0C60-4BBF-BEBE-ADEE8EA8C16D}"/>
    <hyperlink ref="F2944" location="$F$17" display="$F$17" xr:uid="{BD270B82-810E-43EE-BAB6-FBE1762221F7}"/>
    <hyperlink ref="G2944" location="$G$17" display="$G$17" xr:uid="{882AA47A-8C7E-43F2-BAA0-61809BE1F90F}"/>
    <hyperlink ref="A2953" location="Planning!A1" display="Go back to 'Planning' sheet" xr:uid="{63943AEE-BCCB-4210-8EE7-D3FB1B669437}"/>
    <hyperlink ref="F2969" location="$F$17" display="$F$17" xr:uid="{269A7B86-890E-438A-829F-D595CFF4DA26}"/>
    <hyperlink ref="G2969" location="$G$17" display="$G$17" xr:uid="{33C14F2C-B745-45F4-B7D1-E7246532924D}"/>
    <hyperlink ref="A2973" location="Planning!A1" display="Go back to 'Planning' sheet" xr:uid="{3DC58223-E99E-4AE5-9E18-ED2BC39DE145}"/>
    <hyperlink ref="F2989" location="$F$17" display="$F$17" xr:uid="{08DB1BF7-69D4-4526-9561-0AA6067DD33A}"/>
    <hyperlink ref="G2989" location="$G$17" display="$G$17" xr:uid="{7BBF39A5-656C-4CA5-B4F1-55C33BCF6758}"/>
    <hyperlink ref="A2998" location="Planning!A1" display="Go back to 'Planning' sheet" xr:uid="{D31CB272-E5EA-450C-85E4-590332A98589}"/>
    <hyperlink ref="F3014" location="$F$17" display="$F$17" xr:uid="{F7EDA814-DE13-4E15-9343-83C1AD21589B}"/>
    <hyperlink ref="G3014" location="$G$17" display="$G$17" xr:uid="{42E3DF4B-BC38-41E8-9181-23F427B2C7AA}"/>
    <hyperlink ref="A3023" location="Planning!A1" display="Go back to 'Planning' sheet" xr:uid="{2916E147-DE0D-4563-929E-5521DE22973F}"/>
    <hyperlink ref="F3039" location="$F$17" display="$F$17" xr:uid="{D5103C9A-812F-485A-838E-9DF4D8D5177E}"/>
    <hyperlink ref="G3039" location="$G$17" display="$G$17" xr:uid="{4E346C4A-8581-4EDC-9F7C-11922651C1B2}"/>
    <hyperlink ref="A3048" location="Planning!A1" display="Go back to 'Planning' sheet" xr:uid="{07E2DA06-F9A6-447D-AE09-3FCA79F8F641}"/>
    <hyperlink ref="F3064" location="$F$17" display="$F$17" xr:uid="{229B9809-BCDE-45B7-92E3-2C3D315AE51C}"/>
    <hyperlink ref="G3064" location="$G$17" display="$G$17" xr:uid="{45CC277B-EB0C-4169-B51D-76FD71C3B180}"/>
    <hyperlink ref="A3068" location="Planning!A1" display="Go back to 'Planning' sheet" xr:uid="{34BE16E9-DE02-4C39-9916-34AB5F917F1A}"/>
    <hyperlink ref="F3084" location="$F$17" display="$F$17" xr:uid="{F89FAB04-7056-4652-9195-D5822FE5AFDF}"/>
    <hyperlink ref="G3084" location="$G$17" display="$G$17" xr:uid="{10AB37D3-701B-43BD-9062-ABDB0765B994}"/>
    <hyperlink ref="A3088" location="Planning!A1" display="Go back to 'Planning' sheet" xr:uid="{99EA93DA-3C7C-4529-94B6-5E31FDDA4E8A}"/>
    <hyperlink ref="F3104" location="$F$17" display="$F$17" xr:uid="{DAEEF281-9464-450D-BFCD-4F7E77E609BB}"/>
    <hyperlink ref="G3104" location="$G$17" display="$G$17" xr:uid="{CC2BE5D3-04A0-4B30-8284-716E778E29C4}"/>
    <hyperlink ref="A3113" location="Planning!A1" display="Go back to 'Planning' sheet" xr:uid="{3F6868F6-2098-481D-8771-9FC9994CBEDD}"/>
    <hyperlink ref="F3129" location="$F$17" display="$F$17" xr:uid="{CBA826CC-431F-4055-B7AA-E05408AAE23A}"/>
    <hyperlink ref="G3129" location="$G$17" display="$G$17" xr:uid="{FEA6E48B-DCCD-466C-9F68-27E82567A4BD}"/>
    <hyperlink ref="A3138" location="Planning!A1" display="Go back to 'Planning' sheet" xr:uid="{96BF6D57-2DF8-4629-9D9D-D713EA89BFA7}"/>
    <hyperlink ref="F3154" location="$F$17" display="$F$17" xr:uid="{DEBD4E44-701A-49D4-86AE-FCD6CF787EEB}"/>
    <hyperlink ref="G3154" location="$G$17" display="$G$17" xr:uid="{39D4E73F-6B07-4AD9-A830-030888D57BE9}"/>
    <hyperlink ref="A3163" location="Planning!A1" display="Go back to 'Planning' sheet" xr:uid="{CAB32C70-C736-422D-99BC-9D010D5C3B03}"/>
    <hyperlink ref="F3179" location="$F$17" display="$F$17" xr:uid="{AAC9C154-68FB-4BF6-B617-7D5399FD3D4A}"/>
    <hyperlink ref="G3179" location="$G$17" display="$G$17" xr:uid="{D123CF65-F0A3-40A4-B15E-3C6927EB0755}"/>
    <hyperlink ref="A3188" location="Planning!A1" display="Go back to 'Planning' sheet" xr:uid="{FFEA22FB-4DEE-46A4-95D1-D3277C725871}"/>
    <hyperlink ref="F3204" location="$F$17" display="$F$17" xr:uid="{67A91EA3-529F-49CE-801D-C42876BC8A5A}"/>
    <hyperlink ref="G3204" location="$G$17" display="$G$17" xr:uid="{5D3B31F9-6F5F-4DE5-9F80-9347CB1178DB}"/>
    <hyperlink ref="A3208" location="Planning!A1" display="Go back to 'Planning' sheet" xr:uid="{0F7FD74A-EA49-45D8-AEE5-65B72A312788}"/>
    <hyperlink ref="F3224" location="$F$17" display="$F$17" xr:uid="{3C22B208-FAE9-4B00-9714-A8646C018371}"/>
    <hyperlink ref="G3224" location="$G$17" display="$G$17" xr:uid="{349E2485-25FB-4ACF-862C-A56F7E2761CD}"/>
    <hyperlink ref="A3228" location="Planning!A1" display="Go back to 'Planning' sheet" xr:uid="{DF9151AC-E230-4758-A21D-CDEA33FFCC9D}"/>
    <hyperlink ref="F3244" location="$F$17" display="$F$17" xr:uid="{6C522249-7A4C-488E-8104-DFA4839D4478}"/>
    <hyperlink ref="G3244" location="$G$17" display="$G$17" xr:uid="{EFED0631-6865-429A-B0C0-9BEE2D41B0CA}"/>
    <hyperlink ref="A3248" location="Planning!A1" display="Go back to 'Planning' sheet" xr:uid="{022A90B4-4746-4E44-8FA0-DFEC8FA55DC1}"/>
    <hyperlink ref="F3264" location="$F$17" display="$F$17" xr:uid="{690CFF80-E5D5-4D84-995E-20DA79085E34}"/>
    <hyperlink ref="G3264" location="$G$17" display="$G$17" xr:uid="{A127C6B7-5C41-4A64-8742-EE1E9E3BECC9}"/>
    <hyperlink ref="A3273" location="Planning!A1" display="Go back to 'Planning' sheet" xr:uid="{EB078F15-5545-496E-955A-D06120D152D1}"/>
    <hyperlink ref="F3289" location="$F$17" display="$F$17" xr:uid="{0422F225-69A6-4E9B-B665-8670F4CC9F23}"/>
    <hyperlink ref="G3289" location="$G$17" display="$G$17" xr:uid="{E0B0B842-A090-4EC0-9DE8-46E6076AD436}"/>
    <hyperlink ref="A3293" location="Planning!A1" display="Go back to 'Planning' sheet" xr:uid="{06B1C00A-51DE-4E1A-A31E-A29DFE4661CB}"/>
    <hyperlink ref="F3309" location="$F$17" display="$F$17" xr:uid="{0AE735FF-7AED-4C87-BFE6-0CADB7CB8F81}"/>
    <hyperlink ref="G3309" location="$G$17" display="$G$17" xr:uid="{819B267A-2D2D-4978-B97E-1DBFDD32E6FA}"/>
    <hyperlink ref="A3318" location="Planning!A1" display="Go back to 'Planning' sheet" xr:uid="{EF4F65E9-C8F2-49B3-B31F-06D2CD14B034}"/>
    <hyperlink ref="F3334" location="$F$17" display="$F$17" xr:uid="{E8E1C713-0C5D-405A-A437-A73E32717D5D}"/>
    <hyperlink ref="G3334" location="$G$17" display="$G$17" xr:uid="{041B8A6F-4A14-4327-847C-EBB2114DF6BB}"/>
    <hyperlink ref="A3343" location="Planning!A1" display="Go back to 'Planning' sheet" xr:uid="{E327F43F-094A-4AA4-A96E-2B2A2BB4C730}"/>
    <hyperlink ref="F3359" location="$F$17" display="$F$17" xr:uid="{29F4A74B-2FB2-42BB-8C4F-F525B4F16806}"/>
    <hyperlink ref="G3359" location="$G$17" display="$G$17" xr:uid="{0B844BBD-F1A9-436C-BDE8-E7EE5BAC08E3}"/>
    <hyperlink ref="A3368" location="Planning!A1" display="Go back to 'Planning' sheet" xr:uid="{FB6370DB-88CD-4E6A-8593-377B9FFDA899}"/>
    <hyperlink ref="F3384" location="$F$17" display="$F$17" xr:uid="{5AAB32E0-9A2D-45F8-8CE9-A25F728E9D05}"/>
    <hyperlink ref="G3384" location="$G$17" display="$G$17" xr:uid="{12AADE41-8542-4BC1-BE60-D4DAA17809A1}"/>
    <hyperlink ref="A3393" location="Planning!A1" display="Go back to 'Planning' sheet" xr:uid="{CF06E84B-C47B-447E-85E8-AC3DDA621AAE}"/>
    <hyperlink ref="F3409" location="$F$17" display="$F$17" xr:uid="{5129422B-162D-44CA-ACD2-48D01C2E0979}"/>
    <hyperlink ref="G3409" location="$G$17" display="$G$17" xr:uid="{57C07361-3A3C-46E3-8497-22C1347E2A32}"/>
    <hyperlink ref="A3413" location="Planning!A1" display="Go back to 'Planning' sheet" xr:uid="{B795859F-A0E8-416D-8A4E-76C53574DB55}"/>
    <hyperlink ref="F3429" location="$F$17" display="$F$17" xr:uid="{E2769EB1-6C7C-4A23-BE40-466430CEBD85}"/>
    <hyperlink ref="G3429" location="$G$17" display="$G$17" xr:uid="{B7F698A4-EB32-4D8B-89F0-F64745F153F0}"/>
    <hyperlink ref="A3438" location="Planning!A1" display="Go back to 'Planning' sheet" xr:uid="{6F7F8D9B-BB67-4858-BCB9-4F9A3B1E1CF1}"/>
    <hyperlink ref="F3454" location="$F$17" display="$F$17" xr:uid="{FE80ECB0-59BD-489E-B247-E8B45F4B5B03}"/>
    <hyperlink ref="G3454" location="$G$17" display="$G$17" xr:uid="{FF11F967-9EBF-4E79-B053-478E65D626B3}"/>
    <hyperlink ref="A3458" location="Planning!A1" display="Go back to 'Planning' sheet" xr:uid="{CE74AA93-2723-41DA-BADB-A0AD1CF1918B}"/>
    <hyperlink ref="F3474" location="$F$17" display="$F$17" xr:uid="{AB0AD727-DF11-402A-8CE7-59CB4CAE79E5}"/>
    <hyperlink ref="G3474" location="$G$17" display="$G$17" xr:uid="{8744F2EB-0412-47A4-9D3A-B12EAF95C274}"/>
    <hyperlink ref="A3483" location="Planning!A1" display="Go back to 'Planning' sheet" xr:uid="{BB9E9D98-8BE6-4C94-B8AF-01EB955080A6}"/>
    <hyperlink ref="F3499" location="$F$17" display="$F$17" xr:uid="{1CD812F7-F909-4413-9639-0856EC28CF3E}"/>
    <hyperlink ref="G3499" location="$G$17" display="$G$17" xr:uid="{31CA2401-2F25-45BC-96EA-3FF5DBC05943}"/>
    <hyperlink ref="A3508" location="Planning!A1" display="Go back to 'Planning' sheet" xr:uid="{6FC4F36F-FCE4-4F0D-BDF4-647683D4A7FC}"/>
    <hyperlink ref="F3524" location="$F$17" display="$F$17" xr:uid="{796591BC-1B09-464E-BF4E-39CB9F776F14}"/>
    <hyperlink ref="G3524" location="$G$17" display="$G$17" xr:uid="{05E152E9-7D08-46E0-8A51-6F499034F4C5}"/>
    <hyperlink ref="A3533" location="Planning!A1" display="Go back to 'Planning' sheet" xr:uid="{94FBB934-03F4-4B7C-AA7F-8C276E6D09F5}"/>
    <hyperlink ref="F3549" location="$F$17" display="$F$17" xr:uid="{1C3BDD52-AC56-4E9D-8CA0-AC35AEE20C74}"/>
    <hyperlink ref="G3549" location="$G$17" display="$G$17" xr:uid="{861BD2B2-DB1E-4CD9-8F90-17FC7352218B}"/>
    <hyperlink ref="A3558" location="Planning!A1" display="Go back to 'Planning' sheet" xr:uid="{D9C9B843-511E-4050-93BA-FE7A7605886D}"/>
    <hyperlink ref="F3574" location="$F$17" display="$F$17" xr:uid="{B790EA14-F8DE-46DD-842A-7EC1F979E0F2}"/>
    <hyperlink ref="G3574" location="$G$17" display="$G$17" xr:uid="{D586D449-A89E-4AA2-8B5F-FEDB489D4B86}"/>
    <hyperlink ref="A3583" location="Planning!A1" display="Go back to 'Planning' sheet" xr:uid="{C5E078C9-CA43-4506-B05B-CC033E7B74C7}"/>
    <hyperlink ref="F3599" location="$F$17" display="$F$17" xr:uid="{53DB8317-D914-4E71-A611-F49CB96B29B7}"/>
    <hyperlink ref="G3599" location="$G$17" display="$G$17" xr:uid="{86AC5B1B-7959-43AB-A98D-BABAD15DB438}"/>
    <hyperlink ref="A3608" location="Planning!A1" display="Go back to 'Planning' sheet" xr:uid="{0B512A4E-B581-447C-BD84-9361B29C37A9}"/>
    <hyperlink ref="F3624" location="$F$17" display="$F$17" xr:uid="{928EC8DF-AA04-46AF-BF5D-5B46865C2E09}"/>
    <hyperlink ref="G3624" location="$G$17" display="$G$17" xr:uid="{9559F04D-4AE9-4AC6-A7AD-B8C24A39E9B7}"/>
    <hyperlink ref="A3633" location="Planning!A1" display="Go back to 'Planning' sheet" xr:uid="{8009E060-350D-4583-8BBF-1704A07A198A}"/>
    <hyperlink ref="F3649" location="$F$17" display="$F$17" xr:uid="{3DEE8989-7182-4E1F-BBB5-115C9AF6FDB4}"/>
    <hyperlink ref="G3649" location="$G$17" display="$G$17" xr:uid="{2E95176C-A432-4196-B26D-D4524553FF4D}"/>
    <hyperlink ref="A3658" location="Planning!A1" display="Go back to 'Planning' sheet" xr:uid="{F2DF1610-A9B0-4317-8580-8BB0CC5BFF6D}"/>
    <hyperlink ref="F3674" location="$F$17" display="$F$17" xr:uid="{99F1D1D6-C8E0-4359-9702-44E27062869D}"/>
    <hyperlink ref="G3674" location="$G$17" display="$G$17" xr:uid="{AB2D791B-DE45-4326-AE18-53455F26D577}"/>
    <hyperlink ref="A3683" location="Planning!A1" display="Go back to 'Planning' sheet" xr:uid="{90374B27-1BCF-4727-99BE-7E8E84BFAAE7}"/>
    <hyperlink ref="F3699" location="$F$17" display="$F$17" xr:uid="{EA2BB4B4-A6E9-4235-99D2-CCA04A905346}"/>
    <hyperlink ref="G3699" location="$G$17" display="$G$17" xr:uid="{B8F1214B-3DFE-4285-81AD-D4F95C9FE3CB}"/>
    <hyperlink ref="A3703" location="Planning!A1" display="Go back to 'Planning' sheet" xr:uid="{57D7BF0A-6B51-46C0-9357-A1985E33EE93}"/>
    <hyperlink ref="F3719" location="$F$17" display="$F$17" xr:uid="{3886C89F-C9C6-40BC-BB6B-2731CB80BC5F}"/>
    <hyperlink ref="G3719" location="$G$17" display="$G$17" xr:uid="{21024577-83C2-4107-A004-6460F17E5FDC}"/>
    <hyperlink ref="A3728" location="Planning!A1" display="Go back to 'Planning' sheet" xr:uid="{7996C788-B065-4F79-82DB-6DF1C042E6E2}"/>
    <hyperlink ref="F3744" location="$F$17" display="$F$17" xr:uid="{B5968D9F-C0BA-4C65-91AA-2C7D08D9CAA7}"/>
    <hyperlink ref="G3744" location="$G$17" display="$G$17" xr:uid="{8E81D7E8-2148-4895-B4E4-D657274139A7}"/>
    <hyperlink ref="A3753" location="Planning!A1" display="Go back to 'Planning' sheet" xr:uid="{8669C9DC-E9BD-4020-867F-4F70BE1A61F0}"/>
    <hyperlink ref="F3769" location="$F$17" display="$F$17" xr:uid="{F214D364-2810-4390-B2FC-4125AA652A37}"/>
    <hyperlink ref="G3769" location="$G$17" display="$G$17" xr:uid="{F33499C2-F75D-4DA3-9E37-87A527E54090}"/>
    <hyperlink ref="A3773" location="Planning!A1" display="Go back to 'Planning' sheet" xr:uid="{2C1B5380-3EEA-4A31-A9BB-E21E7D373129}"/>
    <hyperlink ref="F3789" location="$F$17" display="$F$17" xr:uid="{EBC015D0-D5B6-4B8C-9D8D-67AD2365D246}"/>
    <hyperlink ref="G3789" location="$G$17" display="$G$17" xr:uid="{FF0ADEDF-E5BD-48CC-AE38-7C9601F20DD9}"/>
    <hyperlink ref="A3798" location="Planning!A1" display="Go back to 'Planning' sheet" xr:uid="{36AF02F0-F8A4-4633-B17C-16FBC8A8A20B}"/>
    <hyperlink ref="F3814" location="$F$17" display="$F$17" xr:uid="{10BB3961-D0BC-413F-A78B-540C58B2D6B0}"/>
    <hyperlink ref="G3814" location="$G$17" display="$G$17" xr:uid="{CCFEAB63-95A0-4C50-A530-2E1797888599}"/>
    <hyperlink ref="A3823" location="Planning!A1" display="Go back to 'Planning' sheet" xr:uid="{8DA1F3E6-9187-4070-9886-CC7F386AF038}"/>
    <hyperlink ref="F3839" location="$F$17" display="$F$17" xr:uid="{85C55B72-F473-4C20-AD44-471098B7D922}"/>
    <hyperlink ref="G3839" location="$G$17" display="$G$17" xr:uid="{1CF752AD-0D25-4121-BD31-71DE8B8C87F7}"/>
    <hyperlink ref="A3848" location="Planning!A1" display="Go back to 'Planning' sheet" xr:uid="{F6853FD8-75A5-4870-936A-EB8441A359B1}"/>
    <hyperlink ref="F3864" location="$F$17" display="$F$17" xr:uid="{A24147D1-2EBC-401A-9D99-989FBB1865E5}"/>
    <hyperlink ref="G3864" location="$G$17" display="$G$17" xr:uid="{AEB4E703-AAD9-49E2-BB51-40CAB500A1F8}"/>
    <hyperlink ref="A3868" location="Planning!A1" display="Go back to 'Planning' sheet" xr:uid="{9F32F113-1584-4E76-A337-D6C8163DAFE9}"/>
    <hyperlink ref="F3884" location="$F$17" display="$F$17" xr:uid="{87F26675-A6E7-416D-AF85-12D4BC616944}"/>
    <hyperlink ref="G3884" location="$G$17" display="$G$17" xr:uid="{90B858D7-55DF-4C0E-977B-81C5D7E68C2B}"/>
    <hyperlink ref="A3893" location="Planning!A1" display="Go back to 'Planning' sheet" xr:uid="{B8A9553B-D3B9-42B2-A4D8-861AE2D4A246}"/>
    <hyperlink ref="F3909" location="$F$17" display="$F$17" xr:uid="{0AD2AAB9-F901-49EE-A7D1-10002B19D1F6}"/>
    <hyperlink ref="G3909" location="$G$17" display="$G$17" xr:uid="{93010A4E-6B24-4224-84DF-20FAFA952AEE}"/>
    <hyperlink ref="A3913" location="Planning!A1" display="Go back to 'Planning' sheet" xr:uid="{7FE8389D-D5C1-447D-9E38-A1A5A3DD6BE5}"/>
    <hyperlink ref="F3929" location="$F$17" display="$F$17" xr:uid="{99DE3A2F-314E-4068-8493-EAAF68E874C4}"/>
    <hyperlink ref="G3929" location="$G$17" display="$G$17" xr:uid="{7F6AFC06-1E2B-4805-9182-FDF19BF106BB}"/>
    <hyperlink ref="A3938" location="Planning!A1" display="Go back to 'Planning' sheet" xr:uid="{08A480D7-5EF1-4A08-812C-AA01793674E9}"/>
    <hyperlink ref="F3954" location="$F$17" display="$F$17" xr:uid="{6CFCE694-C1A0-438C-AB53-942F30A937F2}"/>
    <hyperlink ref="G3954" location="$G$17" display="$G$17" xr:uid="{E28702C4-D91F-43E1-BBAB-90E166611F86}"/>
    <hyperlink ref="A3963" location="Planning!A1" display="Go back to 'Planning' sheet" xr:uid="{2D7D3F9B-B707-4DCA-A12E-DF94685F73EA}"/>
    <hyperlink ref="F3979" location="$F$17" display="$F$17" xr:uid="{385F5734-1CA0-4902-A56A-959D7861509D}"/>
    <hyperlink ref="G3979" location="$G$17" display="$G$17" xr:uid="{956CBC83-E7F7-4122-916B-2DBB62653B22}"/>
    <hyperlink ref="A3988" location="Planning!A1" display="Go back to 'Planning' sheet" xr:uid="{E79EDF9F-BB2C-4B98-9A7F-EF26AF322C58}"/>
    <hyperlink ref="F4004" location="$F$17" display="$F$17" xr:uid="{3E91A11C-7D6A-444E-BC9F-A4DED57D02C9}"/>
    <hyperlink ref="G4004" location="$G$17" display="$G$17" xr:uid="{7692E5D0-4785-4BC3-BAB6-0169788637E9}"/>
    <hyperlink ref="A4008" location="Planning!A1" display="Go back to 'Planning' sheet" xr:uid="{A7EAB81B-C965-48E0-BC37-47BD7C223B3D}"/>
    <hyperlink ref="F4024" location="$F$17" display="$F$17" xr:uid="{B2CD898C-A857-48F9-8AAC-F6B81A85A3A5}"/>
    <hyperlink ref="G4024" location="$G$17" display="$G$17" xr:uid="{73983764-DC57-403A-B247-18349B374A0C}"/>
    <hyperlink ref="A4033" location="Planning!A1" display="Go back to 'Planning' sheet" xr:uid="{F22E54FF-CA88-4691-9703-1DF8A3F5E6C7}"/>
    <hyperlink ref="F4049" location="$F$17" display="$F$17" xr:uid="{971E72B0-3A48-4724-9AAB-DD6CD98C229D}"/>
    <hyperlink ref="G4049" location="$G$17" display="$G$17" xr:uid="{BCBCE358-0887-4CB9-B99F-CD844D91D558}"/>
    <hyperlink ref="A4053" location="Planning!A1" display="Go back to 'Planning' sheet" xr:uid="{6FBE827A-B452-4D99-81AE-E55706C8C38C}"/>
    <hyperlink ref="F4069" location="$F$17" display="$F$17" xr:uid="{E45059FF-B840-49FE-87EF-D1F30EF1429D}"/>
    <hyperlink ref="G4069" location="$G$17" display="$G$17" xr:uid="{B1CC265C-534C-48F5-B592-7AF7C544DBFF}"/>
    <hyperlink ref="A4078" location="Planning!A1" display="Go back to 'Planning' sheet" xr:uid="{93D58314-0D93-4A7A-9A46-CD7A1FD79A96}"/>
    <hyperlink ref="F4094" location="$F$17" display="$F$17" xr:uid="{CC3D031F-90B5-4FB4-94F9-107D045B61E5}"/>
    <hyperlink ref="G4094" location="$G$17" display="$G$17" xr:uid="{59D493DB-3143-4587-8BF1-B4E56C1579B2}"/>
    <hyperlink ref="A4103" location="Planning!A1" display="Go back to 'Planning' sheet" xr:uid="{4570A8D3-8149-4A6A-8BAE-4B23BEC30EC9}"/>
    <hyperlink ref="F4119" location="$F$17" display="$F$17" xr:uid="{C416A6FC-B16E-47D7-9A72-C658394231C9}"/>
    <hyperlink ref="G4119" location="$G$17" display="$G$17" xr:uid="{2A444EA2-2EC7-4F1A-9F39-F0E5F708FAEE}"/>
    <hyperlink ref="A4128" location="Planning!A1" display="Go back to 'Planning' sheet" xr:uid="{A03711E9-6032-42CD-94A5-F318E0CDCEF0}"/>
    <hyperlink ref="F4144" location="$F$17" display="$F$17" xr:uid="{D9D2BEFD-4B51-48D6-9163-7BCF88418901}"/>
    <hyperlink ref="G4144" location="$G$17" display="$G$17" xr:uid="{E134324F-DBBF-4EBC-A6C0-0C71B342AA6B}"/>
    <hyperlink ref="A4153" location="Planning!A1" display="Go back to 'Planning' sheet" xr:uid="{227C5E7C-BB30-4C41-BA77-2F3F5A2F6C1F}"/>
    <hyperlink ref="F4169" location="$F$17" display="$F$17" xr:uid="{66C00FF6-822B-4C99-AEDC-FFE1CB336B79}"/>
    <hyperlink ref="G4169" location="$G$17" display="$G$17" xr:uid="{E4283521-E5F5-42D6-9D67-FDE0720545A6}"/>
    <hyperlink ref="A4173" location="Planning!A1" display="Go back to 'Planning' sheet" xr:uid="{B6F17E9D-1CF8-4F80-997F-89924A39AB01}"/>
    <hyperlink ref="F4189" location="$F$17" display="$F$17" xr:uid="{A5408ACB-47CB-42D3-BA10-8C78D76D6A56}"/>
    <hyperlink ref="G4189" location="$G$17" display="$G$17" xr:uid="{8DBD2C79-8D25-4C9D-92AA-B456E23BFA8F}"/>
    <hyperlink ref="A4198" location="Planning!A1" display="Go back to 'Planning' sheet" xr:uid="{F14F1FFB-4FB3-4E5A-B6D3-AE63857C7FD7}"/>
    <hyperlink ref="F4214" location="$F$17" display="$F$17" xr:uid="{A0A0C621-D25B-423F-999E-FCA44A4BFCE7}"/>
    <hyperlink ref="G4214" location="$G$17" display="$G$17" xr:uid="{E60CF28B-3980-4319-91F9-D097BE1D49E3}"/>
    <hyperlink ref="A4223" location="Planning!A1" display="Go back to 'Planning' sheet" xr:uid="{29C03143-5628-47EE-87B7-5E31DA250B71}"/>
    <hyperlink ref="F4239" location="$F$17" display="$F$17" xr:uid="{0E4A2DB7-40B9-4E03-A0F5-9500CB37ADA3}"/>
    <hyperlink ref="G4239" location="$G$17" display="$G$17" xr:uid="{10B547DF-21FE-4494-A1E5-83DD1AA43CC8}"/>
    <hyperlink ref="A4248" location="Planning!A1" display="Go back to 'Planning' sheet" xr:uid="{3B97100B-256F-4D9D-BBA3-D5E7ECD89148}"/>
    <hyperlink ref="F4264" location="$F$17" display="$F$17" xr:uid="{1F0FA8E2-2548-4E6E-B5EA-2EB3606589FD}"/>
    <hyperlink ref="G4264" location="$G$17" display="$G$17" xr:uid="{E4FF9DEF-18B9-444B-9FF9-DC895F699F26}"/>
    <hyperlink ref="A4273" location="Planning!A1" display="Go back to 'Planning' sheet" xr:uid="{D6BB1272-1B07-414A-8DD9-EC81B98BB08F}"/>
    <hyperlink ref="F4289" location="$F$17" display="$F$17" xr:uid="{A6D22678-B0DB-4F1A-82E1-716265BF7299}"/>
    <hyperlink ref="G4289" location="$G$17" display="$G$17" xr:uid="{6ED3A636-A793-41CC-888F-A3995EDF7BDC}"/>
    <hyperlink ref="A4293" location="Planning!A1" display="Go back to 'Planning' sheet" xr:uid="{4E3F5245-C058-45AC-A7C9-E15C48E49381}"/>
    <hyperlink ref="F4309" location="$F$17" display="$F$17" xr:uid="{C4E60650-4496-4384-A9E0-2A75C300702E}"/>
    <hyperlink ref="G4309" location="$G$17" display="$G$17" xr:uid="{AD42DDD3-36E9-4718-B7ED-A4E8E458812A}"/>
    <hyperlink ref="A4313" location="Planning!A1" display="Go back to 'Planning' sheet" xr:uid="{28E52B64-B8C0-48C4-8E90-BA0765ECF67A}"/>
    <hyperlink ref="F4329" location="$F$17" display="$F$17" xr:uid="{550AC704-6855-442C-BC4A-98C894B0009C}"/>
    <hyperlink ref="G4329" location="$G$17" display="$G$17" xr:uid="{19734AA0-841D-4898-B398-C3F7AAA1A649}"/>
    <hyperlink ref="A4338" location="Planning!A1" display="Go back to 'Planning' sheet" xr:uid="{B161A959-0C4D-4DAB-9A3F-F1CF46755725}"/>
    <hyperlink ref="F4354" location="$F$17" display="$F$17" xr:uid="{156DE29E-0E80-4ACB-A020-2B4728B95DF6}"/>
    <hyperlink ref="G4354" location="$G$17" display="$G$17" xr:uid="{FA1D3295-ADD6-4004-A6E2-8112BA72191D}"/>
    <hyperlink ref="A4363" location="Planning!A1" display="Go back to 'Planning' sheet" xr:uid="{554330A3-64B3-437B-A6C0-3092C3F3D24C}"/>
    <hyperlink ref="F4379" location="$F$17" display="$F$17" xr:uid="{4D152E26-E867-4633-83BC-A3456B91168D}"/>
    <hyperlink ref="G4379" location="$G$17" display="$G$17" xr:uid="{C1F5B8F2-2207-48CC-9138-FC8CFAA43452}"/>
    <hyperlink ref="A4383" location="Planning!A1" display="Go back to 'Planning' sheet" xr:uid="{0D969EFA-6FD5-4B38-A2B3-7EA62CC36ADE}"/>
    <hyperlink ref="F4399" location="$F$17" display="$F$17" xr:uid="{3B33F3F8-BBB5-4FB5-A908-A74C29D6C74B}"/>
    <hyperlink ref="G4399" location="$G$17" display="$G$17" xr:uid="{D43C18CD-5FBB-4F2E-A564-FD1FB09382F9}"/>
    <hyperlink ref="A4408" location="Planning!A1" display="Go back to 'Planning' sheet" xr:uid="{F4FF2B5A-E5A0-44F1-87B9-DA8AB8FFC771}"/>
    <hyperlink ref="F4424" location="$F$17" display="$F$17" xr:uid="{3B0A4F17-51A9-4C33-89A7-A8CA0C6D4090}"/>
    <hyperlink ref="G4424" location="$G$17" display="$G$17" xr:uid="{455A1F5E-B33C-4622-A233-1A7F08DDCE4E}"/>
    <hyperlink ref="A4433" location="Planning!A1" display="Go back to 'Planning' sheet" xr:uid="{FAABBC38-9C60-4929-A340-349B6A849D48}"/>
    <hyperlink ref="F4449" location="$F$17" display="$F$17" xr:uid="{142634B3-24C2-4EB5-ADC5-82FA89E28002}"/>
    <hyperlink ref="G4449" location="$G$17" display="$G$17" xr:uid="{1B00F553-514F-4B57-A2F5-D6216FC4950A}"/>
    <hyperlink ref="A4458" location="Planning!A1" display="Go back to 'Planning' sheet" xr:uid="{365603C6-2CBC-4E45-A87F-E33846DF7D01}"/>
    <hyperlink ref="F4474" location="$F$17" display="$F$17" xr:uid="{AE4C28A2-09A8-48B8-A343-044BDF514C8E}"/>
    <hyperlink ref="G4474" location="$G$17" display="$G$17" xr:uid="{813E8FA3-1E43-4FF0-8B0C-AEE0C23585D3}"/>
    <hyperlink ref="A4478" location="Planning!A1" display="Go back to 'Planning' sheet" xr:uid="{280D066F-D459-470C-B869-F5F5ABD6014B}"/>
    <hyperlink ref="F4494" location="$F$17" display="$F$17" xr:uid="{A963EC61-B3A9-4610-9B1D-98D639C603A9}"/>
    <hyperlink ref="G4494" location="$G$17" display="$G$17" xr:uid="{1CE413B4-D24E-40B6-917E-11E61BD420B1}"/>
    <hyperlink ref="A4503" location="Planning!A1" display="Go back to 'Planning' sheet" xr:uid="{C9C7F1BD-6D1A-4F32-B1CC-649EB5B73339}"/>
    <hyperlink ref="F4519" location="$F$17" display="$F$17" xr:uid="{E50B8F4B-F158-4EC5-A764-9BFE81DF1893}"/>
    <hyperlink ref="G4519" location="$G$17" display="$G$17" xr:uid="{A69DDE78-B7E9-4D89-9842-5B356C6D83E5}"/>
    <hyperlink ref="A4528" location="Planning!A1" display="Go back to 'Planning' sheet" xr:uid="{86A1A46B-C9B4-475E-8162-EFB1B37235FC}"/>
    <hyperlink ref="F4544" location="$F$17" display="$F$17" xr:uid="{10C64BCF-1706-4F48-A107-6B206376F3EB}"/>
    <hyperlink ref="G4544" location="$G$17" display="$G$17" xr:uid="{06B8372E-DEF2-4E57-9FCE-E9A35387E07C}"/>
    <hyperlink ref="A4548" location="Planning!A1" display="Go back to 'Planning' sheet" xr:uid="{D7CBFE18-BF6C-4A19-AF21-9F339A8C3731}"/>
    <hyperlink ref="F4564" location="$F$17" display="$F$17" xr:uid="{19B5BA0F-85EF-472F-8086-F609A130C97F}"/>
    <hyperlink ref="G4564" location="$G$17" display="$G$17" xr:uid="{8C7071C2-82F5-4264-8691-9ACF9D144988}"/>
    <hyperlink ref="A4573" location="Planning!A1" display="Go back to 'Planning' sheet" xr:uid="{49B4FE6A-DB91-48B0-BD57-5456475E63F7}"/>
    <hyperlink ref="F4589" location="$F$17" display="$F$17" xr:uid="{D72E7DF1-EF3E-4717-A238-1026C8B3052E}"/>
    <hyperlink ref="G4589" location="$G$17" display="$G$17" xr:uid="{887F30E6-8F63-4219-BCC8-2E1FA4DEB5FD}"/>
    <hyperlink ref="A4598" location="Planning!A1" display="Go back to 'Planning' sheet" xr:uid="{193B9744-F2A5-49A7-A951-575B46FBDD5C}"/>
    <hyperlink ref="F4614" location="$F$17" display="$F$17" xr:uid="{E9553A7C-A263-4A40-B438-A886794DC7AA}"/>
    <hyperlink ref="G4614" location="$G$17" display="$G$17" xr:uid="{95214AB9-3C99-4F08-BBB6-FFDBEF12A3EC}"/>
    <hyperlink ref="A4623" location="Planning!A1" display="Go back to 'Planning' sheet" xr:uid="{B6361C9B-CF8E-459A-B3A2-2BECC508ED7B}"/>
    <hyperlink ref="F4639" location="$F$17" display="$F$17" xr:uid="{E15CA1F4-1664-4CCE-80A3-7AD04A2F085D}"/>
    <hyperlink ref="G4639" location="$G$17" display="$G$17" xr:uid="{E2B5762D-4A6F-46EE-9786-A89800B37593}"/>
    <hyperlink ref="A4643" location="Planning!A1" display="Go back to 'Planning' sheet" xr:uid="{E44C6FCF-EAE6-49C0-A733-739C60D38D2A}"/>
    <hyperlink ref="F4659" location="$F$17" display="$F$17" xr:uid="{65ED32CD-4BC6-42E9-A5BB-66060729EAC6}"/>
    <hyperlink ref="G4659" location="$G$17" display="$G$17" xr:uid="{C827E91C-62AF-4605-9CBF-25CC53DB2229}"/>
    <hyperlink ref="A4663" location="Planning!A1" display="Go back to 'Planning' sheet" xr:uid="{2FC03F78-DDCB-40F5-B30D-BD7387B877B9}"/>
    <hyperlink ref="F4679" location="$F$17" display="$F$17" xr:uid="{3D29494B-3203-4750-8365-EA02141BD10A}"/>
    <hyperlink ref="G4679" location="$G$17" display="$G$17" xr:uid="{A0FF2370-00E4-4168-A749-401C43A93E9A}"/>
    <hyperlink ref="A4683" location="Planning!A1" display="Go back to 'Planning' sheet" xr:uid="{47A72DC6-DEC7-49B7-B93C-3A48A294F0D5}"/>
    <hyperlink ref="F4699" location="$F$17" display="$F$17" xr:uid="{9AE4BDE2-1084-4D42-8D53-E8219B8A60DD}"/>
    <hyperlink ref="G4699" location="$G$17" display="$G$17" xr:uid="{06ACEF7D-D3B6-450B-B0D3-C54203633093}"/>
    <hyperlink ref="A4703" location="Planning!A1" display="Go back to 'Planning' sheet" xr:uid="{A0DBA582-E4AB-4D35-AEC0-5328CAAA51DB}"/>
    <hyperlink ref="F4719" location="$F$17" display="$F$17" xr:uid="{4300A51A-991D-45BE-AC7D-F976CC143E31}"/>
    <hyperlink ref="G4719" location="$G$17" display="$G$17" xr:uid="{0E07E5EE-5E65-4431-A7F3-583ED2FE9DDD}"/>
    <hyperlink ref="A4723" location="Planning!A1" display="Go back to 'Planning' sheet" xr:uid="{E74E375D-E99F-4980-A0CF-87E5BD7913B0}"/>
    <hyperlink ref="F4739" location="$F$17" display="$F$17" xr:uid="{E91C474B-CACE-4304-9BA2-F49B543E7A42}"/>
    <hyperlink ref="G4739" location="$G$17" display="$G$17" xr:uid="{F28FA09D-0A01-4EC3-92AE-3EA570C97BC2}"/>
  </hyperlinks>
  <pageMargins left="0.7" right="0.7" top="0.78740157499999996" bottom="0.78740157499999996" header="0.3" footer="0.3"/>
  <tableParts count="40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  <tablePart r:id="rId153"/>
    <tablePart r:id="rId154"/>
    <tablePart r:id="rId155"/>
    <tablePart r:id="rId156"/>
    <tablePart r:id="rId157"/>
    <tablePart r:id="rId158"/>
    <tablePart r:id="rId159"/>
    <tablePart r:id="rId160"/>
    <tablePart r:id="rId161"/>
    <tablePart r:id="rId162"/>
    <tablePart r:id="rId163"/>
    <tablePart r:id="rId164"/>
    <tablePart r:id="rId165"/>
    <tablePart r:id="rId166"/>
    <tablePart r:id="rId167"/>
    <tablePart r:id="rId168"/>
    <tablePart r:id="rId169"/>
    <tablePart r:id="rId170"/>
    <tablePart r:id="rId171"/>
    <tablePart r:id="rId172"/>
    <tablePart r:id="rId173"/>
    <tablePart r:id="rId174"/>
    <tablePart r:id="rId175"/>
    <tablePart r:id="rId176"/>
    <tablePart r:id="rId177"/>
    <tablePart r:id="rId178"/>
    <tablePart r:id="rId179"/>
    <tablePart r:id="rId180"/>
    <tablePart r:id="rId181"/>
    <tablePart r:id="rId182"/>
    <tablePart r:id="rId183"/>
    <tablePart r:id="rId184"/>
    <tablePart r:id="rId185"/>
    <tablePart r:id="rId186"/>
    <tablePart r:id="rId187"/>
    <tablePart r:id="rId188"/>
    <tablePart r:id="rId189"/>
    <tablePart r:id="rId190"/>
    <tablePart r:id="rId191"/>
    <tablePart r:id="rId192"/>
    <tablePart r:id="rId193"/>
    <tablePart r:id="rId194"/>
    <tablePart r:id="rId195"/>
    <tablePart r:id="rId196"/>
    <tablePart r:id="rId197"/>
    <tablePart r:id="rId198"/>
    <tablePart r:id="rId199"/>
    <tablePart r:id="rId200"/>
    <tablePart r:id="rId201"/>
    <tablePart r:id="rId202"/>
    <tablePart r:id="rId203"/>
    <tablePart r:id="rId204"/>
    <tablePart r:id="rId205"/>
    <tablePart r:id="rId206"/>
    <tablePart r:id="rId207"/>
    <tablePart r:id="rId208"/>
    <tablePart r:id="rId209"/>
    <tablePart r:id="rId210"/>
    <tablePart r:id="rId211"/>
    <tablePart r:id="rId212"/>
    <tablePart r:id="rId213"/>
    <tablePart r:id="rId214"/>
    <tablePart r:id="rId215"/>
    <tablePart r:id="rId216"/>
    <tablePart r:id="rId217"/>
    <tablePart r:id="rId218"/>
    <tablePart r:id="rId219"/>
    <tablePart r:id="rId220"/>
    <tablePart r:id="rId221"/>
    <tablePart r:id="rId222"/>
    <tablePart r:id="rId223"/>
    <tablePart r:id="rId224"/>
    <tablePart r:id="rId225"/>
    <tablePart r:id="rId226"/>
    <tablePart r:id="rId227"/>
    <tablePart r:id="rId228"/>
    <tablePart r:id="rId229"/>
    <tablePart r:id="rId230"/>
    <tablePart r:id="rId231"/>
    <tablePart r:id="rId232"/>
    <tablePart r:id="rId233"/>
    <tablePart r:id="rId234"/>
    <tablePart r:id="rId235"/>
    <tablePart r:id="rId236"/>
    <tablePart r:id="rId237"/>
    <tablePart r:id="rId238"/>
    <tablePart r:id="rId239"/>
    <tablePart r:id="rId240"/>
    <tablePart r:id="rId241"/>
    <tablePart r:id="rId242"/>
    <tablePart r:id="rId243"/>
    <tablePart r:id="rId244"/>
    <tablePart r:id="rId245"/>
    <tablePart r:id="rId246"/>
    <tablePart r:id="rId247"/>
    <tablePart r:id="rId248"/>
    <tablePart r:id="rId249"/>
    <tablePart r:id="rId250"/>
    <tablePart r:id="rId251"/>
    <tablePart r:id="rId252"/>
    <tablePart r:id="rId253"/>
    <tablePart r:id="rId254"/>
    <tablePart r:id="rId255"/>
    <tablePart r:id="rId256"/>
    <tablePart r:id="rId257"/>
    <tablePart r:id="rId258"/>
    <tablePart r:id="rId259"/>
    <tablePart r:id="rId260"/>
    <tablePart r:id="rId261"/>
    <tablePart r:id="rId262"/>
    <tablePart r:id="rId263"/>
    <tablePart r:id="rId264"/>
    <tablePart r:id="rId265"/>
    <tablePart r:id="rId266"/>
    <tablePart r:id="rId267"/>
    <tablePart r:id="rId268"/>
    <tablePart r:id="rId269"/>
    <tablePart r:id="rId270"/>
    <tablePart r:id="rId271"/>
    <tablePart r:id="rId272"/>
    <tablePart r:id="rId273"/>
    <tablePart r:id="rId274"/>
    <tablePart r:id="rId275"/>
    <tablePart r:id="rId276"/>
    <tablePart r:id="rId277"/>
    <tablePart r:id="rId278"/>
    <tablePart r:id="rId279"/>
    <tablePart r:id="rId280"/>
    <tablePart r:id="rId281"/>
    <tablePart r:id="rId282"/>
    <tablePart r:id="rId283"/>
    <tablePart r:id="rId284"/>
    <tablePart r:id="rId285"/>
    <tablePart r:id="rId286"/>
    <tablePart r:id="rId287"/>
    <tablePart r:id="rId288"/>
    <tablePart r:id="rId289"/>
    <tablePart r:id="rId290"/>
    <tablePart r:id="rId291"/>
    <tablePart r:id="rId292"/>
    <tablePart r:id="rId293"/>
    <tablePart r:id="rId294"/>
    <tablePart r:id="rId295"/>
    <tablePart r:id="rId296"/>
    <tablePart r:id="rId297"/>
    <tablePart r:id="rId298"/>
    <tablePart r:id="rId299"/>
    <tablePart r:id="rId300"/>
    <tablePart r:id="rId301"/>
    <tablePart r:id="rId302"/>
    <tablePart r:id="rId303"/>
    <tablePart r:id="rId304"/>
    <tablePart r:id="rId305"/>
    <tablePart r:id="rId306"/>
    <tablePart r:id="rId307"/>
    <tablePart r:id="rId308"/>
    <tablePart r:id="rId309"/>
    <tablePart r:id="rId310"/>
    <tablePart r:id="rId311"/>
    <tablePart r:id="rId312"/>
    <tablePart r:id="rId313"/>
    <tablePart r:id="rId314"/>
    <tablePart r:id="rId315"/>
    <tablePart r:id="rId316"/>
    <tablePart r:id="rId317"/>
    <tablePart r:id="rId318"/>
    <tablePart r:id="rId319"/>
    <tablePart r:id="rId320"/>
    <tablePart r:id="rId321"/>
    <tablePart r:id="rId322"/>
    <tablePart r:id="rId323"/>
    <tablePart r:id="rId324"/>
    <tablePart r:id="rId325"/>
    <tablePart r:id="rId326"/>
    <tablePart r:id="rId327"/>
    <tablePart r:id="rId328"/>
    <tablePart r:id="rId329"/>
    <tablePart r:id="rId330"/>
    <tablePart r:id="rId331"/>
    <tablePart r:id="rId332"/>
    <tablePart r:id="rId333"/>
    <tablePart r:id="rId334"/>
    <tablePart r:id="rId335"/>
    <tablePart r:id="rId336"/>
    <tablePart r:id="rId337"/>
    <tablePart r:id="rId338"/>
    <tablePart r:id="rId339"/>
    <tablePart r:id="rId340"/>
    <tablePart r:id="rId341"/>
    <tablePart r:id="rId342"/>
    <tablePart r:id="rId343"/>
    <tablePart r:id="rId344"/>
    <tablePart r:id="rId345"/>
    <tablePart r:id="rId346"/>
    <tablePart r:id="rId347"/>
    <tablePart r:id="rId348"/>
    <tablePart r:id="rId349"/>
    <tablePart r:id="rId350"/>
    <tablePart r:id="rId351"/>
    <tablePart r:id="rId352"/>
    <tablePart r:id="rId353"/>
    <tablePart r:id="rId354"/>
    <tablePart r:id="rId355"/>
    <tablePart r:id="rId356"/>
    <tablePart r:id="rId357"/>
    <tablePart r:id="rId358"/>
    <tablePart r:id="rId359"/>
    <tablePart r:id="rId360"/>
    <tablePart r:id="rId361"/>
    <tablePart r:id="rId362"/>
    <tablePart r:id="rId363"/>
    <tablePart r:id="rId364"/>
    <tablePart r:id="rId365"/>
    <tablePart r:id="rId366"/>
    <tablePart r:id="rId367"/>
    <tablePart r:id="rId368"/>
    <tablePart r:id="rId369"/>
    <tablePart r:id="rId370"/>
    <tablePart r:id="rId371"/>
    <tablePart r:id="rId372"/>
    <tablePart r:id="rId373"/>
    <tablePart r:id="rId374"/>
    <tablePart r:id="rId375"/>
    <tablePart r:id="rId376"/>
    <tablePart r:id="rId377"/>
    <tablePart r:id="rId378"/>
    <tablePart r:id="rId379"/>
    <tablePart r:id="rId380"/>
    <tablePart r:id="rId381"/>
    <tablePart r:id="rId382"/>
    <tablePart r:id="rId383"/>
    <tablePart r:id="rId384"/>
    <tablePart r:id="rId385"/>
    <tablePart r:id="rId386"/>
    <tablePart r:id="rId387"/>
    <tablePart r:id="rId388"/>
    <tablePart r:id="rId389"/>
    <tablePart r:id="rId390"/>
    <tablePart r:id="rId391"/>
    <tablePart r:id="rId392"/>
    <tablePart r:id="rId393"/>
    <tablePart r:id="rId394"/>
    <tablePart r:id="rId395"/>
    <tablePart r:id="rId396"/>
    <tablePart r:id="rId397"/>
    <tablePart r:id="rId398"/>
    <tablePart r:id="rId399"/>
    <tablePart r:id="rId400"/>
    <tablePart r:id="rId401"/>
    <tablePart r:id="rId402"/>
    <tablePart r:id="rId403"/>
    <tablePart r:id="rId404"/>
    <tablePart r:id="rId405"/>
    <tablePart r:id="rId406"/>
    <tablePart r:id="rId407"/>
    <tablePart r:id="rId40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Z219"/>
  <sheetViews>
    <sheetView tabSelected="1" zoomScaleNormal="100" workbookViewId="0">
      <selection activeCell="P1" sqref="P1"/>
    </sheetView>
  </sheetViews>
  <sheetFormatPr defaultColWidth="11.44140625" defaultRowHeight="14.4" outlineLevelCol="1"/>
  <cols>
    <col min="1" max="1" width="10.44140625" style="6" customWidth="1" outlineLevel="1"/>
    <col min="2" max="2" width="8.44140625" style="37" bestFit="1" customWidth="1"/>
    <col min="3" max="3" width="32.109375" style="9" customWidth="1"/>
    <col min="4" max="4" width="4.109375" style="9" customWidth="1"/>
    <col min="5" max="5" width="23.44140625" style="9" bestFit="1" customWidth="1"/>
    <col min="6" max="6" width="4.109375" style="9" customWidth="1"/>
    <col min="7" max="7" width="15.109375" customWidth="1"/>
    <col min="8" max="8" width="4.109375" customWidth="1"/>
    <col min="9" max="9" width="10.6640625" style="7" customWidth="1"/>
    <col min="10" max="10" width="4.109375" style="7" customWidth="1"/>
    <col min="11" max="11" width="10.88671875" style="7" customWidth="1"/>
    <col min="12" max="12" width="4.109375" style="7" customWidth="1"/>
    <col min="13" max="13" width="16.33203125" style="7" bestFit="1" customWidth="1"/>
    <col min="14" max="14" width="20.44140625" style="10" bestFit="1" customWidth="1"/>
    <col min="15" max="15" width="12.33203125" style="10" bestFit="1" customWidth="1"/>
    <col min="16" max="16" width="17.109375" style="6" customWidth="1" outlineLevel="1"/>
    <col min="17" max="17" width="15" style="10" customWidth="1" outlineLevel="1"/>
    <col min="18" max="18" width="17.109375" style="10" customWidth="1" outlineLevel="1"/>
    <col min="19" max="19" width="15.6640625" style="37" customWidth="1"/>
    <col min="20" max="20" width="13.5546875" customWidth="1" outlineLevel="1"/>
    <col min="21" max="21" width="11.44140625" customWidth="1" outlineLevel="1"/>
    <col min="22" max="22" width="20.33203125" style="6" customWidth="1" outlineLevel="1"/>
    <col min="23" max="23" width="15.6640625" style="37" customWidth="1"/>
    <col min="24" max="24" width="9.88671875" customWidth="1"/>
    <col min="25" max="25" width="15.88671875" customWidth="1"/>
    <col min="26" max="26" width="3.6640625" style="3" customWidth="1"/>
  </cols>
  <sheetData>
    <row r="1" spans="1:26" ht="65.25" customHeight="1">
      <c r="A1" s="3"/>
      <c r="C1" s="8"/>
      <c r="D1" s="8"/>
      <c r="E1" s="8"/>
      <c r="F1" s="8"/>
      <c r="G1" s="18"/>
      <c r="H1" s="18"/>
      <c r="I1" s="18"/>
      <c r="J1" s="18"/>
      <c r="K1" s="18"/>
      <c r="L1" s="18"/>
      <c r="M1" s="10"/>
      <c r="P1" s="3"/>
      <c r="T1" s="3"/>
      <c r="U1" s="3"/>
      <c r="V1"/>
      <c r="Z1"/>
    </row>
    <row r="2" spans="1:26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36" t="s">
        <v>76</v>
      </c>
      <c r="R2" s="36" t="s">
        <v>76</v>
      </c>
      <c r="T2" s="8"/>
      <c r="U2" s="8"/>
      <c r="V2" s="8"/>
      <c r="Z2"/>
    </row>
    <row r="3" spans="1:26" s="41" customFormat="1">
      <c r="A3" s="42" t="s">
        <v>11</v>
      </c>
      <c r="B3" s="40" t="s">
        <v>134</v>
      </c>
      <c r="C3" s="43" t="s">
        <v>3</v>
      </c>
      <c r="D3" s="43" t="s">
        <v>142</v>
      </c>
      <c r="E3" s="43" t="s">
        <v>2</v>
      </c>
      <c r="F3" s="43" t="s">
        <v>143</v>
      </c>
      <c r="G3" s="44" t="s">
        <v>21</v>
      </c>
      <c r="H3" s="44" t="s">
        <v>145</v>
      </c>
      <c r="I3" s="44" t="s">
        <v>22</v>
      </c>
      <c r="J3" s="44" t="s">
        <v>146</v>
      </c>
      <c r="K3" s="44" t="s">
        <v>23</v>
      </c>
      <c r="L3" s="44" t="s">
        <v>147</v>
      </c>
      <c r="M3" s="45" t="s">
        <v>1</v>
      </c>
      <c r="N3" s="45" t="s">
        <v>77</v>
      </c>
      <c r="O3" s="46" t="s">
        <v>71</v>
      </c>
      <c r="P3" t="s">
        <v>15</v>
      </c>
      <c r="Q3" s="7" t="s">
        <v>81</v>
      </c>
      <c r="R3" s="7" t="s">
        <v>144</v>
      </c>
      <c r="S3" s="40" t="s">
        <v>13</v>
      </c>
      <c r="T3" s="6" t="s">
        <v>14</v>
      </c>
      <c r="U3" t="s">
        <v>12</v>
      </c>
      <c r="V3" t="s">
        <v>46</v>
      </c>
      <c r="W3" s="40"/>
    </row>
    <row r="4" spans="1:26" s="50" customFormat="1" ht="21" hidden="1" customHeight="1">
      <c r="A4" s="48" t="s">
        <v>799</v>
      </c>
      <c r="B4" s="51"/>
      <c r="C4" s="47" t="s">
        <v>800</v>
      </c>
      <c r="D4" s="47" t="s">
        <v>164</v>
      </c>
      <c r="E4" s="47"/>
      <c r="F4" s="47" t="s">
        <v>164</v>
      </c>
      <c r="G4" s="48"/>
      <c r="H4" s="48" t="s">
        <v>164</v>
      </c>
      <c r="I4" s="48"/>
      <c r="J4" s="48" t="s">
        <v>164</v>
      </c>
      <c r="K4" s="48"/>
      <c r="L4" s="48" t="s">
        <v>164</v>
      </c>
      <c r="M4" s="48" t="s">
        <v>91</v>
      </c>
      <c r="N4" s="52" t="s">
        <v>201</v>
      </c>
      <c r="O4" s="52">
        <v>21.074166666716302</v>
      </c>
      <c r="P4" s="55" t="s">
        <v>92</v>
      </c>
      <c r="Q4" s="48" t="s">
        <v>92</v>
      </c>
      <c r="R4" s="48" t="s">
        <v>92</v>
      </c>
      <c r="S4" s="53"/>
      <c r="T4" s="48" t="s">
        <v>18</v>
      </c>
      <c r="U4" s="48">
        <v>1</v>
      </c>
      <c r="V4" s="48" t="s">
        <v>798</v>
      </c>
      <c r="W4" s="49"/>
    </row>
    <row r="5" spans="1:26" ht="21" hidden="1" customHeight="1">
      <c r="A5" s="48" t="s">
        <v>796</v>
      </c>
      <c r="B5" s="51"/>
      <c r="C5" s="47" t="s">
        <v>797</v>
      </c>
      <c r="D5" s="47" t="s">
        <v>164</v>
      </c>
      <c r="E5" s="47"/>
      <c r="F5" s="47" t="s">
        <v>164</v>
      </c>
      <c r="G5" s="48"/>
      <c r="H5" s="48" t="s">
        <v>164</v>
      </c>
      <c r="I5" s="48"/>
      <c r="J5" s="48" t="s">
        <v>164</v>
      </c>
      <c r="K5" s="48"/>
      <c r="L5" s="48" t="s">
        <v>164</v>
      </c>
      <c r="M5" s="48" t="s">
        <v>91</v>
      </c>
      <c r="N5" s="52" t="s">
        <v>201</v>
      </c>
      <c r="O5" s="52">
        <v>1.4216666665161</v>
      </c>
      <c r="P5" s="55" t="s">
        <v>92</v>
      </c>
      <c r="Q5" s="48" t="s">
        <v>92</v>
      </c>
      <c r="R5" s="48" t="s">
        <v>92</v>
      </c>
      <c r="S5" s="53"/>
      <c r="T5" s="48" t="s">
        <v>18</v>
      </c>
      <c r="U5" s="48">
        <v>2</v>
      </c>
      <c r="V5" s="48" t="s">
        <v>795</v>
      </c>
    </row>
    <row r="6" spans="1:26" ht="21" hidden="1" customHeight="1">
      <c r="A6" s="48" t="s">
        <v>793</v>
      </c>
      <c r="B6" s="51"/>
      <c r="C6" s="47" t="s">
        <v>794</v>
      </c>
      <c r="D6" s="47" t="s">
        <v>164</v>
      </c>
      <c r="E6" s="47"/>
      <c r="F6" s="47" t="s">
        <v>164</v>
      </c>
      <c r="G6" s="48"/>
      <c r="H6" s="48" t="s">
        <v>164</v>
      </c>
      <c r="I6" s="48"/>
      <c r="J6" s="48" t="s">
        <v>164</v>
      </c>
      <c r="K6" s="48"/>
      <c r="L6" s="48" t="s">
        <v>164</v>
      </c>
      <c r="M6" s="48" t="s">
        <v>91</v>
      </c>
      <c r="N6" s="52" t="s">
        <v>201</v>
      </c>
      <c r="O6" s="52">
        <v>31.557222222327301</v>
      </c>
      <c r="P6" s="55" t="s">
        <v>92</v>
      </c>
      <c r="Q6" s="48" t="s">
        <v>92</v>
      </c>
      <c r="R6" s="48" t="s">
        <v>92</v>
      </c>
      <c r="S6" s="53"/>
      <c r="T6" s="48" t="s">
        <v>18</v>
      </c>
      <c r="U6" s="48">
        <v>3</v>
      </c>
      <c r="V6" s="48" t="s">
        <v>792</v>
      </c>
    </row>
    <row r="7" spans="1:26" ht="21" hidden="1" customHeight="1">
      <c r="A7" s="48" t="s">
        <v>790</v>
      </c>
      <c r="B7" s="51"/>
      <c r="C7" s="47" t="s">
        <v>791</v>
      </c>
      <c r="D7" s="47" t="s">
        <v>164</v>
      </c>
      <c r="E7" s="47"/>
      <c r="F7" s="47" t="s">
        <v>164</v>
      </c>
      <c r="G7" s="48"/>
      <c r="H7" s="48" t="s">
        <v>164</v>
      </c>
      <c r="I7" s="48"/>
      <c r="J7" s="48" t="s">
        <v>164</v>
      </c>
      <c r="K7" s="48"/>
      <c r="L7" s="48" t="s">
        <v>164</v>
      </c>
      <c r="M7" s="48" t="s">
        <v>91</v>
      </c>
      <c r="N7" s="52" t="s">
        <v>201</v>
      </c>
      <c r="O7" s="52">
        <v>0.92444444436114304</v>
      </c>
      <c r="P7" s="55" t="s">
        <v>92</v>
      </c>
      <c r="Q7" s="48" t="s">
        <v>92</v>
      </c>
      <c r="R7" s="48" t="s">
        <v>92</v>
      </c>
      <c r="S7" s="53"/>
      <c r="T7" s="48" t="s">
        <v>18</v>
      </c>
      <c r="U7" s="48">
        <v>4</v>
      </c>
      <c r="V7" s="48" t="s">
        <v>789</v>
      </c>
    </row>
    <row r="8" spans="1:26" ht="21" hidden="1" customHeight="1">
      <c r="A8" s="48" t="s">
        <v>787</v>
      </c>
      <c r="B8" s="51"/>
      <c r="C8" s="47" t="s">
        <v>788</v>
      </c>
      <c r="D8" s="47" t="s">
        <v>164</v>
      </c>
      <c r="E8" s="47"/>
      <c r="F8" s="47" t="s">
        <v>164</v>
      </c>
      <c r="G8" s="48"/>
      <c r="H8" s="48" t="s">
        <v>164</v>
      </c>
      <c r="I8" s="48"/>
      <c r="J8" s="48" t="s">
        <v>164</v>
      </c>
      <c r="K8" s="48"/>
      <c r="L8" s="48" t="s">
        <v>164</v>
      </c>
      <c r="M8" s="48" t="s">
        <v>91</v>
      </c>
      <c r="N8" s="52" t="s">
        <v>201</v>
      </c>
      <c r="O8" s="52">
        <v>4.8913888888782804</v>
      </c>
      <c r="P8" s="55" t="s">
        <v>92</v>
      </c>
      <c r="Q8" s="48" t="s">
        <v>92</v>
      </c>
      <c r="R8" s="48" t="s">
        <v>92</v>
      </c>
      <c r="S8" s="53"/>
      <c r="T8" s="48" t="s">
        <v>18</v>
      </c>
      <c r="U8" s="48">
        <v>5</v>
      </c>
      <c r="V8" s="48" t="s">
        <v>786</v>
      </c>
    </row>
    <row r="9" spans="1:26" ht="21" hidden="1" customHeight="1">
      <c r="A9" s="48" t="s">
        <v>775</v>
      </c>
      <c r="B9" s="51"/>
      <c r="C9" s="47" t="s">
        <v>776</v>
      </c>
      <c r="D9" s="47" t="s">
        <v>164</v>
      </c>
      <c r="E9" s="47"/>
      <c r="F9" s="47" t="s">
        <v>164</v>
      </c>
      <c r="G9" s="48"/>
      <c r="H9" s="48" t="s">
        <v>164</v>
      </c>
      <c r="I9" s="48"/>
      <c r="J9" s="48" t="s">
        <v>164</v>
      </c>
      <c r="K9" s="48"/>
      <c r="L9" s="48" t="s">
        <v>164</v>
      </c>
      <c r="M9" s="48" t="s">
        <v>91</v>
      </c>
      <c r="N9" s="52" t="s">
        <v>201</v>
      </c>
      <c r="O9" s="52">
        <v>27.2858333332697</v>
      </c>
      <c r="P9" s="55" t="s">
        <v>92</v>
      </c>
      <c r="Q9" s="48" t="s">
        <v>92</v>
      </c>
      <c r="R9" s="48" t="s">
        <v>92</v>
      </c>
      <c r="S9" s="53"/>
      <c r="T9" s="48" t="s">
        <v>18</v>
      </c>
      <c r="U9" s="48">
        <v>6</v>
      </c>
      <c r="V9" s="48" t="s">
        <v>774</v>
      </c>
    </row>
    <row r="10" spans="1:26" ht="21" hidden="1" customHeight="1">
      <c r="A10" s="48" t="s">
        <v>772</v>
      </c>
      <c r="B10" s="51"/>
      <c r="C10" s="47" t="s">
        <v>773</v>
      </c>
      <c r="D10" s="47" t="s">
        <v>164</v>
      </c>
      <c r="E10" s="47"/>
      <c r="F10" s="47" t="s">
        <v>164</v>
      </c>
      <c r="G10" s="48"/>
      <c r="H10" s="48" t="s">
        <v>164</v>
      </c>
      <c r="I10" s="48"/>
      <c r="J10" s="48" t="s">
        <v>164</v>
      </c>
      <c r="K10" s="48"/>
      <c r="L10" s="48" t="s">
        <v>164</v>
      </c>
      <c r="M10" s="48" t="s">
        <v>91</v>
      </c>
      <c r="N10" s="52">
        <v>6.4262514114379883</v>
      </c>
      <c r="O10" s="52">
        <v>17.389166666718701</v>
      </c>
      <c r="P10" s="55" t="s">
        <v>92</v>
      </c>
      <c r="Q10" s="52">
        <v>0.36899999999999999</v>
      </c>
      <c r="R10" s="55">
        <v>44175.539525462962</v>
      </c>
      <c r="S10" s="53"/>
      <c r="T10" s="48" t="s">
        <v>18</v>
      </c>
      <c r="U10" s="48">
        <v>7</v>
      </c>
      <c r="V10" s="48" t="s">
        <v>771</v>
      </c>
    </row>
    <row r="11" spans="1:26" ht="21" hidden="1" customHeight="1">
      <c r="A11" s="48" t="s">
        <v>766</v>
      </c>
      <c r="B11" s="51"/>
      <c r="C11" s="47" t="s">
        <v>767</v>
      </c>
      <c r="D11" s="47" t="s">
        <v>164</v>
      </c>
      <c r="E11" s="47"/>
      <c r="F11" s="47" t="s">
        <v>164</v>
      </c>
      <c r="G11" s="48"/>
      <c r="H11" s="48" t="s">
        <v>164</v>
      </c>
      <c r="I11" s="48"/>
      <c r="J11" s="48" t="s">
        <v>164</v>
      </c>
      <c r="K11" s="48"/>
      <c r="L11" s="48" t="s">
        <v>164</v>
      </c>
      <c r="M11" s="48" t="s">
        <v>91</v>
      </c>
      <c r="N11" s="52" t="s">
        <v>201</v>
      </c>
      <c r="O11" s="52">
        <v>2.1358333331882</v>
      </c>
      <c r="P11" s="55" t="s">
        <v>92</v>
      </c>
      <c r="Q11" s="48" t="s">
        <v>92</v>
      </c>
      <c r="R11" s="48" t="s">
        <v>92</v>
      </c>
      <c r="S11" s="53"/>
      <c r="T11" s="48" t="s">
        <v>18</v>
      </c>
      <c r="U11" s="48">
        <v>8</v>
      </c>
      <c r="V11" s="48" t="s">
        <v>765</v>
      </c>
    </row>
    <row r="12" spans="1:26" ht="21" hidden="1" customHeight="1">
      <c r="A12" s="48" t="s">
        <v>763</v>
      </c>
      <c r="B12" s="51"/>
      <c r="C12" s="47" t="s">
        <v>764</v>
      </c>
      <c r="D12" s="47" t="s">
        <v>164</v>
      </c>
      <c r="E12" s="47"/>
      <c r="F12" s="47" t="s">
        <v>164</v>
      </c>
      <c r="G12" s="48"/>
      <c r="H12" s="48" t="s">
        <v>164</v>
      </c>
      <c r="I12" s="48"/>
      <c r="J12" s="48" t="s">
        <v>164</v>
      </c>
      <c r="K12" s="48"/>
      <c r="L12" s="48" t="s">
        <v>164</v>
      </c>
      <c r="M12" s="48" t="s">
        <v>91</v>
      </c>
      <c r="N12" s="52">
        <v>14.564311027526855</v>
      </c>
      <c r="O12" s="52">
        <v>23.994444444368099</v>
      </c>
      <c r="P12" s="55" t="s">
        <v>92</v>
      </c>
      <c r="Q12" s="52">
        <v>25.785</v>
      </c>
      <c r="R12" s="55">
        <v>44184.579513888886</v>
      </c>
      <c r="S12" s="53"/>
      <c r="T12" s="48" t="s">
        <v>18</v>
      </c>
      <c r="U12" s="48">
        <v>9</v>
      </c>
      <c r="V12" s="48" t="s">
        <v>762</v>
      </c>
    </row>
    <row r="13" spans="1:26" ht="21" hidden="1" customHeight="1">
      <c r="A13" s="48" t="s">
        <v>760</v>
      </c>
      <c r="B13" s="51"/>
      <c r="C13" s="47" t="s">
        <v>761</v>
      </c>
      <c r="D13" s="47" t="s">
        <v>164</v>
      </c>
      <c r="E13" s="47"/>
      <c r="F13" s="47" t="s">
        <v>164</v>
      </c>
      <c r="G13" s="48"/>
      <c r="H13" s="48" t="s">
        <v>164</v>
      </c>
      <c r="I13" s="48"/>
      <c r="J13" s="48" t="s">
        <v>164</v>
      </c>
      <c r="K13" s="48"/>
      <c r="L13" s="48" t="s">
        <v>164</v>
      </c>
      <c r="M13" s="48" t="s">
        <v>91</v>
      </c>
      <c r="N13" s="52">
        <v>14.887521743774414</v>
      </c>
      <c r="O13" s="52">
        <v>23.334444444451901</v>
      </c>
      <c r="P13" s="55" t="s">
        <v>92</v>
      </c>
      <c r="Q13" s="52">
        <v>58.222000000000001</v>
      </c>
      <c r="R13" s="55">
        <v>44195.053506944445</v>
      </c>
      <c r="S13" s="53"/>
      <c r="T13" s="48" t="s">
        <v>18</v>
      </c>
      <c r="U13" s="48">
        <v>10</v>
      </c>
      <c r="V13" s="48" t="s">
        <v>759</v>
      </c>
    </row>
    <row r="14" spans="1:26" ht="21" hidden="1" customHeight="1">
      <c r="A14" s="48" t="s">
        <v>754</v>
      </c>
      <c r="B14" s="51"/>
      <c r="C14" s="47" t="s">
        <v>755</v>
      </c>
      <c r="D14" s="47" t="s">
        <v>164</v>
      </c>
      <c r="E14" s="47"/>
      <c r="F14" s="47" t="s">
        <v>164</v>
      </c>
      <c r="G14" s="48"/>
      <c r="H14" s="48" t="s">
        <v>164</v>
      </c>
      <c r="I14" s="48"/>
      <c r="J14" s="48" t="s">
        <v>164</v>
      </c>
      <c r="K14" s="48"/>
      <c r="L14" s="48" t="s">
        <v>164</v>
      </c>
      <c r="M14" s="48" t="s">
        <v>91</v>
      </c>
      <c r="N14" s="52" t="s">
        <v>201</v>
      </c>
      <c r="O14" s="52">
        <v>29.433611111075201</v>
      </c>
      <c r="P14" s="55" t="s">
        <v>92</v>
      </c>
      <c r="Q14" s="48" t="s">
        <v>92</v>
      </c>
      <c r="R14" s="48" t="s">
        <v>92</v>
      </c>
      <c r="S14" s="53"/>
      <c r="T14" s="48" t="s">
        <v>18</v>
      </c>
      <c r="U14" s="48">
        <v>11</v>
      </c>
      <c r="V14" s="48" t="s">
        <v>753</v>
      </c>
    </row>
    <row r="15" spans="1:26" ht="21" hidden="1" customHeight="1">
      <c r="A15" s="48" t="s">
        <v>736</v>
      </c>
      <c r="B15" s="51"/>
      <c r="C15" s="47" t="s">
        <v>737</v>
      </c>
      <c r="D15" s="47" t="s">
        <v>164</v>
      </c>
      <c r="E15" s="47"/>
      <c r="F15" s="47" t="s">
        <v>164</v>
      </c>
      <c r="G15" s="48"/>
      <c r="H15" s="48" t="s">
        <v>164</v>
      </c>
      <c r="I15" s="48"/>
      <c r="J15" s="48" t="s">
        <v>164</v>
      </c>
      <c r="K15" s="48"/>
      <c r="L15" s="48" t="s">
        <v>164</v>
      </c>
      <c r="M15" s="48" t="s">
        <v>91</v>
      </c>
      <c r="N15" s="52" t="s">
        <v>201</v>
      </c>
      <c r="O15" s="52">
        <v>3.37666666670702</v>
      </c>
      <c r="P15" s="55" t="s">
        <v>92</v>
      </c>
      <c r="Q15" s="48" t="s">
        <v>92</v>
      </c>
      <c r="R15" s="48" t="s">
        <v>92</v>
      </c>
      <c r="S15" s="53"/>
      <c r="T15" s="48" t="s">
        <v>18</v>
      </c>
      <c r="U15" s="48">
        <v>12</v>
      </c>
      <c r="V15" s="48" t="s">
        <v>735</v>
      </c>
    </row>
    <row r="16" spans="1:26" ht="21" hidden="1" customHeight="1">
      <c r="A16" s="48" t="s">
        <v>730</v>
      </c>
      <c r="B16" s="51"/>
      <c r="C16" s="47" t="s">
        <v>731</v>
      </c>
      <c r="D16" s="47" t="s">
        <v>164</v>
      </c>
      <c r="E16" s="47"/>
      <c r="F16" s="47" t="s">
        <v>164</v>
      </c>
      <c r="G16" s="48"/>
      <c r="H16" s="48" t="s">
        <v>164</v>
      </c>
      <c r="I16" s="48"/>
      <c r="J16" s="48" t="s">
        <v>164</v>
      </c>
      <c r="K16" s="48"/>
      <c r="L16" s="48" t="s">
        <v>164</v>
      </c>
      <c r="M16" s="48" t="s">
        <v>91</v>
      </c>
      <c r="N16" s="52">
        <v>2.3993444442749023</v>
      </c>
      <c r="O16" s="52">
        <v>21.007500000006999</v>
      </c>
      <c r="P16" s="55" t="s">
        <v>92</v>
      </c>
      <c r="Q16" s="52">
        <v>58.265500000000003</v>
      </c>
      <c r="R16" s="55">
        <v>44195.357604166667</v>
      </c>
      <c r="S16" s="53"/>
      <c r="T16" s="48" t="s">
        <v>18</v>
      </c>
      <c r="U16" s="48">
        <v>13</v>
      </c>
      <c r="V16" s="48" t="s">
        <v>729</v>
      </c>
    </row>
    <row r="17" spans="1:22" ht="21" hidden="1" customHeight="1">
      <c r="A17" s="48" t="s">
        <v>724</v>
      </c>
      <c r="B17" s="51"/>
      <c r="C17" s="47" t="s">
        <v>725</v>
      </c>
      <c r="D17" s="47" t="s">
        <v>164</v>
      </c>
      <c r="E17" s="47"/>
      <c r="F17" s="47" t="s">
        <v>164</v>
      </c>
      <c r="G17" s="48"/>
      <c r="H17" s="48" t="s">
        <v>164</v>
      </c>
      <c r="I17" s="48"/>
      <c r="J17" s="48" t="s">
        <v>164</v>
      </c>
      <c r="K17" s="48"/>
      <c r="L17" s="48" t="s">
        <v>164</v>
      </c>
      <c r="M17" s="48" t="s">
        <v>91</v>
      </c>
      <c r="N17" s="52">
        <v>3.8308649063110352</v>
      </c>
      <c r="O17" s="52">
        <v>11.484999999927799</v>
      </c>
      <c r="P17" s="55" t="s">
        <v>92</v>
      </c>
      <c r="Q17" s="52">
        <v>67.979500000000002</v>
      </c>
      <c r="R17" s="55">
        <v>44195.452534722222</v>
      </c>
      <c r="S17" s="53"/>
      <c r="T17" s="48" t="s">
        <v>18</v>
      </c>
      <c r="U17" s="48">
        <v>14</v>
      </c>
      <c r="V17" s="48" t="s">
        <v>723</v>
      </c>
    </row>
    <row r="18" spans="1:22" ht="21" hidden="1" customHeight="1">
      <c r="A18" s="48" t="s">
        <v>721</v>
      </c>
      <c r="B18" s="51"/>
      <c r="C18" s="47" t="s">
        <v>722</v>
      </c>
      <c r="D18" s="47" t="s">
        <v>164</v>
      </c>
      <c r="E18" s="47"/>
      <c r="F18" s="47" t="s">
        <v>164</v>
      </c>
      <c r="G18" s="48"/>
      <c r="H18" s="48" t="s">
        <v>164</v>
      </c>
      <c r="I18" s="48"/>
      <c r="J18" s="48" t="s">
        <v>164</v>
      </c>
      <c r="K18" s="48"/>
      <c r="L18" s="48" t="s">
        <v>164</v>
      </c>
      <c r="M18" s="48" t="s">
        <v>91</v>
      </c>
      <c r="N18" s="52" t="s">
        <v>201</v>
      </c>
      <c r="O18" s="52">
        <v>22.7283333332743</v>
      </c>
      <c r="P18" s="55" t="s">
        <v>92</v>
      </c>
      <c r="Q18" s="48" t="s">
        <v>92</v>
      </c>
      <c r="R18" s="48" t="s">
        <v>92</v>
      </c>
      <c r="S18" s="53"/>
      <c r="T18" s="48" t="s">
        <v>18</v>
      </c>
      <c r="U18" s="48">
        <v>15</v>
      </c>
      <c r="V18" s="48" t="s">
        <v>720</v>
      </c>
    </row>
    <row r="19" spans="1:22" ht="21" hidden="1" customHeight="1">
      <c r="A19" s="48" t="s">
        <v>712</v>
      </c>
      <c r="B19" s="51"/>
      <c r="C19" s="47" t="s">
        <v>713</v>
      </c>
      <c r="D19" s="47" t="s">
        <v>164</v>
      </c>
      <c r="E19" s="47"/>
      <c r="F19" s="47" t="s">
        <v>164</v>
      </c>
      <c r="G19" s="48"/>
      <c r="H19" s="48" t="s">
        <v>164</v>
      </c>
      <c r="I19" s="48"/>
      <c r="J19" s="48" t="s">
        <v>164</v>
      </c>
      <c r="K19" s="48"/>
      <c r="L19" s="48" t="s">
        <v>164</v>
      </c>
      <c r="M19" s="48" t="s">
        <v>91</v>
      </c>
      <c r="N19" s="52">
        <v>3.1652889251708984</v>
      </c>
      <c r="O19" s="52">
        <v>29.9100000000908</v>
      </c>
      <c r="P19" s="55" t="s">
        <v>92</v>
      </c>
      <c r="Q19" s="52">
        <v>71.927999999999997</v>
      </c>
      <c r="R19" s="55">
        <v>44195.452534722222</v>
      </c>
      <c r="S19" s="53"/>
      <c r="T19" s="48" t="s">
        <v>18</v>
      </c>
      <c r="U19" s="48">
        <v>16</v>
      </c>
      <c r="V19" s="48" t="s">
        <v>711</v>
      </c>
    </row>
    <row r="20" spans="1:22" ht="21" hidden="1" customHeight="1">
      <c r="A20" s="48" t="s">
        <v>709</v>
      </c>
      <c r="B20" s="51"/>
      <c r="C20" s="47" t="s">
        <v>710</v>
      </c>
      <c r="D20" s="47" t="s">
        <v>164</v>
      </c>
      <c r="E20" s="47"/>
      <c r="F20" s="47" t="s">
        <v>164</v>
      </c>
      <c r="G20" s="48"/>
      <c r="H20" s="48" t="s">
        <v>164</v>
      </c>
      <c r="I20" s="48"/>
      <c r="J20" s="48" t="s">
        <v>164</v>
      </c>
      <c r="K20" s="48"/>
      <c r="L20" s="48" t="s">
        <v>164</v>
      </c>
      <c r="M20" s="48" t="s">
        <v>91</v>
      </c>
      <c r="N20" s="52">
        <v>3.9208612442016602</v>
      </c>
      <c r="O20" s="52">
        <v>12.2574999999488</v>
      </c>
      <c r="P20" s="55" t="s">
        <v>92</v>
      </c>
      <c r="Q20" s="52">
        <v>82.55</v>
      </c>
      <c r="R20" s="55">
        <v>44196.017893518518</v>
      </c>
      <c r="S20" s="53"/>
      <c r="T20" s="48" t="s">
        <v>18</v>
      </c>
      <c r="U20" s="48">
        <v>17</v>
      </c>
      <c r="V20" s="48" t="s">
        <v>708</v>
      </c>
    </row>
    <row r="21" spans="1:22" ht="21" hidden="1" customHeight="1">
      <c r="A21" s="48" t="s">
        <v>706</v>
      </c>
      <c r="B21" s="51"/>
      <c r="C21" s="47" t="s">
        <v>707</v>
      </c>
      <c r="D21" s="47" t="s">
        <v>164</v>
      </c>
      <c r="E21" s="47"/>
      <c r="F21" s="47" t="s">
        <v>164</v>
      </c>
      <c r="G21" s="48"/>
      <c r="H21" s="48" t="s">
        <v>164</v>
      </c>
      <c r="I21" s="48"/>
      <c r="J21" s="48" t="s">
        <v>164</v>
      </c>
      <c r="K21" s="48"/>
      <c r="L21" s="48" t="s">
        <v>164</v>
      </c>
      <c r="M21" s="48" t="s">
        <v>91</v>
      </c>
      <c r="N21" s="52">
        <v>3.14666748046875</v>
      </c>
      <c r="O21" s="52">
        <v>15.9475000000675</v>
      </c>
      <c r="P21" s="55" t="s">
        <v>92</v>
      </c>
      <c r="Q21" s="52">
        <v>95.006499999999988</v>
      </c>
      <c r="R21" s="55">
        <v>44197.941354166665</v>
      </c>
      <c r="S21" s="53"/>
      <c r="T21" s="48" t="s">
        <v>18</v>
      </c>
      <c r="U21" s="48">
        <v>18</v>
      </c>
      <c r="V21" s="48" t="s">
        <v>705</v>
      </c>
    </row>
    <row r="22" spans="1:22" ht="21" hidden="1" customHeight="1">
      <c r="A22" s="48" t="s">
        <v>703</v>
      </c>
      <c r="B22" s="51"/>
      <c r="C22" s="47" t="s">
        <v>704</v>
      </c>
      <c r="D22" s="47" t="s">
        <v>164</v>
      </c>
      <c r="E22" s="47"/>
      <c r="F22" s="47" t="s">
        <v>164</v>
      </c>
      <c r="G22" s="48"/>
      <c r="H22" s="48" t="s">
        <v>164</v>
      </c>
      <c r="I22" s="48"/>
      <c r="J22" s="48" t="s">
        <v>164</v>
      </c>
      <c r="K22" s="48"/>
      <c r="L22" s="48" t="s">
        <v>164</v>
      </c>
      <c r="M22" s="48" t="s">
        <v>91</v>
      </c>
      <c r="N22" s="52">
        <v>1.6008100509643555</v>
      </c>
      <c r="O22" s="52">
        <v>12.525277777807799</v>
      </c>
      <c r="P22" s="55" t="s">
        <v>92</v>
      </c>
      <c r="Q22" s="52">
        <v>97.131</v>
      </c>
      <c r="R22" s="55">
        <v>44197.941354166665</v>
      </c>
      <c r="S22" s="53"/>
      <c r="T22" s="48" t="s">
        <v>18</v>
      </c>
      <c r="U22" s="48">
        <v>19</v>
      </c>
      <c r="V22" s="48" t="s">
        <v>702</v>
      </c>
    </row>
    <row r="23" spans="1:22" ht="21" hidden="1" customHeight="1">
      <c r="A23" s="48" t="s">
        <v>697</v>
      </c>
      <c r="B23" s="51"/>
      <c r="C23" s="47" t="s">
        <v>698</v>
      </c>
      <c r="D23" s="47" t="s">
        <v>164</v>
      </c>
      <c r="E23" s="47"/>
      <c r="F23" s="47" t="s">
        <v>164</v>
      </c>
      <c r="G23" s="48"/>
      <c r="H23" s="48" t="s">
        <v>164</v>
      </c>
      <c r="I23" s="48"/>
      <c r="J23" s="48" t="s">
        <v>164</v>
      </c>
      <c r="K23" s="48"/>
      <c r="L23" s="48" t="s">
        <v>164</v>
      </c>
      <c r="M23" s="48" t="s">
        <v>91</v>
      </c>
      <c r="N23" s="52">
        <v>12.418737411499023</v>
      </c>
      <c r="O23" s="52">
        <v>18.451944444445001</v>
      </c>
      <c r="P23" s="55" t="s">
        <v>92</v>
      </c>
      <c r="Q23" s="52">
        <v>131.01949999999999</v>
      </c>
      <c r="R23" s="55">
        <v>44207.573483796295</v>
      </c>
      <c r="S23" s="53"/>
      <c r="T23" s="48" t="s">
        <v>18</v>
      </c>
      <c r="U23" s="48">
        <v>20</v>
      </c>
      <c r="V23" s="48" t="s">
        <v>696</v>
      </c>
    </row>
    <row r="24" spans="1:22" ht="21" hidden="1" customHeight="1">
      <c r="A24" s="48" t="s">
        <v>694</v>
      </c>
      <c r="B24" s="51"/>
      <c r="C24" s="47" t="s">
        <v>695</v>
      </c>
      <c r="D24" s="47" t="s">
        <v>164</v>
      </c>
      <c r="E24" s="47"/>
      <c r="F24" s="47" t="s">
        <v>164</v>
      </c>
      <c r="G24" s="48"/>
      <c r="H24" s="48" t="s">
        <v>164</v>
      </c>
      <c r="I24" s="48"/>
      <c r="J24" s="48" t="s">
        <v>164</v>
      </c>
      <c r="K24" s="48"/>
      <c r="L24" s="48" t="s">
        <v>164</v>
      </c>
      <c r="M24" s="48" t="s">
        <v>91</v>
      </c>
      <c r="N24" s="52" t="s">
        <v>201</v>
      </c>
      <c r="O24" s="52">
        <v>21.479999999923201</v>
      </c>
      <c r="P24" s="55" t="s">
        <v>92</v>
      </c>
      <c r="Q24" s="48" t="s">
        <v>92</v>
      </c>
      <c r="R24" s="48" t="s">
        <v>92</v>
      </c>
      <c r="S24" s="53"/>
      <c r="T24" s="48" t="s">
        <v>18</v>
      </c>
      <c r="U24" s="48">
        <v>21</v>
      </c>
      <c r="V24" s="48" t="s">
        <v>693</v>
      </c>
    </row>
    <row r="25" spans="1:22" ht="21" hidden="1" customHeight="1">
      <c r="A25" s="48" t="s">
        <v>691</v>
      </c>
      <c r="B25" s="51"/>
      <c r="C25" s="47" t="s">
        <v>692</v>
      </c>
      <c r="D25" s="47" t="s">
        <v>164</v>
      </c>
      <c r="E25" s="47"/>
      <c r="F25" s="47" t="s">
        <v>164</v>
      </c>
      <c r="G25" s="48"/>
      <c r="H25" s="48" t="s">
        <v>164</v>
      </c>
      <c r="I25" s="48"/>
      <c r="J25" s="48" t="s">
        <v>164</v>
      </c>
      <c r="K25" s="48"/>
      <c r="L25" s="48" t="s">
        <v>164</v>
      </c>
      <c r="M25" s="48" t="s">
        <v>91</v>
      </c>
      <c r="N25" s="52">
        <v>5.751011848449707</v>
      </c>
      <c r="O25" s="52">
        <v>11.299999999988399</v>
      </c>
      <c r="P25" s="55" t="s">
        <v>92</v>
      </c>
      <c r="Q25" s="52">
        <v>141.09949999999998</v>
      </c>
      <c r="R25" s="55">
        <v>44208.697337962964</v>
      </c>
      <c r="S25" s="53"/>
      <c r="T25" s="48" t="s">
        <v>18</v>
      </c>
      <c r="U25" s="48">
        <v>22</v>
      </c>
      <c r="V25" s="48" t="s">
        <v>690</v>
      </c>
    </row>
    <row r="26" spans="1:22" ht="21" hidden="1" customHeight="1">
      <c r="A26" s="48" t="s">
        <v>688</v>
      </c>
      <c r="B26" s="51"/>
      <c r="C26" s="47" t="s">
        <v>689</v>
      </c>
      <c r="D26" s="47" t="s">
        <v>164</v>
      </c>
      <c r="E26" s="47"/>
      <c r="F26" s="47" t="s">
        <v>164</v>
      </c>
      <c r="G26" s="48"/>
      <c r="H26" s="48" t="s">
        <v>164</v>
      </c>
      <c r="I26" s="48"/>
      <c r="J26" s="48" t="s">
        <v>164</v>
      </c>
      <c r="K26" s="48"/>
      <c r="L26" s="48" t="s">
        <v>164</v>
      </c>
      <c r="M26" s="48" t="s">
        <v>91</v>
      </c>
      <c r="N26" s="52">
        <v>13.239345550537109</v>
      </c>
      <c r="O26" s="52">
        <v>19.571111111145001</v>
      </c>
      <c r="P26" s="55" t="s">
        <v>92</v>
      </c>
      <c r="Q26" s="52">
        <v>191.11399999999998</v>
      </c>
      <c r="R26" s="55">
        <v>44217.979421296295</v>
      </c>
      <c r="S26" s="53"/>
      <c r="T26" s="48" t="s">
        <v>18</v>
      </c>
      <c r="U26" s="48">
        <v>23</v>
      </c>
      <c r="V26" s="48" t="s">
        <v>687</v>
      </c>
    </row>
    <row r="27" spans="1:22" ht="21" hidden="1" customHeight="1">
      <c r="A27" s="48" t="s">
        <v>685</v>
      </c>
      <c r="B27" s="51"/>
      <c r="C27" s="47" t="s">
        <v>686</v>
      </c>
      <c r="D27" s="47" t="s">
        <v>164</v>
      </c>
      <c r="E27" s="47"/>
      <c r="F27" s="47" t="s">
        <v>164</v>
      </c>
      <c r="G27" s="48"/>
      <c r="H27" s="48" t="s">
        <v>164</v>
      </c>
      <c r="I27" s="48"/>
      <c r="J27" s="48" t="s">
        <v>164</v>
      </c>
      <c r="K27" s="48"/>
      <c r="L27" s="48" t="s">
        <v>164</v>
      </c>
      <c r="M27" s="48" t="s">
        <v>91</v>
      </c>
      <c r="N27" s="52">
        <v>15.689597129821777</v>
      </c>
      <c r="O27" s="52">
        <v>10.703611111035601</v>
      </c>
      <c r="P27" s="55" t="s">
        <v>92</v>
      </c>
      <c r="Q27" s="52">
        <v>237.63150000000002</v>
      </c>
      <c r="R27" s="55">
        <v>44223.766875000001</v>
      </c>
      <c r="S27" s="53"/>
      <c r="T27" s="48" t="s">
        <v>18</v>
      </c>
      <c r="U27" s="48">
        <v>24</v>
      </c>
      <c r="V27" s="48" t="s">
        <v>684</v>
      </c>
    </row>
    <row r="28" spans="1:22" ht="21" hidden="1" customHeight="1">
      <c r="A28" s="48" t="s">
        <v>682</v>
      </c>
      <c r="B28" s="51"/>
      <c r="C28" s="47" t="s">
        <v>683</v>
      </c>
      <c r="D28" s="47" t="s">
        <v>164</v>
      </c>
      <c r="E28" s="47"/>
      <c r="F28" s="47" t="s">
        <v>164</v>
      </c>
      <c r="G28" s="48"/>
      <c r="H28" s="48" t="s">
        <v>164</v>
      </c>
      <c r="I28" s="48"/>
      <c r="J28" s="48" t="s">
        <v>164</v>
      </c>
      <c r="K28" s="48"/>
      <c r="L28" s="48" t="s">
        <v>164</v>
      </c>
      <c r="M28" s="48" t="s">
        <v>91</v>
      </c>
      <c r="N28" s="52" t="s">
        <v>201</v>
      </c>
      <c r="O28" s="52">
        <v>25.161111110996</v>
      </c>
      <c r="P28" s="55" t="s">
        <v>92</v>
      </c>
      <c r="Q28" s="48" t="s">
        <v>92</v>
      </c>
      <c r="R28" s="48" t="s">
        <v>92</v>
      </c>
      <c r="S28" s="53"/>
      <c r="T28" s="48" t="s">
        <v>18</v>
      </c>
      <c r="U28" s="48">
        <v>25</v>
      </c>
      <c r="V28" s="48" t="s">
        <v>681</v>
      </c>
    </row>
    <row r="29" spans="1:22" ht="21" hidden="1" customHeight="1">
      <c r="A29" s="48" t="s">
        <v>679</v>
      </c>
      <c r="B29" s="51"/>
      <c r="C29" s="47" t="s">
        <v>680</v>
      </c>
      <c r="D29" s="47" t="s">
        <v>164</v>
      </c>
      <c r="E29" s="47"/>
      <c r="F29" s="47" t="s">
        <v>164</v>
      </c>
      <c r="G29" s="48"/>
      <c r="H29" s="48" t="s">
        <v>164</v>
      </c>
      <c r="I29" s="48"/>
      <c r="J29" s="48" t="s">
        <v>164</v>
      </c>
      <c r="K29" s="48"/>
      <c r="L29" s="48" t="s">
        <v>164</v>
      </c>
      <c r="M29" s="48" t="s">
        <v>91</v>
      </c>
      <c r="N29" s="52">
        <v>12.488985061645508</v>
      </c>
      <c r="O29" s="52">
        <v>25.2724999999045</v>
      </c>
      <c r="P29" s="55" t="s">
        <v>92</v>
      </c>
      <c r="Q29" s="52">
        <v>268.137</v>
      </c>
      <c r="R29" s="55">
        <v>44233.935011574074</v>
      </c>
      <c r="S29" s="53"/>
      <c r="T29" s="48" t="s">
        <v>18</v>
      </c>
      <c r="U29" s="48">
        <v>26</v>
      </c>
      <c r="V29" s="48" t="s">
        <v>678</v>
      </c>
    </row>
    <row r="30" spans="1:22" ht="21" hidden="1" customHeight="1">
      <c r="A30" s="48" t="s">
        <v>676</v>
      </c>
      <c r="B30" s="51"/>
      <c r="C30" s="47" t="s">
        <v>677</v>
      </c>
      <c r="D30" s="47" t="s">
        <v>164</v>
      </c>
      <c r="E30" s="47"/>
      <c r="F30" s="47" t="s">
        <v>164</v>
      </c>
      <c r="G30" s="48"/>
      <c r="H30" s="48" t="s">
        <v>164</v>
      </c>
      <c r="I30" s="48"/>
      <c r="J30" s="48" t="s">
        <v>164</v>
      </c>
      <c r="K30" s="48"/>
      <c r="L30" s="48" t="s">
        <v>164</v>
      </c>
      <c r="M30" s="48" t="s">
        <v>91</v>
      </c>
      <c r="N30" s="52" t="s">
        <v>201</v>
      </c>
      <c r="O30" s="52">
        <v>18.011666666774499</v>
      </c>
      <c r="P30" s="55" t="s">
        <v>92</v>
      </c>
      <c r="Q30" s="48" t="s">
        <v>92</v>
      </c>
      <c r="R30" s="48" t="s">
        <v>92</v>
      </c>
      <c r="S30" s="53"/>
      <c r="T30" s="48" t="s">
        <v>18</v>
      </c>
      <c r="U30" s="48">
        <v>27</v>
      </c>
      <c r="V30" s="48" t="s">
        <v>675</v>
      </c>
    </row>
    <row r="31" spans="1:22" ht="21" hidden="1" customHeight="1">
      <c r="A31" s="48" t="s">
        <v>670</v>
      </c>
      <c r="B31" s="51"/>
      <c r="C31" s="47" t="s">
        <v>671</v>
      </c>
      <c r="D31" s="47" t="s">
        <v>164</v>
      </c>
      <c r="E31" s="47"/>
      <c r="F31" s="47" t="s">
        <v>164</v>
      </c>
      <c r="G31" s="48"/>
      <c r="H31" s="48" t="s">
        <v>164</v>
      </c>
      <c r="I31" s="48"/>
      <c r="J31" s="48" t="s">
        <v>164</v>
      </c>
      <c r="K31" s="48"/>
      <c r="L31" s="48" t="s">
        <v>164</v>
      </c>
      <c r="M31" s="48" t="s">
        <v>91</v>
      </c>
      <c r="N31" s="52">
        <v>9.8081588745117188</v>
      </c>
      <c r="O31" s="52">
        <v>17.463055555592302</v>
      </c>
      <c r="P31" s="55" t="s">
        <v>92</v>
      </c>
      <c r="Q31" s="52">
        <v>315.07400000000001</v>
      </c>
      <c r="R31" s="55">
        <v>44238.386099537034</v>
      </c>
      <c r="S31" s="53"/>
      <c r="T31" s="48" t="s">
        <v>18</v>
      </c>
      <c r="U31" s="48">
        <v>28</v>
      </c>
      <c r="V31" s="48" t="s">
        <v>669</v>
      </c>
    </row>
    <row r="32" spans="1:22" ht="21" hidden="1" customHeight="1">
      <c r="A32" s="48" t="s">
        <v>667</v>
      </c>
      <c r="B32" s="51"/>
      <c r="C32" s="47" t="s">
        <v>668</v>
      </c>
      <c r="D32" s="47" t="s">
        <v>164</v>
      </c>
      <c r="E32" s="47"/>
      <c r="F32" s="47" t="s">
        <v>164</v>
      </c>
      <c r="G32" s="48"/>
      <c r="H32" s="48" t="s">
        <v>164</v>
      </c>
      <c r="I32" s="48"/>
      <c r="J32" s="48" t="s">
        <v>164</v>
      </c>
      <c r="K32" s="48"/>
      <c r="L32" s="48" t="s">
        <v>164</v>
      </c>
      <c r="M32" s="48" t="s">
        <v>91</v>
      </c>
      <c r="N32" s="52">
        <v>5.9490995407104492</v>
      </c>
      <c r="O32" s="52">
        <v>23.482500000041899</v>
      </c>
      <c r="P32" s="55" t="s">
        <v>92</v>
      </c>
      <c r="Q32" s="52">
        <v>329.87149999999997</v>
      </c>
      <c r="R32" s="55">
        <v>44240.500208333331</v>
      </c>
      <c r="S32" s="53"/>
      <c r="T32" s="48" t="s">
        <v>18</v>
      </c>
      <c r="U32" s="48">
        <v>29</v>
      </c>
      <c r="V32" s="48" t="s">
        <v>666</v>
      </c>
    </row>
    <row r="33" spans="1:22" ht="21" hidden="1" customHeight="1">
      <c r="A33" s="48" t="s">
        <v>664</v>
      </c>
      <c r="B33" s="51"/>
      <c r="C33" s="47" t="s">
        <v>665</v>
      </c>
      <c r="D33" s="47" t="s">
        <v>164</v>
      </c>
      <c r="E33" s="47"/>
      <c r="F33" s="47" t="s">
        <v>164</v>
      </c>
      <c r="G33" s="48"/>
      <c r="H33" s="48" t="s">
        <v>164</v>
      </c>
      <c r="I33" s="48"/>
      <c r="J33" s="48" t="s">
        <v>164</v>
      </c>
      <c r="K33" s="48"/>
      <c r="L33" s="48" t="s">
        <v>164</v>
      </c>
      <c r="M33" s="48" t="s">
        <v>91</v>
      </c>
      <c r="N33" s="52" t="s">
        <v>201</v>
      </c>
      <c r="O33" s="52">
        <v>17.737777777772902</v>
      </c>
      <c r="P33" s="55" t="s">
        <v>92</v>
      </c>
      <c r="Q33" s="48" t="s">
        <v>92</v>
      </c>
      <c r="R33" s="48" t="s">
        <v>92</v>
      </c>
      <c r="S33" s="53"/>
      <c r="T33" s="48" t="s">
        <v>18</v>
      </c>
      <c r="U33" s="48">
        <v>30</v>
      </c>
      <c r="V33" s="48" t="s">
        <v>663</v>
      </c>
    </row>
    <row r="34" spans="1:22" ht="21" hidden="1" customHeight="1">
      <c r="A34" s="48" t="s">
        <v>661</v>
      </c>
      <c r="B34" s="51"/>
      <c r="C34" s="47" t="s">
        <v>662</v>
      </c>
      <c r="D34" s="47" t="s">
        <v>164</v>
      </c>
      <c r="E34" s="47"/>
      <c r="F34" s="47" t="s">
        <v>164</v>
      </c>
      <c r="G34" s="48"/>
      <c r="H34" s="48" t="s">
        <v>164</v>
      </c>
      <c r="I34" s="48"/>
      <c r="J34" s="48" t="s">
        <v>164</v>
      </c>
      <c r="K34" s="48"/>
      <c r="L34" s="48" t="s">
        <v>164</v>
      </c>
      <c r="M34" s="48" t="s">
        <v>91</v>
      </c>
      <c r="N34" s="52">
        <v>5.3246746063232422</v>
      </c>
      <c r="O34" s="52">
        <v>13.1255555555108</v>
      </c>
      <c r="P34" s="55" t="s">
        <v>92</v>
      </c>
      <c r="Q34" s="52">
        <v>351.04899999999998</v>
      </c>
      <c r="R34" s="55">
        <v>44247.352650462963</v>
      </c>
      <c r="S34" s="53"/>
      <c r="T34" s="48" t="s">
        <v>18</v>
      </c>
      <c r="U34" s="48">
        <v>31</v>
      </c>
      <c r="V34" s="48" t="s">
        <v>660</v>
      </c>
    </row>
    <row r="35" spans="1:22" ht="21" hidden="1" customHeight="1">
      <c r="A35" s="48" t="s">
        <v>658</v>
      </c>
      <c r="B35" s="51"/>
      <c r="C35" s="47" t="s">
        <v>659</v>
      </c>
      <c r="D35" s="47" t="s">
        <v>164</v>
      </c>
      <c r="E35" s="47"/>
      <c r="F35" s="47" t="s">
        <v>164</v>
      </c>
      <c r="G35" s="48"/>
      <c r="H35" s="48" t="s">
        <v>164</v>
      </c>
      <c r="I35" s="48"/>
      <c r="J35" s="48" t="s">
        <v>164</v>
      </c>
      <c r="K35" s="48"/>
      <c r="L35" s="48" t="s">
        <v>164</v>
      </c>
      <c r="M35" s="48" t="s">
        <v>91</v>
      </c>
      <c r="N35" s="52">
        <v>0.60286045074462891</v>
      </c>
      <c r="O35" s="52">
        <v>19.649722222122399</v>
      </c>
      <c r="P35" s="55" t="s">
        <v>92</v>
      </c>
      <c r="Q35" s="52">
        <v>351.04899999999998</v>
      </c>
      <c r="R35" s="55">
        <v>44247.352650462963</v>
      </c>
      <c r="S35" s="53"/>
      <c r="T35" s="48" t="s">
        <v>18</v>
      </c>
      <c r="U35" s="48">
        <v>32</v>
      </c>
      <c r="V35" s="48" t="s">
        <v>657</v>
      </c>
    </row>
    <row r="36" spans="1:22" ht="21" hidden="1" customHeight="1">
      <c r="A36" s="48" t="s">
        <v>655</v>
      </c>
      <c r="B36" s="51"/>
      <c r="C36" s="47" t="s">
        <v>656</v>
      </c>
      <c r="D36" s="47" t="s">
        <v>164</v>
      </c>
      <c r="E36" s="47"/>
      <c r="F36" s="47" t="s">
        <v>164</v>
      </c>
      <c r="G36" s="48"/>
      <c r="H36" s="48" t="s">
        <v>164</v>
      </c>
      <c r="I36" s="48"/>
      <c r="J36" s="48" t="s">
        <v>164</v>
      </c>
      <c r="K36" s="48"/>
      <c r="L36" s="48" t="s">
        <v>164</v>
      </c>
      <c r="M36" s="48" t="s">
        <v>91</v>
      </c>
      <c r="N36" s="52" t="s">
        <v>201</v>
      </c>
      <c r="O36" s="52">
        <v>15.2805555554805</v>
      </c>
      <c r="P36" s="55" t="s">
        <v>92</v>
      </c>
      <c r="Q36" s="48" t="s">
        <v>92</v>
      </c>
      <c r="R36" s="48" t="s">
        <v>92</v>
      </c>
      <c r="S36" s="53"/>
      <c r="T36" s="48" t="s">
        <v>18</v>
      </c>
      <c r="U36" s="48">
        <v>33</v>
      </c>
      <c r="V36" s="48" t="s">
        <v>654</v>
      </c>
    </row>
    <row r="37" spans="1:22" ht="21" hidden="1" customHeight="1">
      <c r="A37" s="48" t="s">
        <v>646</v>
      </c>
      <c r="B37" s="51"/>
      <c r="C37" s="47" t="s">
        <v>647</v>
      </c>
      <c r="D37" s="47" t="s">
        <v>164</v>
      </c>
      <c r="E37" s="47"/>
      <c r="F37" s="47" t="s">
        <v>164</v>
      </c>
      <c r="G37" s="48"/>
      <c r="H37" s="48" t="s">
        <v>164</v>
      </c>
      <c r="I37" s="48"/>
      <c r="J37" s="48" t="s">
        <v>164</v>
      </c>
      <c r="K37" s="48"/>
      <c r="L37" s="48" t="s">
        <v>164</v>
      </c>
      <c r="M37" s="48" t="s">
        <v>91</v>
      </c>
      <c r="N37" s="52">
        <v>9.9641094207763672</v>
      </c>
      <c r="O37" s="52">
        <v>27.851388889015698</v>
      </c>
      <c r="P37" s="55" t="s">
        <v>92</v>
      </c>
      <c r="Q37" s="52">
        <v>375.30399999999997</v>
      </c>
      <c r="R37" s="55">
        <v>44248.663715277777</v>
      </c>
      <c r="S37" s="53"/>
      <c r="T37" s="48" t="s">
        <v>18</v>
      </c>
      <c r="U37" s="48">
        <v>34</v>
      </c>
      <c r="V37" s="48" t="s">
        <v>645</v>
      </c>
    </row>
    <row r="38" spans="1:22" ht="21" hidden="1" customHeight="1">
      <c r="A38" s="48" t="s">
        <v>643</v>
      </c>
      <c r="B38" s="51"/>
      <c r="C38" s="47" t="s">
        <v>644</v>
      </c>
      <c r="D38" s="47" t="s">
        <v>164</v>
      </c>
      <c r="E38" s="47"/>
      <c r="F38" s="47" t="s">
        <v>164</v>
      </c>
      <c r="G38" s="48"/>
      <c r="H38" s="48" t="s">
        <v>164</v>
      </c>
      <c r="I38" s="48"/>
      <c r="J38" s="48" t="s">
        <v>164</v>
      </c>
      <c r="K38" s="48"/>
      <c r="L38" s="48" t="s">
        <v>164</v>
      </c>
      <c r="M38" s="48" t="s">
        <v>91</v>
      </c>
      <c r="N38" s="52">
        <v>2.0954446792602539</v>
      </c>
      <c r="O38" s="52">
        <v>12.5066666665371</v>
      </c>
      <c r="P38" s="55" t="s">
        <v>92</v>
      </c>
      <c r="Q38" s="52">
        <v>380.30449999999996</v>
      </c>
      <c r="R38" s="55">
        <v>44249.042743055557</v>
      </c>
      <c r="S38" s="53"/>
      <c r="T38" s="48" t="s">
        <v>18</v>
      </c>
      <c r="U38" s="48">
        <v>35</v>
      </c>
      <c r="V38" s="48" t="s">
        <v>642</v>
      </c>
    </row>
    <row r="39" spans="1:22" ht="21" hidden="1" customHeight="1">
      <c r="A39" s="48" t="s">
        <v>640</v>
      </c>
      <c r="B39" s="51"/>
      <c r="C39" s="47" t="s">
        <v>641</v>
      </c>
      <c r="D39" s="47" t="s">
        <v>164</v>
      </c>
      <c r="E39" s="47"/>
      <c r="F39" s="47" t="s">
        <v>164</v>
      </c>
      <c r="G39" s="48"/>
      <c r="H39" s="48" t="s">
        <v>164</v>
      </c>
      <c r="I39" s="48"/>
      <c r="J39" s="48" t="s">
        <v>164</v>
      </c>
      <c r="K39" s="48"/>
      <c r="L39" s="48" t="s">
        <v>164</v>
      </c>
      <c r="M39" s="48" t="s">
        <v>91</v>
      </c>
      <c r="N39" s="52">
        <v>8.1834640502929688</v>
      </c>
      <c r="O39" s="52">
        <v>13.8361111111008</v>
      </c>
      <c r="P39" s="55" t="s">
        <v>92</v>
      </c>
      <c r="Q39" s="52">
        <v>390.577</v>
      </c>
      <c r="R39" s="55">
        <v>44251.171782407408</v>
      </c>
      <c r="S39" s="53"/>
      <c r="T39" s="48" t="s">
        <v>18</v>
      </c>
      <c r="U39" s="48">
        <v>36</v>
      </c>
      <c r="V39" s="48" t="s">
        <v>639</v>
      </c>
    </row>
    <row r="40" spans="1:22" ht="21" hidden="1" customHeight="1">
      <c r="A40" s="48" t="s">
        <v>637</v>
      </c>
      <c r="B40" s="51"/>
      <c r="C40" s="47" t="s">
        <v>638</v>
      </c>
      <c r="D40" s="47" t="s">
        <v>164</v>
      </c>
      <c r="E40" s="47"/>
      <c r="F40" s="47" t="s">
        <v>164</v>
      </c>
      <c r="G40" s="48"/>
      <c r="H40" s="48" t="s">
        <v>164</v>
      </c>
      <c r="I40" s="48"/>
      <c r="J40" s="48" t="s">
        <v>164</v>
      </c>
      <c r="K40" s="48"/>
      <c r="L40" s="48" t="s">
        <v>164</v>
      </c>
      <c r="M40" s="48" t="s">
        <v>91</v>
      </c>
      <c r="N40" s="52">
        <v>4.6151762008666992</v>
      </c>
      <c r="O40" s="52">
        <v>29.6111111111823</v>
      </c>
      <c r="P40" s="55" t="s">
        <v>92</v>
      </c>
      <c r="Q40" s="52">
        <v>396.59649999999999</v>
      </c>
      <c r="R40" s="55">
        <v>44251.515717592592</v>
      </c>
      <c r="S40" s="53"/>
      <c r="T40" s="48" t="s">
        <v>18</v>
      </c>
      <c r="U40" s="48">
        <v>37</v>
      </c>
      <c r="V40" s="48" t="s">
        <v>636</v>
      </c>
    </row>
    <row r="41" spans="1:22" ht="21" hidden="1" customHeight="1">
      <c r="A41" s="48" t="s">
        <v>634</v>
      </c>
      <c r="B41" s="51"/>
      <c r="C41" s="47" t="s">
        <v>635</v>
      </c>
      <c r="D41" s="47" t="s">
        <v>164</v>
      </c>
      <c r="E41" s="47"/>
      <c r="F41" s="47" t="s">
        <v>164</v>
      </c>
      <c r="G41" s="48"/>
      <c r="H41" s="48" t="s">
        <v>164</v>
      </c>
      <c r="I41" s="48"/>
      <c r="J41" s="48" t="s">
        <v>164</v>
      </c>
      <c r="K41" s="48"/>
      <c r="L41" s="48" t="s">
        <v>164</v>
      </c>
      <c r="M41" s="48" t="s">
        <v>91</v>
      </c>
      <c r="N41" s="52">
        <v>15.726625442504883</v>
      </c>
      <c r="O41" s="52">
        <v>19.534166666620902</v>
      </c>
      <c r="P41" s="55" t="s">
        <v>92</v>
      </c>
      <c r="Q41" s="52">
        <v>437.73649999999998</v>
      </c>
      <c r="R41" s="55">
        <v>44260.038912037038</v>
      </c>
      <c r="S41" s="53"/>
      <c r="T41" s="48" t="s">
        <v>18</v>
      </c>
      <c r="U41" s="48">
        <v>38</v>
      </c>
      <c r="V41" s="48" t="s">
        <v>633</v>
      </c>
    </row>
    <row r="42" spans="1:22" ht="21" hidden="1" customHeight="1">
      <c r="A42" s="48" t="s">
        <v>631</v>
      </c>
      <c r="B42" s="51"/>
      <c r="C42" s="47" t="s">
        <v>632</v>
      </c>
      <c r="D42" s="47" t="s">
        <v>164</v>
      </c>
      <c r="E42" s="47"/>
      <c r="F42" s="47" t="s">
        <v>164</v>
      </c>
      <c r="G42" s="48"/>
      <c r="H42" s="48" t="s">
        <v>164</v>
      </c>
      <c r="I42" s="48"/>
      <c r="J42" s="48" t="s">
        <v>164</v>
      </c>
      <c r="K42" s="48"/>
      <c r="L42" s="48" t="s">
        <v>164</v>
      </c>
      <c r="M42" s="48" t="s">
        <v>91</v>
      </c>
      <c r="N42" s="52">
        <v>8.574131965637207</v>
      </c>
      <c r="O42" s="52">
        <v>28.1111111111823</v>
      </c>
      <c r="P42" s="55" t="s">
        <v>92</v>
      </c>
      <c r="Q42" s="52">
        <v>455.7165</v>
      </c>
      <c r="R42" s="55">
        <v>44265.043402777781</v>
      </c>
      <c r="S42" s="53"/>
      <c r="T42" s="48" t="s">
        <v>18</v>
      </c>
      <c r="U42" s="48">
        <v>39</v>
      </c>
      <c r="V42" s="48" t="s">
        <v>630</v>
      </c>
    </row>
    <row r="43" spans="1:22" ht="21" hidden="1" customHeight="1">
      <c r="A43" s="48" t="s">
        <v>625</v>
      </c>
      <c r="B43" s="51"/>
      <c r="C43" s="47" t="s">
        <v>626</v>
      </c>
      <c r="D43" s="47" t="s">
        <v>164</v>
      </c>
      <c r="E43" s="47"/>
      <c r="F43" s="47" t="s">
        <v>164</v>
      </c>
      <c r="G43" s="48"/>
      <c r="H43" s="48" t="s">
        <v>164</v>
      </c>
      <c r="I43" s="48"/>
      <c r="J43" s="48" t="s">
        <v>164</v>
      </c>
      <c r="K43" s="48"/>
      <c r="L43" s="48" t="s">
        <v>164</v>
      </c>
      <c r="M43" s="48" t="s">
        <v>91</v>
      </c>
      <c r="N43" s="52" t="s">
        <v>201</v>
      </c>
      <c r="O43" s="52">
        <v>0.26500000013038499</v>
      </c>
      <c r="P43" s="55" t="s">
        <v>92</v>
      </c>
      <c r="Q43" s="48" t="s">
        <v>92</v>
      </c>
      <c r="R43" s="48" t="s">
        <v>92</v>
      </c>
      <c r="S43" s="53"/>
      <c r="T43" s="48" t="s">
        <v>18</v>
      </c>
      <c r="U43" s="48">
        <v>40</v>
      </c>
      <c r="V43" s="48" t="s">
        <v>624</v>
      </c>
    </row>
    <row r="44" spans="1:22" ht="21" hidden="1" customHeight="1">
      <c r="A44" s="48" t="s">
        <v>622</v>
      </c>
      <c r="B44" s="51"/>
      <c r="C44" s="47" t="s">
        <v>623</v>
      </c>
      <c r="D44" s="47" t="s">
        <v>164</v>
      </c>
      <c r="E44" s="47"/>
      <c r="F44" s="47" t="s">
        <v>164</v>
      </c>
      <c r="G44" s="48"/>
      <c r="H44" s="48" t="s">
        <v>164</v>
      </c>
      <c r="I44" s="48"/>
      <c r="J44" s="48" t="s">
        <v>164</v>
      </c>
      <c r="K44" s="48"/>
      <c r="L44" s="48" t="s">
        <v>164</v>
      </c>
      <c r="M44" s="48" t="s">
        <v>91</v>
      </c>
      <c r="N44" s="52">
        <v>13.736178398132324</v>
      </c>
      <c r="O44" s="52">
        <v>31.6975000000675</v>
      </c>
      <c r="P44" s="55" t="s">
        <v>92</v>
      </c>
      <c r="Q44" s="52">
        <v>494.298</v>
      </c>
      <c r="R44" s="55">
        <v>44265.576597222222</v>
      </c>
      <c r="S44" s="53"/>
      <c r="T44" s="48" t="s">
        <v>18</v>
      </c>
      <c r="U44" s="48">
        <v>41</v>
      </c>
      <c r="V44" s="48" t="s">
        <v>621</v>
      </c>
    </row>
    <row r="45" spans="1:22" ht="21" hidden="1" customHeight="1">
      <c r="A45" s="48" t="s">
        <v>619</v>
      </c>
      <c r="B45" s="51"/>
      <c r="C45" s="47" t="s">
        <v>620</v>
      </c>
      <c r="D45" s="47" t="s">
        <v>164</v>
      </c>
      <c r="E45" s="47"/>
      <c r="F45" s="47" t="s">
        <v>164</v>
      </c>
      <c r="G45" s="48"/>
      <c r="H45" s="48" t="s">
        <v>164</v>
      </c>
      <c r="I45" s="48"/>
      <c r="J45" s="48" t="s">
        <v>164</v>
      </c>
      <c r="K45" s="48"/>
      <c r="L45" s="48" t="s">
        <v>164</v>
      </c>
      <c r="M45" s="48" t="s">
        <v>91</v>
      </c>
      <c r="N45" s="52" t="s">
        <v>201</v>
      </c>
      <c r="O45" s="52">
        <v>9.4702777778729796</v>
      </c>
      <c r="P45" s="55" t="s">
        <v>92</v>
      </c>
      <c r="Q45" s="48" t="s">
        <v>92</v>
      </c>
      <c r="R45" s="48" t="s">
        <v>92</v>
      </c>
      <c r="S45" s="53"/>
      <c r="T45" s="48" t="s">
        <v>18</v>
      </c>
      <c r="U45" s="48">
        <v>42</v>
      </c>
      <c r="V45" s="48" t="s">
        <v>618</v>
      </c>
    </row>
    <row r="46" spans="1:22" ht="21" hidden="1" customHeight="1">
      <c r="A46" s="48" t="s">
        <v>616</v>
      </c>
      <c r="B46" s="51"/>
      <c r="C46" s="47" t="s">
        <v>617</v>
      </c>
      <c r="D46" s="47" t="s">
        <v>164</v>
      </c>
      <c r="E46" s="47"/>
      <c r="F46" s="47" t="s">
        <v>164</v>
      </c>
      <c r="G46" s="48"/>
      <c r="H46" s="48" t="s">
        <v>164</v>
      </c>
      <c r="I46" s="48"/>
      <c r="J46" s="48" t="s">
        <v>164</v>
      </c>
      <c r="K46" s="48"/>
      <c r="L46" s="48" t="s">
        <v>164</v>
      </c>
      <c r="M46" s="48" t="s">
        <v>91</v>
      </c>
      <c r="N46" s="52">
        <v>5.1160259246826172</v>
      </c>
      <c r="O46" s="52">
        <v>10.064999999944099</v>
      </c>
      <c r="P46" s="55" t="s">
        <v>92</v>
      </c>
      <c r="Q46" s="52">
        <v>502.71849999999995</v>
      </c>
      <c r="R46" s="55">
        <v>44270.169861111113</v>
      </c>
      <c r="S46" s="53"/>
      <c r="T46" s="48" t="s">
        <v>18</v>
      </c>
      <c r="U46" s="48">
        <v>43</v>
      </c>
      <c r="V46" s="48" t="s">
        <v>615</v>
      </c>
    </row>
    <row r="47" spans="1:22" ht="21" hidden="1" customHeight="1">
      <c r="A47" s="48" t="s">
        <v>613</v>
      </c>
      <c r="B47" s="51"/>
      <c r="C47" s="47" t="s">
        <v>614</v>
      </c>
      <c r="D47" s="47" t="s">
        <v>164</v>
      </c>
      <c r="E47" s="47"/>
      <c r="F47" s="47" t="s">
        <v>164</v>
      </c>
      <c r="G47" s="48"/>
      <c r="H47" s="48" t="s">
        <v>164</v>
      </c>
      <c r="I47" s="48"/>
      <c r="J47" s="48" t="s">
        <v>164</v>
      </c>
      <c r="K47" s="48"/>
      <c r="L47" s="48" t="s">
        <v>164</v>
      </c>
      <c r="M47" s="48" t="s">
        <v>91</v>
      </c>
      <c r="N47" s="52">
        <v>11.374558448791504</v>
      </c>
      <c r="O47" s="52">
        <v>18.457222222234101</v>
      </c>
      <c r="P47" s="55" t="s">
        <v>92</v>
      </c>
      <c r="Q47" s="52">
        <v>544.15300000000002</v>
      </c>
      <c r="R47" s="55">
        <v>44276.114583333336</v>
      </c>
      <c r="S47" s="53"/>
      <c r="T47" s="48" t="s">
        <v>18</v>
      </c>
      <c r="U47" s="48">
        <v>44</v>
      </c>
      <c r="V47" s="48" t="s">
        <v>612</v>
      </c>
    </row>
    <row r="48" spans="1:22" ht="21" hidden="1" customHeight="1">
      <c r="A48" s="48" t="s">
        <v>607</v>
      </c>
      <c r="B48" s="51"/>
      <c r="C48" s="47" t="s">
        <v>608</v>
      </c>
      <c r="D48" s="47" t="s">
        <v>164</v>
      </c>
      <c r="E48" s="47"/>
      <c r="F48" s="47" t="s">
        <v>164</v>
      </c>
      <c r="G48" s="48"/>
      <c r="H48" s="48" t="s">
        <v>164</v>
      </c>
      <c r="I48" s="48"/>
      <c r="J48" s="48" t="s">
        <v>164</v>
      </c>
      <c r="K48" s="48"/>
      <c r="L48" s="48" t="s">
        <v>164</v>
      </c>
      <c r="M48" s="48" t="s">
        <v>91</v>
      </c>
      <c r="N48" s="52">
        <v>13.115969657897949</v>
      </c>
      <c r="O48" s="52">
        <v>14.231388888903901</v>
      </c>
      <c r="P48" s="55" t="s">
        <v>92</v>
      </c>
      <c r="Q48" s="52">
        <v>595.8075</v>
      </c>
      <c r="R48" s="55">
        <v>44279.48332175926</v>
      </c>
      <c r="S48" s="53"/>
      <c r="T48" s="48" t="s">
        <v>18</v>
      </c>
      <c r="U48" s="48">
        <v>45</v>
      </c>
      <c r="V48" s="48" t="s">
        <v>606</v>
      </c>
    </row>
    <row r="49" spans="1:22" ht="21" hidden="1" customHeight="1">
      <c r="A49" s="48" t="s">
        <v>604</v>
      </c>
      <c r="B49" s="51"/>
      <c r="C49" s="47" t="s">
        <v>605</v>
      </c>
      <c r="D49" s="47" t="s">
        <v>164</v>
      </c>
      <c r="E49" s="47"/>
      <c r="F49" s="47" t="s">
        <v>164</v>
      </c>
      <c r="G49" s="48"/>
      <c r="H49" s="48" t="s">
        <v>164</v>
      </c>
      <c r="I49" s="48"/>
      <c r="J49" s="48" t="s">
        <v>164</v>
      </c>
      <c r="K49" s="48"/>
      <c r="L49" s="48" t="s">
        <v>164</v>
      </c>
      <c r="M49" s="48" t="s">
        <v>91</v>
      </c>
      <c r="N49" s="52" t="s">
        <v>201</v>
      </c>
      <c r="O49" s="52">
        <v>22.59638888872</v>
      </c>
      <c r="P49" s="55" t="s">
        <v>92</v>
      </c>
      <c r="Q49" s="48" t="s">
        <v>92</v>
      </c>
      <c r="R49" s="48" t="s">
        <v>92</v>
      </c>
      <c r="S49" s="53"/>
      <c r="T49" s="48" t="s">
        <v>18</v>
      </c>
      <c r="U49" s="48">
        <v>46</v>
      </c>
      <c r="V49" s="48" t="s">
        <v>603</v>
      </c>
    </row>
    <row r="50" spans="1:22" ht="21" hidden="1" customHeight="1">
      <c r="A50" s="48" t="s">
        <v>601</v>
      </c>
      <c r="B50" s="51"/>
      <c r="C50" s="47" t="s">
        <v>602</v>
      </c>
      <c r="D50" s="47" t="s">
        <v>164</v>
      </c>
      <c r="E50" s="47"/>
      <c r="F50" s="47" t="s">
        <v>164</v>
      </c>
      <c r="G50" s="48"/>
      <c r="H50" s="48" t="s">
        <v>164</v>
      </c>
      <c r="I50" s="48"/>
      <c r="J50" s="48" t="s">
        <v>164</v>
      </c>
      <c r="K50" s="48"/>
      <c r="L50" s="48" t="s">
        <v>164</v>
      </c>
      <c r="M50" s="48" t="s">
        <v>91</v>
      </c>
      <c r="N50" s="52">
        <v>1.3064861297607422</v>
      </c>
      <c r="O50" s="52">
        <v>27.984722222259698</v>
      </c>
      <c r="P50" s="55" t="s">
        <v>92</v>
      </c>
      <c r="Q50" s="52">
        <v>595.8075</v>
      </c>
      <c r="R50" s="55">
        <v>44279.48332175926</v>
      </c>
      <c r="S50" s="53"/>
      <c r="T50" s="48" t="s">
        <v>18</v>
      </c>
      <c r="U50" s="48">
        <v>47</v>
      </c>
      <c r="V50" s="48" t="s">
        <v>600</v>
      </c>
    </row>
    <row r="51" spans="1:22" ht="21" hidden="1" customHeight="1">
      <c r="A51" s="48" t="s">
        <v>598</v>
      </c>
      <c r="B51" s="51"/>
      <c r="C51" s="47" t="s">
        <v>599</v>
      </c>
      <c r="D51" s="47" t="s">
        <v>164</v>
      </c>
      <c r="E51" s="47"/>
      <c r="F51" s="47" t="s">
        <v>164</v>
      </c>
      <c r="G51" s="48"/>
      <c r="H51" s="48" t="s">
        <v>164</v>
      </c>
      <c r="I51" s="48"/>
      <c r="J51" s="48" t="s">
        <v>164</v>
      </c>
      <c r="K51" s="48"/>
      <c r="L51" s="48" t="s">
        <v>164</v>
      </c>
      <c r="M51" s="48" t="s">
        <v>91</v>
      </c>
      <c r="N51" s="52" t="s">
        <v>201</v>
      </c>
      <c r="O51" s="52">
        <v>9.6027777777635492</v>
      </c>
      <c r="P51" s="55" t="s">
        <v>92</v>
      </c>
      <c r="Q51" s="48" t="s">
        <v>92</v>
      </c>
      <c r="R51" s="48" t="s">
        <v>92</v>
      </c>
      <c r="S51" s="53"/>
      <c r="T51" s="48" t="s">
        <v>18</v>
      </c>
      <c r="U51" s="48">
        <v>48</v>
      </c>
      <c r="V51" s="48" t="s">
        <v>597</v>
      </c>
    </row>
    <row r="52" spans="1:22" ht="21" hidden="1" customHeight="1">
      <c r="A52" s="48" t="s">
        <v>595</v>
      </c>
      <c r="B52" s="51"/>
      <c r="C52" s="47" t="s">
        <v>596</v>
      </c>
      <c r="D52" s="47" t="s">
        <v>164</v>
      </c>
      <c r="E52" s="47"/>
      <c r="F52" s="47" t="s">
        <v>164</v>
      </c>
      <c r="G52" s="48"/>
      <c r="H52" s="48" t="s">
        <v>164</v>
      </c>
      <c r="I52" s="48"/>
      <c r="J52" s="48" t="s">
        <v>164</v>
      </c>
      <c r="K52" s="48"/>
      <c r="L52" s="48" t="s">
        <v>164</v>
      </c>
      <c r="M52" s="48" t="s">
        <v>91</v>
      </c>
      <c r="N52" s="52" t="s">
        <v>201</v>
      </c>
      <c r="O52" s="52">
        <v>16.164999999920799</v>
      </c>
      <c r="P52" s="55" t="s">
        <v>92</v>
      </c>
      <c r="Q52" s="48" t="s">
        <v>92</v>
      </c>
      <c r="R52" s="48" t="s">
        <v>92</v>
      </c>
      <c r="S52" s="53"/>
      <c r="T52" s="48" t="s">
        <v>18</v>
      </c>
      <c r="U52" s="48">
        <v>49</v>
      </c>
      <c r="V52" s="48" t="s">
        <v>594</v>
      </c>
    </row>
    <row r="53" spans="1:22" ht="21" hidden="1" customHeight="1">
      <c r="A53" s="48" t="s">
        <v>592</v>
      </c>
      <c r="B53" s="51"/>
      <c r="C53" s="47" t="s">
        <v>593</v>
      </c>
      <c r="D53" s="47" t="s">
        <v>164</v>
      </c>
      <c r="E53" s="47"/>
      <c r="F53" s="47" t="s">
        <v>164</v>
      </c>
      <c r="G53" s="48"/>
      <c r="H53" s="48" t="s">
        <v>164</v>
      </c>
      <c r="I53" s="48"/>
      <c r="J53" s="48" t="s">
        <v>164</v>
      </c>
      <c r="K53" s="48"/>
      <c r="L53" s="48" t="s">
        <v>164</v>
      </c>
      <c r="M53" s="48" t="s">
        <v>91</v>
      </c>
      <c r="N53" s="52" t="s">
        <v>201</v>
      </c>
      <c r="O53" s="52">
        <v>27.806944444309899</v>
      </c>
      <c r="P53" s="55" t="s">
        <v>92</v>
      </c>
      <c r="Q53" s="48" t="s">
        <v>92</v>
      </c>
      <c r="R53" s="48" t="s">
        <v>92</v>
      </c>
      <c r="S53" s="53"/>
      <c r="T53" s="48" t="s">
        <v>18</v>
      </c>
      <c r="U53" s="48">
        <v>50</v>
      </c>
      <c r="V53" s="48" t="s">
        <v>591</v>
      </c>
    </row>
    <row r="54" spans="1:22" ht="21" hidden="1" customHeight="1">
      <c r="A54" s="48" t="s">
        <v>583</v>
      </c>
      <c r="B54" s="51"/>
      <c r="C54" s="47" t="s">
        <v>584</v>
      </c>
      <c r="D54" s="47" t="s">
        <v>164</v>
      </c>
      <c r="E54" s="47"/>
      <c r="F54" s="47" t="s">
        <v>164</v>
      </c>
      <c r="G54" s="48"/>
      <c r="H54" s="48" t="s">
        <v>164</v>
      </c>
      <c r="I54" s="48"/>
      <c r="J54" s="48" t="s">
        <v>164</v>
      </c>
      <c r="K54" s="48"/>
      <c r="L54" s="48" t="s">
        <v>164</v>
      </c>
      <c r="M54" s="48" t="s">
        <v>91</v>
      </c>
      <c r="N54" s="52">
        <v>15.210211753845215</v>
      </c>
      <c r="O54" s="52">
        <v>17.298611111124</v>
      </c>
      <c r="P54" s="55" t="s">
        <v>92</v>
      </c>
      <c r="Q54" s="52">
        <v>610.00049999999999</v>
      </c>
      <c r="R54" s="55">
        <v>44291.368460648147</v>
      </c>
      <c r="S54" s="53"/>
      <c r="T54" s="48" t="s">
        <v>18</v>
      </c>
      <c r="U54" s="48">
        <v>51</v>
      </c>
      <c r="V54" s="48" t="s">
        <v>582</v>
      </c>
    </row>
    <row r="55" spans="1:22" ht="21" hidden="1" customHeight="1">
      <c r="A55" s="48" t="s">
        <v>580</v>
      </c>
      <c r="B55" s="51"/>
      <c r="C55" s="47" t="s">
        <v>581</v>
      </c>
      <c r="D55" s="47" t="s">
        <v>164</v>
      </c>
      <c r="E55" s="47"/>
      <c r="F55" s="47" t="s">
        <v>164</v>
      </c>
      <c r="G55" s="48"/>
      <c r="H55" s="48" t="s">
        <v>164</v>
      </c>
      <c r="I55" s="48"/>
      <c r="J55" s="48" t="s">
        <v>164</v>
      </c>
      <c r="K55" s="48"/>
      <c r="L55" s="48" t="s">
        <v>164</v>
      </c>
      <c r="M55" s="48" t="s">
        <v>91</v>
      </c>
      <c r="N55" s="52">
        <v>10.327627182006836</v>
      </c>
      <c r="O55" s="52">
        <v>12.9047222222434</v>
      </c>
      <c r="P55" s="55" t="s">
        <v>92</v>
      </c>
      <c r="Q55" s="52">
        <v>636.95150000000001</v>
      </c>
      <c r="R55" s="55">
        <v>44293.648877314816</v>
      </c>
      <c r="S55" s="53"/>
      <c r="T55" s="48" t="s">
        <v>18</v>
      </c>
      <c r="U55" s="48">
        <v>52</v>
      </c>
      <c r="V55" s="48" t="s">
        <v>579</v>
      </c>
    </row>
    <row r="56" spans="1:22" ht="21" hidden="1" customHeight="1">
      <c r="A56" s="48" t="s">
        <v>577</v>
      </c>
      <c r="B56" s="51"/>
      <c r="C56" s="47" t="s">
        <v>578</v>
      </c>
      <c r="D56" s="47" t="s">
        <v>164</v>
      </c>
      <c r="E56" s="47"/>
      <c r="F56" s="47" t="s">
        <v>164</v>
      </c>
      <c r="G56" s="48"/>
      <c r="H56" s="48" t="s">
        <v>164</v>
      </c>
      <c r="I56" s="48"/>
      <c r="J56" s="48" t="s">
        <v>164</v>
      </c>
      <c r="K56" s="48"/>
      <c r="L56" s="48" t="s">
        <v>164</v>
      </c>
      <c r="M56" s="48" t="s">
        <v>91</v>
      </c>
      <c r="N56" s="52" t="s">
        <v>201</v>
      </c>
      <c r="O56" s="52">
        <v>18.904999999911499</v>
      </c>
      <c r="P56" s="55" t="s">
        <v>92</v>
      </c>
      <c r="Q56" s="48" t="s">
        <v>92</v>
      </c>
      <c r="R56" s="48" t="s">
        <v>92</v>
      </c>
      <c r="S56" s="53"/>
      <c r="T56" s="48" t="s">
        <v>18</v>
      </c>
      <c r="U56" s="48">
        <v>53</v>
      </c>
      <c r="V56" s="48" t="s">
        <v>576</v>
      </c>
    </row>
    <row r="57" spans="1:22" ht="21" hidden="1" customHeight="1">
      <c r="A57" s="48" t="s">
        <v>574</v>
      </c>
      <c r="B57" s="51"/>
      <c r="C57" s="47" t="s">
        <v>575</v>
      </c>
      <c r="D57" s="47" t="s">
        <v>164</v>
      </c>
      <c r="E57" s="47"/>
      <c r="F57" s="47" t="s">
        <v>164</v>
      </c>
      <c r="G57" s="48"/>
      <c r="H57" s="48" t="s">
        <v>164</v>
      </c>
      <c r="I57" s="48"/>
      <c r="J57" s="48" t="s">
        <v>164</v>
      </c>
      <c r="K57" s="48"/>
      <c r="L57" s="48" t="s">
        <v>164</v>
      </c>
      <c r="M57" s="48" t="s">
        <v>91</v>
      </c>
      <c r="N57" s="52" t="s">
        <v>201</v>
      </c>
      <c r="O57" s="52">
        <v>8.0733333334210293</v>
      </c>
      <c r="P57" s="55" t="s">
        <v>92</v>
      </c>
      <c r="Q57" s="48" t="s">
        <v>92</v>
      </c>
      <c r="R57" s="48" t="s">
        <v>92</v>
      </c>
      <c r="S57" s="53"/>
      <c r="T57" s="48" t="s">
        <v>18</v>
      </c>
      <c r="U57" s="48">
        <v>54</v>
      </c>
      <c r="V57" s="48" t="s">
        <v>573</v>
      </c>
    </row>
    <row r="58" spans="1:22" ht="21" hidden="1" customHeight="1">
      <c r="A58" s="48" t="s">
        <v>571</v>
      </c>
      <c r="B58" s="51"/>
      <c r="C58" s="47" t="s">
        <v>572</v>
      </c>
      <c r="D58" s="47" t="s">
        <v>164</v>
      </c>
      <c r="E58" s="47"/>
      <c r="F58" s="47" t="s">
        <v>164</v>
      </c>
      <c r="G58" s="48"/>
      <c r="H58" s="48" t="s">
        <v>164</v>
      </c>
      <c r="I58" s="48"/>
      <c r="J58" s="48" t="s">
        <v>164</v>
      </c>
      <c r="K58" s="48"/>
      <c r="L58" s="48" t="s">
        <v>164</v>
      </c>
      <c r="M58" s="48" t="s">
        <v>91</v>
      </c>
      <c r="N58" s="52">
        <v>15.708405494689941</v>
      </c>
      <c r="O58" s="52">
        <v>21.672777777712302</v>
      </c>
      <c r="P58" s="55" t="s">
        <v>92</v>
      </c>
      <c r="Q58" s="52">
        <v>665.17699999999991</v>
      </c>
      <c r="R58" s="55">
        <v>44300.125636574077</v>
      </c>
      <c r="S58" s="53"/>
      <c r="T58" s="48" t="s">
        <v>18</v>
      </c>
      <c r="U58" s="48">
        <v>55</v>
      </c>
      <c r="V58" s="48" t="s">
        <v>570</v>
      </c>
    </row>
    <row r="59" spans="1:22" ht="21" hidden="1" customHeight="1">
      <c r="A59" s="48" t="s">
        <v>562</v>
      </c>
      <c r="B59" s="51"/>
      <c r="C59" s="47" t="s">
        <v>563</v>
      </c>
      <c r="D59" s="47" t="s">
        <v>164</v>
      </c>
      <c r="E59" s="47"/>
      <c r="F59" s="47" t="s">
        <v>164</v>
      </c>
      <c r="G59" s="48"/>
      <c r="H59" s="48" t="s">
        <v>164</v>
      </c>
      <c r="I59" s="48"/>
      <c r="J59" s="48" t="s">
        <v>164</v>
      </c>
      <c r="K59" s="48"/>
      <c r="L59" s="48" t="s">
        <v>164</v>
      </c>
      <c r="M59" s="48" t="s">
        <v>91</v>
      </c>
      <c r="N59" s="52" t="s">
        <v>201</v>
      </c>
      <c r="O59" s="52">
        <v>13.0075000001234</v>
      </c>
      <c r="P59" s="55" t="s">
        <v>92</v>
      </c>
      <c r="Q59" s="48" t="s">
        <v>92</v>
      </c>
      <c r="R59" s="48" t="s">
        <v>92</v>
      </c>
      <c r="S59" s="53"/>
      <c r="T59" s="48" t="s">
        <v>18</v>
      </c>
      <c r="U59" s="48">
        <v>56</v>
      </c>
      <c r="V59" s="48" t="s">
        <v>561</v>
      </c>
    </row>
    <row r="60" spans="1:22" ht="21" hidden="1" customHeight="1">
      <c r="A60" s="48" t="s">
        <v>559</v>
      </c>
      <c r="B60" s="51"/>
      <c r="C60" s="47" t="s">
        <v>560</v>
      </c>
      <c r="D60" s="47" t="s">
        <v>164</v>
      </c>
      <c r="E60" s="47"/>
      <c r="F60" s="47" t="s">
        <v>164</v>
      </c>
      <c r="G60" s="48"/>
      <c r="H60" s="48" t="s">
        <v>164</v>
      </c>
      <c r="I60" s="48"/>
      <c r="J60" s="48" t="s">
        <v>164</v>
      </c>
      <c r="K60" s="48"/>
      <c r="L60" s="48" t="s">
        <v>164</v>
      </c>
      <c r="M60" s="48" t="s">
        <v>91</v>
      </c>
      <c r="N60" s="52">
        <v>6.5255260467529297</v>
      </c>
      <c r="O60" s="52">
        <v>20.764166666718701</v>
      </c>
      <c r="P60" s="55" t="s">
        <v>92</v>
      </c>
      <c r="Q60" s="52">
        <v>669.52350000000001</v>
      </c>
      <c r="R60" s="55">
        <v>44300.587997685187</v>
      </c>
      <c r="S60" s="53"/>
      <c r="T60" s="48" t="s">
        <v>18</v>
      </c>
      <c r="U60" s="48">
        <v>57</v>
      </c>
      <c r="V60" s="48" t="s">
        <v>558</v>
      </c>
    </row>
    <row r="61" spans="1:22" ht="21" hidden="1" customHeight="1">
      <c r="A61" s="48" t="s">
        <v>556</v>
      </c>
      <c r="B61" s="51"/>
      <c r="C61" s="47" t="s">
        <v>557</v>
      </c>
      <c r="D61" s="47" t="s">
        <v>164</v>
      </c>
      <c r="E61" s="47"/>
      <c r="F61" s="47" t="s">
        <v>164</v>
      </c>
      <c r="G61" s="48"/>
      <c r="H61" s="48" t="s">
        <v>164</v>
      </c>
      <c r="I61" s="48"/>
      <c r="J61" s="48" t="s">
        <v>164</v>
      </c>
      <c r="K61" s="48"/>
      <c r="L61" s="48" t="s">
        <v>164</v>
      </c>
      <c r="M61" s="48" t="s">
        <v>91</v>
      </c>
      <c r="N61" s="52">
        <v>15.845520973205566</v>
      </c>
      <c r="O61" s="52">
        <v>30.662499999976699</v>
      </c>
      <c r="P61" s="55" t="s">
        <v>92</v>
      </c>
      <c r="Q61" s="52">
        <v>700.10450000000003</v>
      </c>
      <c r="R61" s="55">
        <v>44304.055659722224</v>
      </c>
      <c r="S61" s="53"/>
      <c r="T61" s="48" t="s">
        <v>18</v>
      </c>
      <c r="U61" s="48">
        <v>58</v>
      </c>
      <c r="V61" s="48" t="s">
        <v>555</v>
      </c>
    </row>
    <row r="62" spans="1:22" ht="21" hidden="1" customHeight="1">
      <c r="A62" s="48" t="s">
        <v>553</v>
      </c>
      <c r="B62" s="51"/>
      <c r="C62" s="47" t="s">
        <v>554</v>
      </c>
      <c r="D62" s="47" t="s">
        <v>164</v>
      </c>
      <c r="E62" s="47"/>
      <c r="F62" s="47" t="s">
        <v>164</v>
      </c>
      <c r="G62" s="48"/>
      <c r="H62" s="48" t="s">
        <v>164</v>
      </c>
      <c r="I62" s="48"/>
      <c r="J62" s="48" t="s">
        <v>164</v>
      </c>
      <c r="K62" s="48"/>
      <c r="L62" s="48" t="s">
        <v>164</v>
      </c>
      <c r="M62" s="48" t="s">
        <v>91</v>
      </c>
      <c r="N62" s="52">
        <v>8.4395828247070313</v>
      </c>
      <c r="O62" s="52">
        <v>27.3305555556435</v>
      </c>
      <c r="P62" s="55" t="s">
        <v>92</v>
      </c>
      <c r="Q62" s="52">
        <v>735.72700000000009</v>
      </c>
      <c r="R62" s="55">
        <v>44304.095752314817</v>
      </c>
      <c r="S62" s="53"/>
      <c r="T62" s="48" t="s">
        <v>18</v>
      </c>
      <c r="U62" s="48">
        <v>59</v>
      </c>
      <c r="V62" s="48" t="s">
        <v>552</v>
      </c>
    </row>
    <row r="63" spans="1:22" ht="21" hidden="1" customHeight="1">
      <c r="A63" s="48" t="s">
        <v>550</v>
      </c>
      <c r="B63" s="51"/>
      <c r="C63" s="47" t="s">
        <v>551</v>
      </c>
      <c r="D63" s="47" t="s">
        <v>164</v>
      </c>
      <c r="E63" s="47"/>
      <c r="F63" s="47" t="s">
        <v>164</v>
      </c>
      <c r="G63" s="48"/>
      <c r="H63" s="48" t="s">
        <v>164</v>
      </c>
      <c r="I63" s="48"/>
      <c r="J63" s="48" t="s">
        <v>164</v>
      </c>
      <c r="K63" s="48"/>
      <c r="L63" s="48" t="s">
        <v>164</v>
      </c>
      <c r="M63" s="48" t="s">
        <v>91</v>
      </c>
      <c r="N63" s="52" t="s">
        <v>201</v>
      </c>
      <c r="O63" s="52">
        <v>16.557499999995301</v>
      </c>
      <c r="P63" s="55" t="s">
        <v>92</v>
      </c>
      <c r="Q63" s="48" t="s">
        <v>92</v>
      </c>
      <c r="R63" s="48" t="s">
        <v>92</v>
      </c>
      <c r="S63" s="53"/>
      <c r="T63" s="48" t="s">
        <v>18</v>
      </c>
      <c r="U63" s="48">
        <v>60</v>
      </c>
      <c r="V63" s="48" t="s">
        <v>549</v>
      </c>
    </row>
    <row r="64" spans="1:22" ht="21" hidden="1" customHeight="1">
      <c r="A64" s="48" t="s">
        <v>547</v>
      </c>
      <c r="B64" s="51"/>
      <c r="C64" s="47" t="s">
        <v>548</v>
      </c>
      <c r="D64" s="47" t="s">
        <v>164</v>
      </c>
      <c r="E64" s="47"/>
      <c r="F64" s="47" t="s">
        <v>164</v>
      </c>
      <c r="G64" s="48"/>
      <c r="H64" s="48" t="s">
        <v>164</v>
      </c>
      <c r="I64" s="48"/>
      <c r="J64" s="48" t="s">
        <v>164</v>
      </c>
      <c r="K64" s="48"/>
      <c r="L64" s="48" t="s">
        <v>164</v>
      </c>
      <c r="M64" s="48" t="s">
        <v>91</v>
      </c>
      <c r="N64" s="52" t="s">
        <v>201</v>
      </c>
      <c r="O64" s="52">
        <v>20.1522222222411</v>
      </c>
      <c r="P64" s="55" t="s">
        <v>92</v>
      </c>
      <c r="Q64" s="48" t="s">
        <v>92</v>
      </c>
      <c r="R64" s="48" t="s">
        <v>92</v>
      </c>
      <c r="S64" s="53"/>
      <c r="T64" s="48" t="s">
        <v>18</v>
      </c>
      <c r="U64" s="48">
        <v>61</v>
      </c>
      <c r="V64" s="48" t="s">
        <v>546</v>
      </c>
    </row>
    <row r="65" spans="1:22" ht="21" hidden="1" customHeight="1">
      <c r="A65" s="48" t="s">
        <v>544</v>
      </c>
      <c r="B65" s="51"/>
      <c r="C65" s="47" t="s">
        <v>545</v>
      </c>
      <c r="D65" s="47" t="s">
        <v>164</v>
      </c>
      <c r="E65" s="47"/>
      <c r="F65" s="47" t="s">
        <v>164</v>
      </c>
      <c r="G65" s="48"/>
      <c r="H65" s="48" t="s">
        <v>164</v>
      </c>
      <c r="I65" s="48"/>
      <c r="J65" s="48" t="s">
        <v>164</v>
      </c>
      <c r="K65" s="48"/>
      <c r="L65" s="48" t="s">
        <v>164</v>
      </c>
      <c r="M65" s="48" t="s">
        <v>91</v>
      </c>
      <c r="N65" s="52" t="s">
        <v>201</v>
      </c>
      <c r="O65" s="52">
        <v>21.4211111110635</v>
      </c>
      <c r="P65" s="55" t="s">
        <v>92</v>
      </c>
      <c r="Q65" s="48" t="s">
        <v>92</v>
      </c>
      <c r="R65" s="48" t="s">
        <v>92</v>
      </c>
      <c r="S65" s="53"/>
      <c r="T65" s="48" t="s">
        <v>18</v>
      </c>
      <c r="U65" s="48">
        <v>62</v>
      </c>
      <c r="V65" s="48" t="s">
        <v>543</v>
      </c>
    </row>
    <row r="66" spans="1:22" ht="21" hidden="1" customHeight="1">
      <c r="A66" s="48" t="s">
        <v>541</v>
      </c>
      <c r="B66" s="51"/>
      <c r="C66" s="47" t="s">
        <v>542</v>
      </c>
      <c r="D66" s="47" t="s">
        <v>164</v>
      </c>
      <c r="E66" s="47"/>
      <c r="F66" s="47" t="s">
        <v>164</v>
      </c>
      <c r="G66" s="48"/>
      <c r="H66" s="48" t="s">
        <v>164</v>
      </c>
      <c r="I66" s="48"/>
      <c r="J66" s="48" t="s">
        <v>164</v>
      </c>
      <c r="K66" s="48"/>
      <c r="L66" s="48" t="s">
        <v>164</v>
      </c>
      <c r="M66" s="48" t="s">
        <v>91</v>
      </c>
      <c r="N66" s="52" t="s">
        <v>201</v>
      </c>
      <c r="O66" s="52">
        <v>23.459444444510201</v>
      </c>
      <c r="P66" s="55" t="s">
        <v>92</v>
      </c>
      <c r="Q66" s="48" t="s">
        <v>92</v>
      </c>
      <c r="R66" s="48" t="s">
        <v>92</v>
      </c>
      <c r="S66" s="53"/>
      <c r="T66" s="48" t="s">
        <v>18</v>
      </c>
      <c r="U66" s="48">
        <v>63</v>
      </c>
      <c r="V66" s="48" t="s">
        <v>540</v>
      </c>
    </row>
    <row r="67" spans="1:22" ht="21" hidden="1" customHeight="1">
      <c r="A67" s="48" t="s">
        <v>538</v>
      </c>
      <c r="B67" s="51"/>
      <c r="C67" s="47" t="s">
        <v>539</v>
      </c>
      <c r="D67" s="47" t="s">
        <v>164</v>
      </c>
      <c r="E67" s="47"/>
      <c r="F67" s="47" t="s">
        <v>164</v>
      </c>
      <c r="G67" s="48"/>
      <c r="H67" s="48" t="s">
        <v>164</v>
      </c>
      <c r="I67" s="48"/>
      <c r="J67" s="48" t="s">
        <v>164</v>
      </c>
      <c r="K67" s="48"/>
      <c r="L67" s="48" t="s">
        <v>164</v>
      </c>
      <c r="M67" s="48" t="s">
        <v>91</v>
      </c>
      <c r="N67" s="52">
        <v>11.659487724304199</v>
      </c>
      <c r="O67" s="52">
        <v>10.0952777778148</v>
      </c>
      <c r="P67" s="55" t="s">
        <v>92</v>
      </c>
      <c r="Q67" s="52">
        <v>771.44849999999997</v>
      </c>
      <c r="R67" s="55">
        <v>44307.642581018517</v>
      </c>
      <c r="S67" s="53"/>
      <c r="T67" s="48" t="s">
        <v>18</v>
      </c>
      <c r="U67" s="48">
        <v>64</v>
      </c>
      <c r="V67" s="48" t="s">
        <v>537</v>
      </c>
    </row>
    <row r="68" spans="1:22" ht="21" hidden="1" customHeight="1">
      <c r="A68" s="48" t="s">
        <v>535</v>
      </c>
      <c r="B68" s="51"/>
      <c r="C68" s="47" t="s">
        <v>536</v>
      </c>
      <c r="D68" s="47" t="s">
        <v>164</v>
      </c>
      <c r="E68" s="47"/>
      <c r="F68" s="47" t="s">
        <v>164</v>
      </c>
      <c r="G68" s="48"/>
      <c r="H68" s="48" t="s">
        <v>164</v>
      </c>
      <c r="I68" s="48"/>
      <c r="J68" s="48" t="s">
        <v>164</v>
      </c>
      <c r="K68" s="48"/>
      <c r="L68" s="48" t="s">
        <v>164</v>
      </c>
      <c r="M68" s="48" t="s">
        <v>91</v>
      </c>
      <c r="N68" s="52" t="s">
        <v>201</v>
      </c>
      <c r="O68" s="52">
        <v>2.8197222221642702</v>
      </c>
      <c r="P68" s="55" t="s">
        <v>92</v>
      </c>
      <c r="Q68" s="48" t="s">
        <v>92</v>
      </c>
      <c r="R68" s="48" t="s">
        <v>92</v>
      </c>
      <c r="S68" s="53"/>
      <c r="T68" s="48" t="s">
        <v>18</v>
      </c>
      <c r="U68" s="48">
        <v>65</v>
      </c>
      <c r="V68" s="48" t="s">
        <v>534</v>
      </c>
    </row>
    <row r="69" spans="1:22" ht="21" hidden="1" customHeight="1">
      <c r="A69" s="48" t="s">
        <v>526</v>
      </c>
      <c r="B69" s="51"/>
      <c r="C69" s="47" t="s">
        <v>527</v>
      </c>
      <c r="D69" s="47" t="s">
        <v>164</v>
      </c>
      <c r="E69" s="47"/>
      <c r="F69" s="47" t="s">
        <v>164</v>
      </c>
      <c r="G69" s="48"/>
      <c r="H69" s="48" t="s">
        <v>164</v>
      </c>
      <c r="I69" s="48"/>
      <c r="J69" s="48" t="s">
        <v>164</v>
      </c>
      <c r="K69" s="48"/>
      <c r="L69" s="48" t="s">
        <v>164</v>
      </c>
      <c r="M69" s="48" t="s">
        <v>91</v>
      </c>
      <c r="N69" s="52" t="s">
        <v>201</v>
      </c>
      <c r="O69" s="52">
        <v>24.0327777777566</v>
      </c>
      <c r="P69" s="55" t="s">
        <v>92</v>
      </c>
      <c r="Q69" s="48" t="s">
        <v>92</v>
      </c>
      <c r="R69" s="48" t="s">
        <v>92</v>
      </c>
      <c r="S69" s="53"/>
      <c r="T69" s="48" t="s">
        <v>18</v>
      </c>
      <c r="U69" s="48">
        <v>66</v>
      </c>
      <c r="V69" s="48" t="s">
        <v>525</v>
      </c>
    </row>
    <row r="70" spans="1:22" ht="21" hidden="1" customHeight="1">
      <c r="A70" s="48" t="s">
        <v>520</v>
      </c>
      <c r="B70" s="51"/>
      <c r="C70" s="47" t="s">
        <v>521</v>
      </c>
      <c r="D70" s="47" t="s">
        <v>164</v>
      </c>
      <c r="E70" s="47"/>
      <c r="F70" s="47" t="s">
        <v>164</v>
      </c>
      <c r="G70" s="48"/>
      <c r="H70" s="48" t="s">
        <v>164</v>
      </c>
      <c r="I70" s="48"/>
      <c r="J70" s="48" t="s">
        <v>164</v>
      </c>
      <c r="K70" s="48"/>
      <c r="L70" s="48" t="s">
        <v>164</v>
      </c>
      <c r="M70" s="48" t="s">
        <v>91</v>
      </c>
      <c r="N70" s="52">
        <v>13.537678718566895</v>
      </c>
      <c r="O70" s="52">
        <v>7.1736111111240497</v>
      </c>
      <c r="P70" s="55" t="s">
        <v>92</v>
      </c>
      <c r="Q70" s="52">
        <v>811.29300000000001</v>
      </c>
      <c r="R70" s="55">
        <v>44318.706550925926</v>
      </c>
      <c r="S70" s="53"/>
      <c r="T70" s="48" t="s">
        <v>18</v>
      </c>
      <c r="U70" s="48">
        <v>67</v>
      </c>
      <c r="V70" s="48" t="s">
        <v>519</v>
      </c>
    </row>
    <row r="71" spans="1:22" ht="21" hidden="1" customHeight="1">
      <c r="A71" s="48" t="s">
        <v>517</v>
      </c>
      <c r="B71" s="51"/>
      <c r="C71" s="47" t="s">
        <v>518</v>
      </c>
      <c r="D71" s="47" t="s">
        <v>164</v>
      </c>
      <c r="E71" s="47"/>
      <c r="F71" s="47" t="s">
        <v>164</v>
      </c>
      <c r="G71" s="48"/>
      <c r="H71" s="48" t="s">
        <v>164</v>
      </c>
      <c r="I71" s="48"/>
      <c r="J71" s="48" t="s">
        <v>164</v>
      </c>
      <c r="K71" s="48"/>
      <c r="L71" s="48" t="s">
        <v>164</v>
      </c>
      <c r="M71" s="48" t="s">
        <v>91</v>
      </c>
      <c r="N71" s="52" t="s">
        <v>201</v>
      </c>
      <c r="O71" s="52">
        <v>23.004444444319201</v>
      </c>
      <c r="P71" s="55" t="s">
        <v>92</v>
      </c>
      <c r="Q71" s="48" t="s">
        <v>92</v>
      </c>
      <c r="R71" s="48" t="s">
        <v>92</v>
      </c>
      <c r="S71" s="53"/>
      <c r="T71" s="48" t="s">
        <v>18</v>
      </c>
      <c r="U71" s="48">
        <v>68</v>
      </c>
      <c r="V71" s="48" t="s">
        <v>516</v>
      </c>
    </row>
    <row r="72" spans="1:22" ht="21" hidden="1" customHeight="1">
      <c r="A72" s="48" t="s">
        <v>514</v>
      </c>
      <c r="B72" s="51"/>
      <c r="C72" s="47" t="s">
        <v>515</v>
      </c>
      <c r="D72" s="47" t="s">
        <v>164</v>
      </c>
      <c r="E72" s="47"/>
      <c r="F72" s="47" t="s">
        <v>164</v>
      </c>
      <c r="G72" s="48"/>
      <c r="H72" s="48" t="s">
        <v>164</v>
      </c>
      <c r="I72" s="48"/>
      <c r="J72" s="48" t="s">
        <v>164</v>
      </c>
      <c r="K72" s="48"/>
      <c r="L72" s="48" t="s">
        <v>164</v>
      </c>
      <c r="M72" s="48" t="s">
        <v>91</v>
      </c>
      <c r="N72" s="52" t="s">
        <v>201</v>
      </c>
      <c r="O72" s="52">
        <v>22.610000000044199</v>
      </c>
      <c r="P72" s="55" t="s">
        <v>92</v>
      </c>
      <c r="Q72" s="48" t="s">
        <v>92</v>
      </c>
      <c r="R72" s="48" t="s">
        <v>92</v>
      </c>
      <c r="S72" s="53"/>
      <c r="T72" s="48" t="s">
        <v>18</v>
      </c>
      <c r="U72" s="48">
        <v>69</v>
      </c>
      <c r="V72" s="48" t="s">
        <v>513</v>
      </c>
    </row>
    <row r="73" spans="1:22" ht="21" hidden="1" customHeight="1">
      <c r="A73" s="48" t="s">
        <v>511</v>
      </c>
      <c r="B73" s="51"/>
      <c r="C73" s="47" t="s">
        <v>512</v>
      </c>
      <c r="D73" s="47" t="s">
        <v>164</v>
      </c>
      <c r="E73" s="47"/>
      <c r="F73" s="47" t="s">
        <v>164</v>
      </c>
      <c r="G73" s="48"/>
      <c r="H73" s="48" t="s">
        <v>164</v>
      </c>
      <c r="I73" s="48"/>
      <c r="J73" s="48" t="s">
        <v>164</v>
      </c>
      <c r="K73" s="48"/>
      <c r="L73" s="48" t="s">
        <v>164</v>
      </c>
      <c r="M73" s="48" t="s">
        <v>91</v>
      </c>
      <c r="N73" s="52">
        <v>14.171268463134766</v>
      </c>
      <c r="O73" s="52">
        <v>28.807777777779801</v>
      </c>
      <c r="P73" s="55" t="s">
        <v>92</v>
      </c>
      <c r="Q73" s="52">
        <v>860.21450000000004</v>
      </c>
      <c r="R73" s="55">
        <v>44326.53162037037</v>
      </c>
      <c r="S73" s="53"/>
      <c r="T73" s="48" t="s">
        <v>18</v>
      </c>
      <c r="U73" s="48">
        <v>70</v>
      </c>
      <c r="V73" s="48" t="s">
        <v>510</v>
      </c>
    </row>
    <row r="74" spans="1:22" ht="21" hidden="1" customHeight="1">
      <c r="A74" s="48" t="s">
        <v>508</v>
      </c>
      <c r="B74" s="51"/>
      <c r="C74" s="47" t="s">
        <v>509</v>
      </c>
      <c r="D74" s="47" t="s">
        <v>164</v>
      </c>
      <c r="E74" s="47"/>
      <c r="F74" s="47" t="s">
        <v>164</v>
      </c>
      <c r="G74" s="48"/>
      <c r="H74" s="48" t="s">
        <v>164</v>
      </c>
      <c r="I74" s="48"/>
      <c r="J74" s="48" t="s">
        <v>164</v>
      </c>
      <c r="K74" s="48"/>
      <c r="L74" s="48" t="s">
        <v>164</v>
      </c>
      <c r="M74" s="48" t="s">
        <v>91</v>
      </c>
      <c r="N74" s="52">
        <v>9.8354787826538086</v>
      </c>
      <c r="O74" s="52">
        <v>17.843888888892302</v>
      </c>
      <c r="P74" s="55" t="s">
        <v>92</v>
      </c>
      <c r="Q74" s="52">
        <v>911.10699999999997</v>
      </c>
      <c r="R74" s="55">
        <v>44330.613402777781</v>
      </c>
      <c r="S74" s="53"/>
      <c r="T74" s="48" t="s">
        <v>18</v>
      </c>
      <c r="U74" s="48">
        <v>71</v>
      </c>
      <c r="V74" s="48" t="s">
        <v>507</v>
      </c>
    </row>
    <row r="75" spans="1:22" ht="21" hidden="1" customHeight="1">
      <c r="A75" s="48" t="s">
        <v>502</v>
      </c>
      <c r="B75" s="51"/>
      <c r="C75" s="47" t="s">
        <v>503</v>
      </c>
      <c r="D75" s="47" t="s">
        <v>164</v>
      </c>
      <c r="E75" s="47"/>
      <c r="F75" s="47" t="s">
        <v>164</v>
      </c>
      <c r="G75" s="48"/>
      <c r="H75" s="48" t="s">
        <v>164</v>
      </c>
      <c r="I75" s="48"/>
      <c r="J75" s="48" t="s">
        <v>164</v>
      </c>
      <c r="K75" s="48"/>
      <c r="L75" s="48" t="s">
        <v>164</v>
      </c>
      <c r="M75" s="48" t="s">
        <v>91</v>
      </c>
      <c r="N75" s="52">
        <v>13.618622779846191</v>
      </c>
      <c r="O75" s="52">
        <v>20.3363888890017</v>
      </c>
      <c r="P75" s="55" t="s">
        <v>92</v>
      </c>
      <c r="Q75" s="52">
        <v>959.87950000000001</v>
      </c>
      <c r="R75" s="55">
        <v>44340.687164351853</v>
      </c>
      <c r="S75" s="53"/>
      <c r="T75" s="48" t="s">
        <v>18</v>
      </c>
      <c r="U75" s="48">
        <v>72</v>
      </c>
      <c r="V75" s="48" t="s">
        <v>501</v>
      </c>
    </row>
    <row r="76" spans="1:22" ht="21" hidden="1" customHeight="1">
      <c r="A76" s="48" t="s">
        <v>499</v>
      </c>
      <c r="B76" s="51"/>
      <c r="C76" s="47" t="s">
        <v>500</v>
      </c>
      <c r="D76" s="47" t="s">
        <v>164</v>
      </c>
      <c r="E76" s="47"/>
      <c r="F76" s="47" t="s">
        <v>164</v>
      </c>
      <c r="G76" s="48"/>
      <c r="H76" s="48" t="s">
        <v>164</v>
      </c>
      <c r="I76" s="48"/>
      <c r="J76" s="48" t="s">
        <v>164</v>
      </c>
      <c r="K76" s="48"/>
      <c r="L76" s="48" t="s">
        <v>164</v>
      </c>
      <c r="M76" s="48" t="s">
        <v>91</v>
      </c>
      <c r="N76" s="52" t="s">
        <v>201</v>
      </c>
      <c r="O76" s="52">
        <v>24.311666666704699</v>
      </c>
      <c r="P76" s="55" t="s">
        <v>92</v>
      </c>
      <c r="Q76" s="48" t="s">
        <v>92</v>
      </c>
      <c r="R76" s="48" t="s">
        <v>92</v>
      </c>
      <c r="S76" s="53"/>
      <c r="T76" s="48" t="s">
        <v>18</v>
      </c>
      <c r="U76" s="48">
        <v>73</v>
      </c>
      <c r="V76" s="48" t="s">
        <v>498</v>
      </c>
    </row>
    <row r="77" spans="1:22" ht="21" hidden="1" customHeight="1">
      <c r="A77" s="48" t="s">
        <v>496</v>
      </c>
      <c r="B77" s="51"/>
      <c r="C77" s="47" t="s">
        <v>497</v>
      </c>
      <c r="D77" s="47" t="s">
        <v>164</v>
      </c>
      <c r="E77" s="47"/>
      <c r="F77" s="47" t="s">
        <v>164</v>
      </c>
      <c r="G77" s="48"/>
      <c r="H77" s="48" t="s">
        <v>164</v>
      </c>
      <c r="I77" s="48"/>
      <c r="J77" s="48" t="s">
        <v>164</v>
      </c>
      <c r="K77" s="48"/>
      <c r="L77" s="48" t="s">
        <v>164</v>
      </c>
      <c r="M77" s="48" t="s">
        <v>91</v>
      </c>
      <c r="N77" s="52">
        <v>14.551670074462891</v>
      </c>
      <c r="O77" s="52">
        <v>10.587777777866</v>
      </c>
      <c r="P77" s="55" t="s">
        <v>92</v>
      </c>
      <c r="Q77" s="52">
        <v>984.89449999999999</v>
      </c>
      <c r="R77" s="55">
        <v>44348.529398148145</v>
      </c>
      <c r="S77" s="53"/>
      <c r="T77" s="48" t="s">
        <v>18</v>
      </c>
      <c r="U77" s="48">
        <v>74</v>
      </c>
      <c r="V77" s="48" t="s">
        <v>495</v>
      </c>
    </row>
    <row r="78" spans="1:22" ht="21" hidden="1" customHeight="1">
      <c r="A78" s="48" t="s">
        <v>490</v>
      </c>
      <c r="B78" s="51"/>
      <c r="C78" s="47" t="s">
        <v>491</v>
      </c>
      <c r="D78" s="47" t="s">
        <v>164</v>
      </c>
      <c r="E78" s="47"/>
      <c r="F78" s="47" t="s">
        <v>164</v>
      </c>
      <c r="G78" s="48"/>
      <c r="H78" s="48" t="s">
        <v>164</v>
      </c>
      <c r="I78" s="48"/>
      <c r="J78" s="48" t="s">
        <v>164</v>
      </c>
      <c r="K78" s="48"/>
      <c r="L78" s="48" t="s">
        <v>164</v>
      </c>
      <c r="M78" s="48" t="s">
        <v>91</v>
      </c>
      <c r="N78" s="52">
        <v>10.11836051940918</v>
      </c>
      <c r="O78" s="52">
        <v>7.3322222222923301</v>
      </c>
      <c r="P78" s="55" t="s">
        <v>92</v>
      </c>
      <c r="Q78" s="52">
        <v>997.55199999999991</v>
      </c>
      <c r="R78" s="55">
        <v>44349.52003472222</v>
      </c>
      <c r="S78" s="53"/>
      <c r="T78" s="48" t="s">
        <v>18</v>
      </c>
      <c r="U78" s="48">
        <v>75</v>
      </c>
      <c r="V78" s="48" t="s">
        <v>489</v>
      </c>
    </row>
    <row r="79" spans="1:22" ht="21" hidden="1" customHeight="1">
      <c r="A79" s="48" t="s">
        <v>487</v>
      </c>
      <c r="B79" s="51"/>
      <c r="C79" s="47" t="s">
        <v>488</v>
      </c>
      <c r="D79" s="47" t="s">
        <v>164</v>
      </c>
      <c r="E79" s="47"/>
      <c r="F79" s="47" t="s">
        <v>164</v>
      </c>
      <c r="G79" s="48"/>
      <c r="H79" s="48" t="s">
        <v>164</v>
      </c>
      <c r="I79" s="48"/>
      <c r="J79" s="48" t="s">
        <v>164</v>
      </c>
      <c r="K79" s="48"/>
      <c r="L79" s="48" t="s">
        <v>164</v>
      </c>
      <c r="M79" s="48" t="s">
        <v>91</v>
      </c>
      <c r="N79" s="52" t="s">
        <v>201</v>
      </c>
      <c r="O79" s="52">
        <v>22.1983333333628</v>
      </c>
      <c r="P79" s="55" t="s">
        <v>92</v>
      </c>
      <c r="Q79" s="48" t="s">
        <v>92</v>
      </c>
      <c r="R79" s="48" t="s">
        <v>92</v>
      </c>
      <c r="S79" s="53"/>
      <c r="T79" s="48" t="s">
        <v>18</v>
      </c>
      <c r="U79" s="48">
        <v>76</v>
      </c>
      <c r="V79" s="48" t="s">
        <v>486</v>
      </c>
    </row>
    <row r="80" spans="1:22" ht="21" hidden="1" customHeight="1">
      <c r="A80" s="48" t="s">
        <v>484</v>
      </c>
      <c r="B80" s="51"/>
      <c r="C80" s="47" t="s">
        <v>485</v>
      </c>
      <c r="D80" s="47" t="s">
        <v>164</v>
      </c>
      <c r="E80" s="47"/>
      <c r="F80" s="47" t="s">
        <v>164</v>
      </c>
      <c r="G80" s="48"/>
      <c r="H80" s="48" t="s">
        <v>164</v>
      </c>
      <c r="I80" s="48"/>
      <c r="J80" s="48" t="s">
        <v>164</v>
      </c>
      <c r="K80" s="48"/>
      <c r="L80" s="48" t="s">
        <v>164</v>
      </c>
      <c r="M80" s="48" t="s">
        <v>91</v>
      </c>
      <c r="N80" s="52">
        <v>9.8429384231567383</v>
      </c>
      <c r="O80" s="52">
        <v>0.26416666660225002</v>
      </c>
      <c r="P80" s="55" t="s">
        <v>92</v>
      </c>
      <c r="Q80" s="52">
        <v>1015.2165</v>
      </c>
      <c r="R80" s="55">
        <v>44352.579224537039</v>
      </c>
      <c r="S80" s="53"/>
      <c r="T80" s="48" t="s">
        <v>18</v>
      </c>
      <c r="U80" s="48">
        <v>77</v>
      </c>
      <c r="V80" s="48" t="s">
        <v>483</v>
      </c>
    </row>
    <row r="81" spans="1:22" ht="21" hidden="1" customHeight="1">
      <c r="A81" s="48" t="s">
        <v>475</v>
      </c>
      <c r="B81" s="51"/>
      <c r="C81" s="47" t="s">
        <v>476</v>
      </c>
      <c r="D81" s="47" t="s">
        <v>164</v>
      </c>
      <c r="E81" s="47"/>
      <c r="F81" s="47" t="s">
        <v>164</v>
      </c>
      <c r="G81" s="48"/>
      <c r="H81" s="48" t="s">
        <v>164</v>
      </c>
      <c r="I81" s="48"/>
      <c r="J81" s="48" t="s">
        <v>164</v>
      </c>
      <c r="K81" s="48"/>
      <c r="L81" s="48" t="s">
        <v>164</v>
      </c>
      <c r="M81" s="48" t="s">
        <v>91</v>
      </c>
      <c r="N81" s="52">
        <v>8.6255292892456055</v>
      </c>
      <c r="O81" s="52">
        <v>7.0019444444915298</v>
      </c>
      <c r="P81" s="55" t="s">
        <v>92</v>
      </c>
      <c r="Q81" s="52">
        <v>1035.9675</v>
      </c>
      <c r="R81" s="55">
        <v>44355.499942129631</v>
      </c>
      <c r="S81" s="53"/>
      <c r="T81" s="48" t="s">
        <v>18</v>
      </c>
      <c r="U81" s="48">
        <v>78</v>
      </c>
      <c r="V81" s="48" t="s">
        <v>474</v>
      </c>
    </row>
    <row r="82" spans="1:22" ht="21" hidden="1" customHeight="1">
      <c r="A82" s="48" t="s">
        <v>472</v>
      </c>
      <c r="B82" s="51"/>
      <c r="C82" s="47" t="s">
        <v>473</v>
      </c>
      <c r="D82" s="47" t="s">
        <v>164</v>
      </c>
      <c r="E82" s="47"/>
      <c r="F82" s="47" t="s">
        <v>164</v>
      </c>
      <c r="G82" s="48"/>
      <c r="H82" s="48" t="s">
        <v>164</v>
      </c>
      <c r="I82" s="48"/>
      <c r="J82" s="48" t="s">
        <v>164</v>
      </c>
      <c r="K82" s="48"/>
      <c r="L82" s="48" t="s">
        <v>164</v>
      </c>
      <c r="M82" s="48" t="s">
        <v>91</v>
      </c>
      <c r="N82" s="52" t="s">
        <v>201</v>
      </c>
      <c r="O82" s="52">
        <v>5.2349999999860302</v>
      </c>
      <c r="P82" s="55" t="s">
        <v>92</v>
      </c>
      <c r="Q82" s="48" t="s">
        <v>92</v>
      </c>
      <c r="R82" s="48" t="s">
        <v>92</v>
      </c>
      <c r="S82" s="53"/>
      <c r="T82" s="48" t="s">
        <v>18</v>
      </c>
      <c r="U82" s="48">
        <v>79</v>
      </c>
      <c r="V82" s="48" t="s">
        <v>471</v>
      </c>
    </row>
    <row r="83" spans="1:22" ht="21" hidden="1" customHeight="1">
      <c r="A83" s="48" t="s">
        <v>469</v>
      </c>
      <c r="B83" s="51"/>
      <c r="C83" s="47" t="s">
        <v>470</v>
      </c>
      <c r="D83" s="47" t="s">
        <v>164</v>
      </c>
      <c r="E83" s="47"/>
      <c r="F83" s="47" t="s">
        <v>164</v>
      </c>
      <c r="G83" s="48"/>
      <c r="H83" s="48" t="s">
        <v>164</v>
      </c>
      <c r="I83" s="48"/>
      <c r="J83" s="48" t="s">
        <v>164</v>
      </c>
      <c r="K83" s="48"/>
      <c r="L83" s="48" t="s">
        <v>164</v>
      </c>
      <c r="M83" s="48" t="s">
        <v>91</v>
      </c>
      <c r="N83" s="52">
        <v>4.0630855560302734</v>
      </c>
      <c r="O83" s="52">
        <v>14.210833333258099</v>
      </c>
      <c r="P83" s="55" t="s">
        <v>92</v>
      </c>
      <c r="Q83" s="52">
        <v>1050.0459999999998</v>
      </c>
      <c r="R83" s="55">
        <v>44356.920023148145</v>
      </c>
      <c r="S83" s="53"/>
      <c r="T83" s="48" t="s">
        <v>18</v>
      </c>
      <c r="U83" s="48">
        <v>80</v>
      </c>
      <c r="V83" s="48" t="s">
        <v>468</v>
      </c>
    </row>
    <row r="84" spans="1:22" ht="21" hidden="1" customHeight="1">
      <c r="A84" s="48" t="s">
        <v>466</v>
      </c>
      <c r="B84" s="51"/>
      <c r="C84" s="47" t="s">
        <v>467</v>
      </c>
      <c r="D84" s="47" t="s">
        <v>164</v>
      </c>
      <c r="E84" s="47"/>
      <c r="F84" s="47" t="s">
        <v>164</v>
      </c>
      <c r="G84" s="48"/>
      <c r="H84" s="48" t="s">
        <v>164</v>
      </c>
      <c r="I84" s="48"/>
      <c r="J84" s="48" t="s">
        <v>164</v>
      </c>
      <c r="K84" s="48"/>
      <c r="L84" s="48" t="s">
        <v>164</v>
      </c>
      <c r="M84" s="48" t="s">
        <v>91</v>
      </c>
      <c r="N84" s="52">
        <v>14.430596351623535</v>
      </c>
      <c r="O84" s="52">
        <v>12.13638888899</v>
      </c>
      <c r="P84" s="55" t="s">
        <v>92</v>
      </c>
      <c r="Q84" s="52">
        <v>1093.6079999999999</v>
      </c>
      <c r="R84" s="55">
        <v>44361.572685185187</v>
      </c>
      <c r="S84" s="53"/>
      <c r="T84" s="48" t="s">
        <v>18</v>
      </c>
      <c r="U84" s="48">
        <v>81</v>
      </c>
      <c r="V84" s="48" t="s">
        <v>465</v>
      </c>
    </row>
    <row r="85" spans="1:22" ht="21" hidden="1" customHeight="1">
      <c r="A85" s="48" t="s">
        <v>463</v>
      </c>
      <c r="B85" s="51"/>
      <c r="C85" s="47" t="s">
        <v>464</v>
      </c>
      <c r="D85" s="47" t="s">
        <v>164</v>
      </c>
      <c r="E85" s="47"/>
      <c r="F85" s="47" t="s">
        <v>164</v>
      </c>
      <c r="G85" s="48"/>
      <c r="H85" s="48" t="s">
        <v>164</v>
      </c>
      <c r="I85" s="48"/>
      <c r="J85" s="48" t="s">
        <v>164</v>
      </c>
      <c r="K85" s="48"/>
      <c r="L85" s="48" t="s">
        <v>164</v>
      </c>
      <c r="M85" s="48" t="s">
        <v>91</v>
      </c>
      <c r="N85" s="52" t="s">
        <v>201</v>
      </c>
      <c r="O85" s="52">
        <v>25.6788888889714</v>
      </c>
      <c r="P85" s="55" t="s">
        <v>92</v>
      </c>
      <c r="Q85" s="48" t="s">
        <v>92</v>
      </c>
      <c r="R85" s="48" t="s">
        <v>92</v>
      </c>
      <c r="S85" s="53"/>
      <c r="T85" s="48" t="s">
        <v>18</v>
      </c>
      <c r="U85" s="48">
        <v>82</v>
      </c>
      <c r="V85" s="48" t="s">
        <v>462</v>
      </c>
    </row>
    <row r="86" spans="1:22" ht="21" hidden="1" customHeight="1">
      <c r="A86" s="48" t="s">
        <v>460</v>
      </c>
      <c r="B86" s="51"/>
      <c r="C86" s="47" t="s">
        <v>461</v>
      </c>
      <c r="D86" s="47" t="s">
        <v>164</v>
      </c>
      <c r="E86" s="47"/>
      <c r="F86" s="47" t="s">
        <v>164</v>
      </c>
      <c r="G86" s="48"/>
      <c r="H86" s="48" t="s">
        <v>164</v>
      </c>
      <c r="I86" s="48"/>
      <c r="J86" s="48" t="s">
        <v>164</v>
      </c>
      <c r="K86" s="48"/>
      <c r="L86" s="48" t="s">
        <v>164</v>
      </c>
      <c r="M86" s="48" t="s">
        <v>91</v>
      </c>
      <c r="N86" s="52" t="s">
        <v>201</v>
      </c>
      <c r="O86" s="52">
        <v>2.0069444443797702</v>
      </c>
      <c r="P86" s="55" t="s">
        <v>92</v>
      </c>
      <c r="Q86" s="48" t="s">
        <v>92</v>
      </c>
      <c r="R86" s="48" t="s">
        <v>92</v>
      </c>
      <c r="S86" s="53"/>
      <c r="T86" s="48" t="s">
        <v>18</v>
      </c>
      <c r="U86" s="48">
        <v>83</v>
      </c>
      <c r="V86" s="48" t="s">
        <v>459</v>
      </c>
    </row>
    <row r="87" spans="1:22" ht="21" hidden="1" customHeight="1">
      <c r="A87" s="48" t="s">
        <v>457</v>
      </c>
      <c r="B87" s="51"/>
      <c r="C87" s="47" t="s">
        <v>458</v>
      </c>
      <c r="D87" s="47" t="s">
        <v>164</v>
      </c>
      <c r="E87" s="47"/>
      <c r="F87" s="47" t="s">
        <v>164</v>
      </c>
      <c r="G87" s="48"/>
      <c r="H87" s="48" t="s">
        <v>164</v>
      </c>
      <c r="I87" s="48"/>
      <c r="J87" s="48" t="s">
        <v>164</v>
      </c>
      <c r="K87" s="48"/>
      <c r="L87" s="48" t="s">
        <v>164</v>
      </c>
      <c r="M87" s="48" t="s">
        <v>91</v>
      </c>
      <c r="N87" s="52" t="s">
        <v>201</v>
      </c>
      <c r="O87" s="52">
        <v>21.691666666651098</v>
      </c>
      <c r="P87" s="55" t="s">
        <v>92</v>
      </c>
      <c r="Q87" s="48" t="s">
        <v>92</v>
      </c>
      <c r="R87" s="48" t="s">
        <v>92</v>
      </c>
      <c r="S87" s="53"/>
      <c r="T87" s="48" t="s">
        <v>18</v>
      </c>
      <c r="U87" s="48">
        <v>84</v>
      </c>
      <c r="V87" s="48" t="s">
        <v>456</v>
      </c>
    </row>
    <row r="88" spans="1:22" ht="21" hidden="1" customHeight="1">
      <c r="A88" s="48" t="s">
        <v>454</v>
      </c>
      <c r="B88" s="51"/>
      <c r="C88" s="47" t="s">
        <v>455</v>
      </c>
      <c r="D88" s="47" t="s">
        <v>164</v>
      </c>
      <c r="E88" s="47"/>
      <c r="F88" s="47" t="s">
        <v>164</v>
      </c>
      <c r="G88" s="48"/>
      <c r="H88" s="48" t="s">
        <v>164</v>
      </c>
      <c r="I88" s="48"/>
      <c r="J88" s="48" t="s">
        <v>164</v>
      </c>
      <c r="K88" s="48"/>
      <c r="L88" s="48" t="s">
        <v>164</v>
      </c>
      <c r="M88" s="48" t="s">
        <v>91</v>
      </c>
      <c r="N88" s="52">
        <v>11.147052764892578</v>
      </c>
      <c r="O88" s="52">
        <v>21.859166666690701</v>
      </c>
      <c r="P88" s="55" t="s">
        <v>92</v>
      </c>
      <c r="Q88" s="52">
        <v>1144.5825</v>
      </c>
      <c r="R88" s="55">
        <v>44367.20511574074</v>
      </c>
      <c r="S88" s="53"/>
      <c r="T88" s="48" t="s">
        <v>18</v>
      </c>
      <c r="U88" s="48">
        <v>85</v>
      </c>
      <c r="V88" s="48" t="s">
        <v>453</v>
      </c>
    </row>
    <row r="89" spans="1:22" ht="21" hidden="1" customHeight="1">
      <c r="A89" s="48" t="s">
        <v>451</v>
      </c>
      <c r="B89" s="51"/>
      <c r="C89" s="47" t="s">
        <v>452</v>
      </c>
      <c r="D89" s="47" t="s">
        <v>164</v>
      </c>
      <c r="E89" s="47"/>
      <c r="F89" s="47" t="s">
        <v>164</v>
      </c>
      <c r="G89" s="48"/>
      <c r="H89" s="48" t="s">
        <v>164</v>
      </c>
      <c r="I89" s="48"/>
      <c r="J89" s="48" t="s">
        <v>164</v>
      </c>
      <c r="K89" s="48"/>
      <c r="L89" s="48" t="s">
        <v>164</v>
      </c>
      <c r="M89" s="48" t="s">
        <v>91</v>
      </c>
      <c r="N89" s="52">
        <v>8.6156454086303711</v>
      </c>
      <c r="O89" s="52">
        <v>29.444166666653501</v>
      </c>
      <c r="P89" s="55" t="s">
        <v>92</v>
      </c>
      <c r="Q89" s="52">
        <v>1178.3225</v>
      </c>
      <c r="R89" s="55">
        <v>44372.993333333332</v>
      </c>
      <c r="S89" s="53"/>
      <c r="T89" s="48" t="s">
        <v>18</v>
      </c>
      <c r="U89" s="48">
        <v>86</v>
      </c>
      <c r="V89" s="48" t="s">
        <v>450</v>
      </c>
    </row>
    <row r="90" spans="1:22" ht="21" hidden="1" customHeight="1">
      <c r="A90" s="48" t="s">
        <v>445</v>
      </c>
      <c r="B90" s="51"/>
      <c r="C90" s="47" t="s">
        <v>446</v>
      </c>
      <c r="D90" s="47" t="s">
        <v>164</v>
      </c>
      <c r="E90" s="47"/>
      <c r="F90" s="47" t="s">
        <v>164</v>
      </c>
      <c r="G90" s="48"/>
      <c r="H90" s="48" t="s">
        <v>164</v>
      </c>
      <c r="I90" s="48"/>
      <c r="J90" s="48" t="s">
        <v>164</v>
      </c>
      <c r="K90" s="48"/>
      <c r="L90" s="48" t="s">
        <v>164</v>
      </c>
      <c r="M90" s="48" t="s">
        <v>91</v>
      </c>
      <c r="N90" s="52">
        <v>1.4941654205322266</v>
      </c>
      <c r="O90" s="52">
        <v>26.600833333272</v>
      </c>
      <c r="P90" s="55" t="s">
        <v>92</v>
      </c>
      <c r="Q90" s="52">
        <v>1178.3225</v>
      </c>
      <c r="R90" s="55">
        <v>44372.993333333332</v>
      </c>
      <c r="S90" s="53"/>
      <c r="T90" s="48" t="s">
        <v>18</v>
      </c>
      <c r="U90" s="48">
        <v>87</v>
      </c>
      <c r="V90" s="48" t="s">
        <v>444</v>
      </c>
    </row>
    <row r="91" spans="1:22" ht="21" hidden="1" customHeight="1">
      <c r="A91" s="48" t="s">
        <v>442</v>
      </c>
      <c r="B91" s="51"/>
      <c r="C91" s="47" t="s">
        <v>443</v>
      </c>
      <c r="D91" s="47" t="s">
        <v>164</v>
      </c>
      <c r="E91" s="47"/>
      <c r="F91" s="47" t="s">
        <v>164</v>
      </c>
      <c r="G91" s="48"/>
      <c r="H91" s="48" t="s">
        <v>164</v>
      </c>
      <c r="I91" s="48"/>
      <c r="J91" s="48" t="s">
        <v>164</v>
      </c>
      <c r="K91" s="48"/>
      <c r="L91" s="48" t="s">
        <v>164</v>
      </c>
      <c r="M91" s="48" t="s">
        <v>91</v>
      </c>
      <c r="N91" s="52">
        <v>11.389187812805176</v>
      </c>
      <c r="O91" s="52">
        <v>23.205277777800799</v>
      </c>
      <c r="P91" s="55" t="s">
        <v>92</v>
      </c>
      <c r="Q91" s="52">
        <v>1204.4144999999999</v>
      </c>
      <c r="R91" s="55">
        <v>44375.894143518519</v>
      </c>
      <c r="S91" s="53"/>
      <c r="T91" s="48" t="s">
        <v>18</v>
      </c>
      <c r="U91" s="48">
        <v>88</v>
      </c>
      <c r="V91" s="48" t="s">
        <v>441</v>
      </c>
    </row>
    <row r="92" spans="1:22" ht="21" hidden="1" customHeight="1">
      <c r="A92" s="48" t="s">
        <v>439</v>
      </c>
      <c r="B92" s="51"/>
      <c r="C92" s="47" t="s">
        <v>440</v>
      </c>
      <c r="D92" s="47" t="s">
        <v>164</v>
      </c>
      <c r="E92" s="47"/>
      <c r="F92" s="47" t="s">
        <v>164</v>
      </c>
      <c r="G92" s="48"/>
      <c r="H92" s="48" t="s">
        <v>164</v>
      </c>
      <c r="I92" s="48"/>
      <c r="J92" s="48" t="s">
        <v>164</v>
      </c>
      <c r="K92" s="48"/>
      <c r="L92" s="48" t="s">
        <v>164</v>
      </c>
      <c r="M92" s="48" t="s">
        <v>91</v>
      </c>
      <c r="N92" s="52">
        <v>4.6092414855957031</v>
      </c>
      <c r="O92" s="52">
        <v>12.648611111158999</v>
      </c>
      <c r="P92" s="55" t="s">
        <v>92</v>
      </c>
      <c r="Q92" s="52">
        <v>1219.4295</v>
      </c>
      <c r="R92" s="55">
        <v>44381.146851851852</v>
      </c>
      <c r="S92" s="53"/>
      <c r="T92" s="48" t="s">
        <v>18</v>
      </c>
      <c r="U92" s="48">
        <v>89</v>
      </c>
      <c r="V92" s="48" t="s">
        <v>438</v>
      </c>
    </row>
    <row r="93" spans="1:22" ht="21" hidden="1" customHeight="1">
      <c r="A93" s="48" t="s">
        <v>436</v>
      </c>
      <c r="B93" s="51"/>
      <c r="C93" s="47" t="s">
        <v>437</v>
      </c>
      <c r="D93" s="47" t="s">
        <v>164</v>
      </c>
      <c r="E93" s="47"/>
      <c r="F93" s="47" t="s">
        <v>164</v>
      </c>
      <c r="G93" s="48"/>
      <c r="H93" s="48" t="s">
        <v>164</v>
      </c>
      <c r="I93" s="48"/>
      <c r="J93" s="48" t="s">
        <v>164</v>
      </c>
      <c r="K93" s="48"/>
      <c r="L93" s="48" t="s">
        <v>164</v>
      </c>
      <c r="M93" s="48" t="s">
        <v>91</v>
      </c>
      <c r="N93" s="52">
        <v>0.98322963714599609</v>
      </c>
      <c r="O93" s="52">
        <v>13.051111111126399</v>
      </c>
      <c r="P93" s="55" t="s">
        <v>92</v>
      </c>
      <c r="Q93" s="52">
        <v>1219.4295</v>
      </c>
      <c r="R93" s="55">
        <v>44381.146851851852</v>
      </c>
      <c r="S93" s="53"/>
      <c r="T93" s="48" t="s">
        <v>18</v>
      </c>
      <c r="U93" s="48">
        <v>90</v>
      </c>
      <c r="V93" s="48" t="s">
        <v>435</v>
      </c>
    </row>
    <row r="94" spans="1:22" ht="21" hidden="1" customHeight="1">
      <c r="A94" s="48" t="s">
        <v>433</v>
      </c>
      <c r="B94" s="51"/>
      <c r="C94" s="47" t="s">
        <v>434</v>
      </c>
      <c r="D94" s="47" t="s">
        <v>164</v>
      </c>
      <c r="E94" s="47"/>
      <c r="F94" s="47" t="s">
        <v>164</v>
      </c>
      <c r="G94" s="48"/>
      <c r="H94" s="48" t="s">
        <v>164</v>
      </c>
      <c r="I94" s="48"/>
      <c r="J94" s="48" t="s">
        <v>164</v>
      </c>
      <c r="K94" s="48"/>
      <c r="L94" s="48" t="s">
        <v>164</v>
      </c>
      <c r="M94" s="48" t="s">
        <v>91</v>
      </c>
      <c r="N94" s="52">
        <v>12.823270797729492</v>
      </c>
      <c r="O94" s="52">
        <v>23.258888888871301</v>
      </c>
      <c r="P94" s="55" t="s">
        <v>92</v>
      </c>
      <c r="Q94" s="52">
        <v>1274.721</v>
      </c>
      <c r="R94" s="55">
        <v>44390.394999999997</v>
      </c>
      <c r="S94" s="53"/>
      <c r="T94" s="48" t="s">
        <v>18</v>
      </c>
      <c r="U94" s="48">
        <v>91</v>
      </c>
      <c r="V94" s="48" t="s">
        <v>432</v>
      </c>
    </row>
    <row r="95" spans="1:22" ht="21" hidden="1" customHeight="1">
      <c r="A95" s="48" t="s">
        <v>427</v>
      </c>
      <c r="B95" s="51"/>
      <c r="C95" s="47" t="s">
        <v>428</v>
      </c>
      <c r="D95" s="47" t="s">
        <v>164</v>
      </c>
      <c r="E95" s="47"/>
      <c r="F95" s="47" t="s">
        <v>164</v>
      </c>
      <c r="G95" s="48"/>
      <c r="H95" s="48" t="s">
        <v>164</v>
      </c>
      <c r="I95" s="48"/>
      <c r="J95" s="48" t="s">
        <v>164</v>
      </c>
      <c r="K95" s="48"/>
      <c r="L95" s="48" t="s">
        <v>164</v>
      </c>
      <c r="M95" s="48" t="s">
        <v>91</v>
      </c>
      <c r="N95" s="52" t="s">
        <v>201</v>
      </c>
      <c r="O95" s="52">
        <v>6.8808333333581704</v>
      </c>
      <c r="P95" s="55" t="s">
        <v>92</v>
      </c>
      <c r="Q95" s="48" t="s">
        <v>92</v>
      </c>
      <c r="R95" s="48" t="s">
        <v>92</v>
      </c>
      <c r="S95" s="53"/>
      <c r="T95" s="48" t="s">
        <v>18</v>
      </c>
      <c r="U95" s="48">
        <v>92</v>
      </c>
      <c r="V95" s="48" t="s">
        <v>426</v>
      </c>
    </row>
    <row r="96" spans="1:22" ht="21" hidden="1" customHeight="1">
      <c r="A96" s="48" t="s">
        <v>424</v>
      </c>
      <c r="B96" s="51"/>
      <c r="C96" s="47" t="s">
        <v>425</v>
      </c>
      <c r="D96" s="47" t="s">
        <v>164</v>
      </c>
      <c r="E96" s="47"/>
      <c r="F96" s="47" t="s">
        <v>164</v>
      </c>
      <c r="G96" s="48"/>
      <c r="H96" s="48" t="s">
        <v>164</v>
      </c>
      <c r="I96" s="48"/>
      <c r="J96" s="48" t="s">
        <v>164</v>
      </c>
      <c r="K96" s="48"/>
      <c r="L96" s="48" t="s">
        <v>164</v>
      </c>
      <c r="M96" s="48" t="s">
        <v>91</v>
      </c>
      <c r="N96" s="52">
        <v>1.4583930969238281</v>
      </c>
      <c r="O96" s="52">
        <v>15.6161111110705</v>
      </c>
      <c r="P96" s="55" t="s">
        <v>92</v>
      </c>
      <c r="Q96" s="52">
        <v>1274.721</v>
      </c>
      <c r="R96" s="55">
        <v>44390.394999999997</v>
      </c>
      <c r="S96" s="53"/>
      <c r="T96" s="48" t="s">
        <v>18</v>
      </c>
      <c r="U96" s="48">
        <v>93</v>
      </c>
      <c r="V96" s="48" t="s">
        <v>423</v>
      </c>
    </row>
    <row r="97" spans="1:22" ht="21" hidden="1" customHeight="1">
      <c r="A97" s="48" t="s">
        <v>421</v>
      </c>
      <c r="B97" s="51"/>
      <c r="C97" s="47" t="s">
        <v>422</v>
      </c>
      <c r="D97" s="47" t="s">
        <v>164</v>
      </c>
      <c r="E97" s="47"/>
      <c r="F97" s="47" t="s">
        <v>164</v>
      </c>
      <c r="G97" s="48"/>
      <c r="H97" s="48" t="s">
        <v>164</v>
      </c>
      <c r="I97" s="48"/>
      <c r="J97" s="48" t="s">
        <v>164</v>
      </c>
      <c r="K97" s="48"/>
      <c r="L97" s="48" t="s">
        <v>164</v>
      </c>
      <c r="M97" s="48" t="s">
        <v>91</v>
      </c>
      <c r="N97" s="52">
        <v>5.0156087875366211</v>
      </c>
      <c r="O97" s="52">
        <v>0.16944444458931701</v>
      </c>
      <c r="P97" s="55" t="s">
        <v>92</v>
      </c>
      <c r="Q97" s="52">
        <v>1294.8519999999999</v>
      </c>
      <c r="R97" s="55">
        <v>44391.695879629631</v>
      </c>
      <c r="S97" s="53"/>
      <c r="T97" s="48" t="s">
        <v>18</v>
      </c>
      <c r="U97" s="48">
        <v>94</v>
      </c>
      <c r="V97" s="48" t="s">
        <v>420</v>
      </c>
    </row>
    <row r="98" spans="1:22" ht="21" hidden="1" customHeight="1">
      <c r="A98" s="48" t="s">
        <v>415</v>
      </c>
      <c r="B98" s="51"/>
      <c r="C98" s="47" t="s">
        <v>416</v>
      </c>
      <c r="D98" s="47" t="s">
        <v>164</v>
      </c>
      <c r="E98" s="47"/>
      <c r="F98" s="47" t="s">
        <v>164</v>
      </c>
      <c r="G98" s="48"/>
      <c r="H98" s="48" t="s">
        <v>164</v>
      </c>
      <c r="I98" s="48"/>
      <c r="J98" s="48" t="s">
        <v>164</v>
      </c>
      <c r="K98" s="48"/>
      <c r="L98" s="48" t="s">
        <v>164</v>
      </c>
      <c r="M98" s="48" t="s">
        <v>91</v>
      </c>
      <c r="N98" s="52">
        <v>0.74178504943847656</v>
      </c>
      <c r="O98" s="52">
        <v>20.2399999999325</v>
      </c>
      <c r="P98" s="55" t="s">
        <v>92</v>
      </c>
      <c r="Q98" s="52">
        <v>1294.8519999999999</v>
      </c>
      <c r="R98" s="55">
        <v>44391.695879629631</v>
      </c>
      <c r="S98" s="53"/>
      <c r="T98" s="48" t="s">
        <v>18</v>
      </c>
      <c r="U98" s="48">
        <v>95</v>
      </c>
      <c r="V98" s="48" t="s">
        <v>414</v>
      </c>
    </row>
    <row r="99" spans="1:22" ht="21" hidden="1" customHeight="1">
      <c r="A99" s="48" t="s">
        <v>412</v>
      </c>
      <c r="B99" s="51"/>
      <c r="C99" s="47" t="s">
        <v>413</v>
      </c>
      <c r="D99" s="47" t="s">
        <v>164</v>
      </c>
      <c r="E99" s="47"/>
      <c r="F99" s="47" t="s">
        <v>164</v>
      </c>
      <c r="G99" s="48"/>
      <c r="H99" s="48" t="s">
        <v>164</v>
      </c>
      <c r="I99" s="48"/>
      <c r="J99" s="48" t="s">
        <v>164</v>
      </c>
      <c r="K99" s="48"/>
      <c r="L99" s="48" t="s">
        <v>164</v>
      </c>
      <c r="M99" s="48" t="s">
        <v>91</v>
      </c>
      <c r="N99" s="52" t="s">
        <v>201</v>
      </c>
      <c r="O99" s="52">
        <v>24.2255555555457</v>
      </c>
      <c r="P99" s="55" t="s">
        <v>92</v>
      </c>
      <c r="Q99" s="48" t="s">
        <v>92</v>
      </c>
      <c r="R99" s="48" t="s">
        <v>92</v>
      </c>
      <c r="S99" s="53"/>
      <c r="T99" s="48" t="s">
        <v>18</v>
      </c>
      <c r="U99" s="48">
        <v>96</v>
      </c>
      <c r="V99" s="48" t="s">
        <v>411</v>
      </c>
    </row>
    <row r="100" spans="1:22" ht="21" hidden="1" customHeight="1">
      <c r="A100" s="48" t="s">
        <v>409</v>
      </c>
      <c r="B100" s="51"/>
      <c r="C100" s="47" t="s">
        <v>410</v>
      </c>
      <c r="D100" s="47" t="s">
        <v>164</v>
      </c>
      <c r="E100" s="47"/>
      <c r="F100" s="47" t="s">
        <v>164</v>
      </c>
      <c r="G100" s="48"/>
      <c r="H100" s="48" t="s">
        <v>164</v>
      </c>
      <c r="I100" s="48"/>
      <c r="J100" s="48" t="s">
        <v>164</v>
      </c>
      <c r="K100" s="48"/>
      <c r="L100" s="48" t="s">
        <v>164</v>
      </c>
      <c r="M100" s="48" t="s">
        <v>91</v>
      </c>
      <c r="N100" s="52">
        <v>11.457222938537598</v>
      </c>
      <c r="O100" s="52">
        <v>23.008055555576</v>
      </c>
      <c r="P100" s="55" t="s">
        <v>92</v>
      </c>
      <c r="Q100" s="52">
        <v>1357.0135</v>
      </c>
      <c r="R100" s="55">
        <v>44401.521539351852</v>
      </c>
      <c r="S100" s="53"/>
      <c r="T100" s="48" t="s">
        <v>18</v>
      </c>
      <c r="U100" s="48">
        <v>97</v>
      </c>
      <c r="V100" s="48" t="s">
        <v>408</v>
      </c>
    </row>
    <row r="101" spans="1:22" ht="21" hidden="1" customHeight="1">
      <c r="A101" s="48" t="s">
        <v>406</v>
      </c>
      <c r="B101" s="51"/>
      <c r="C101" s="47" t="s">
        <v>407</v>
      </c>
      <c r="D101" s="47" t="s">
        <v>164</v>
      </c>
      <c r="E101" s="47"/>
      <c r="F101" s="47" t="s">
        <v>164</v>
      </c>
      <c r="G101" s="48"/>
      <c r="H101" s="48" t="s">
        <v>164</v>
      </c>
      <c r="I101" s="48"/>
      <c r="J101" s="48" t="s">
        <v>164</v>
      </c>
      <c r="K101" s="48"/>
      <c r="L101" s="48" t="s">
        <v>164</v>
      </c>
      <c r="M101" s="48" t="s">
        <v>91</v>
      </c>
      <c r="N101" s="52" t="s">
        <v>201</v>
      </c>
      <c r="O101" s="52">
        <v>19.6980555555783</v>
      </c>
      <c r="P101" s="55" t="s">
        <v>92</v>
      </c>
      <c r="Q101" s="48" t="s">
        <v>92</v>
      </c>
      <c r="R101" s="48" t="s">
        <v>92</v>
      </c>
      <c r="S101" s="53"/>
      <c r="T101" s="48" t="s">
        <v>18</v>
      </c>
      <c r="U101" s="48">
        <v>98</v>
      </c>
      <c r="V101" s="48" t="s">
        <v>405</v>
      </c>
    </row>
    <row r="102" spans="1:22" ht="21" hidden="1" customHeight="1">
      <c r="A102" s="48" t="s">
        <v>400</v>
      </c>
      <c r="B102" s="51"/>
      <c r="C102" s="47" t="s">
        <v>401</v>
      </c>
      <c r="D102" s="47" t="s">
        <v>164</v>
      </c>
      <c r="E102" s="47"/>
      <c r="F102" s="47" t="s">
        <v>164</v>
      </c>
      <c r="G102" s="48"/>
      <c r="H102" s="48" t="s">
        <v>164</v>
      </c>
      <c r="I102" s="48"/>
      <c r="J102" s="48" t="s">
        <v>164</v>
      </c>
      <c r="K102" s="48"/>
      <c r="L102" s="48" t="s">
        <v>164</v>
      </c>
      <c r="M102" s="48" t="s">
        <v>91</v>
      </c>
      <c r="N102" s="52">
        <v>14.84067440032959</v>
      </c>
      <c r="O102" s="52">
        <v>13.7033333333675</v>
      </c>
      <c r="P102" s="55" t="s">
        <v>92</v>
      </c>
      <c r="Q102" s="52">
        <v>1406.3834999999999</v>
      </c>
      <c r="R102" s="55">
        <v>44402.717511574076</v>
      </c>
      <c r="S102" s="53"/>
      <c r="T102" s="48" t="s">
        <v>18</v>
      </c>
      <c r="U102" s="48">
        <v>99</v>
      </c>
      <c r="V102" s="48" t="s">
        <v>399</v>
      </c>
    </row>
    <row r="103" spans="1:22" ht="21" hidden="1" customHeight="1">
      <c r="A103" s="48" t="s">
        <v>391</v>
      </c>
      <c r="B103" s="51"/>
      <c r="C103" s="47" t="s">
        <v>392</v>
      </c>
      <c r="D103" s="47" t="s">
        <v>164</v>
      </c>
      <c r="E103" s="47"/>
      <c r="F103" s="47" t="s">
        <v>164</v>
      </c>
      <c r="G103" s="48"/>
      <c r="H103" s="48" t="s">
        <v>164</v>
      </c>
      <c r="I103" s="48"/>
      <c r="J103" s="48" t="s">
        <v>164</v>
      </c>
      <c r="K103" s="48"/>
      <c r="L103" s="48" t="s">
        <v>164</v>
      </c>
      <c r="M103" s="48" t="s">
        <v>91</v>
      </c>
      <c r="N103" s="52">
        <v>12.684097290039063</v>
      </c>
      <c r="O103" s="52">
        <v>15.8791666666511</v>
      </c>
      <c r="P103" s="55" t="s">
        <v>92</v>
      </c>
      <c r="Q103" s="52">
        <v>1467.1289999999999</v>
      </c>
      <c r="R103" s="55">
        <v>44410.228738425925</v>
      </c>
      <c r="S103" s="53"/>
      <c r="T103" s="48" t="s">
        <v>18</v>
      </c>
      <c r="U103" s="48">
        <v>100</v>
      </c>
      <c r="V103" s="48" t="s">
        <v>390</v>
      </c>
    </row>
    <row r="104" spans="1:22" ht="21" hidden="1" customHeight="1">
      <c r="A104" s="48" t="s">
        <v>388</v>
      </c>
      <c r="B104" s="51"/>
      <c r="C104" s="47" t="s">
        <v>389</v>
      </c>
      <c r="D104" s="47" t="s">
        <v>164</v>
      </c>
      <c r="E104" s="47"/>
      <c r="F104" s="47" t="s">
        <v>164</v>
      </c>
      <c r="G104" s="48"/>
      <c r="H104" s="48" t="s">
        <v>164</v>
      </c>
      <c r="I104" s="48"/>
      <c r="J104" s="48" t="s">
        <v>164</v>
      </c>
      <c r="K104" s="48"/>
      <c r="L104" s="48" t="s">
        <v>164</v>
      </c>
      <c r="M104" s="48" t="s">
        <v>91</v>
      </c>
      <c r="N104" s="52">
        <v>13.216303825378418</v>
      </c>
      <c r="O104" s="52">
        <v>21.863611111126399</v>
      </c>
      <c r="P104" s="55" t="s">
        <v>92</v>
      </c>
      <c r="Q104" s="52">
        <v>1480.2905000000001</v>
      </c>
      <c r="R104" s="55">
        <v>44411.162268518521</v>
      </c>
      <c r="S104" s="53"/>
      <c r="T104" s="48" t="s">
        <v>18</v>
      </c>
      <c r="U104" s="48">
        <v>101</v>
      </c>
      <c r="V104" s="48" t="s">
        <v>387</v>
      </c>
    </row>
    <row r="105" spans="1:22" ht="21" hidden="1" customHeight="1">
      <c r="A105" s="48" t="s">
        <v>382</v>
      </c>
      <c r="B105" s="51"/>
      <c r="C105" s="47" t="s">
        <v>383</v>
      </c>
      <c r="D105" s="47" t="s">
        <v>164</v>
      </c>
      <c r="E105" s="47"/>
      <c r="F105" s="47" t="s">
        <v>164</v>
      </c>
      <c r="G105" s="48"/>
      <c r="H105" s="48" t="s">
        <v>164</v>
      </c>
      <c r="I105" s="48"/>
      <c r="J105" s="48" t="s">
        <v>164</v>
      </c>
      <c r="K105" s="48"/>
      <c r="L105" s="48" t="s">
        <v>164</v>
      </c>
      <c r="M105" s="48" t="s">
        <v>91</v>
      </c>
      <c r="N105" s="52">
        <v>7.3404817581176758</v>
      </c>
      <c r="O105" s="52">
        <v>31.747500000055901</v>
      </c>
      <c r="P105" s="55" t="s">
        <v>92</v>
      </c>
      <c r="Q105" s="52">
        <v>1483.405</v>
      </c>
      <c r="R105" s="55">
        <v>44412.55804398148</v>
      </c>
      <c r="S105" s="53"/>
      <c r="T105" s="48" t="s">
        <v>18</v>
      </c>
      <c r="U105" s="48">
        <v>102</v>
      </c>
      <c r="V105" s="48" t="s">
        <v>381</v>
      </c>
    </row>
    <row r="106" spans="1:22" ht="21" hidden="1" customHeight="1">
      <c r="A106" s="48" t="s">
        <v>379</v>
      </c>
      <c r="B106" s="51"/>
      <c r="C106" s="47" t="s">
        <v>380</v>
      </c>
      <c r="D106" s="47" t="s">
        <v>164</v>
      </c>
      <c r="E106" s="47"/>
      <c r="F106" s="47" t="s">
        <v>164</v>
      </c>
      <c r="G106" s="48"/>
      <c r="H106" s="48" t="s">
        <v>164</v>
      </c>
      <c r="I106" s="48"/>
      <c r="J106" s="48" t="s">
        <v>164</v>
      </c>
      <c r="K106" s="48"/>
      <c r="L106" s="48" t="s">
        <v>164</v>
      </c>
      <c r="M106" s="48" t="s">
        <v>91</v>
      </c>
      <c r="N106" s="52">
        <v>1.4755744934082031</v>
      </c>
      <c r="O106" s="52">
        <v>1.7005555556388601</v>
      </c>
      <c r="P106" s="55" t="s">
        <v>92</v>
      </c>
      <c r="Q106" s="52">
        <v>1488.4075</v>
      </c>
      <c r="R106" s="55">
        <v>44414.041331018518</v>
      </c>
      <c r="S106" s="53"/>
      <c r="T106" s="48" t="s">
        <v>18</v>
      </c>
      <c r="U106" s="48">
        <v>103</v>
      </c>
      <c r="V106" s="48" t="s">
        <v>378</v>
      </c>
    </row>
    <row r="107" spans="1:22" ht="21" hidden="1" customHeight="1">
      <c r="A107" s="48" t="s">
        <v>376</v>
      </c>
      <c r="B107" s="51"/>
      <c r="C107" s="47" t="s">
        <v>377</v>
      </c>
      <c r="D107" s="47" t="s">
        <v>164</v>
      </c>
      <c r="E107" s="47"/>
      <c r="F107" s="47" t="s">
        <v>164</v>
      </c>
      <c r="G107" s="48"/>
      <c r="H107" s="48" t="s">
        <v>164</v>
      </c>
      <c r="I107" s="48"/>
      <c r="J107" s="48" t="s">
        <v>164</v>
      </c>
      <c r="K107" s="48"/>
      <c r="L107" s="48" t="s">
        <v>164</v>
      </c>
      <c r="M107" s="48" t="s">
        <v>91</v>
      </c>
      <c r="N107" s="52">
        <v>2.2450704574584961</v>
      </c>
      <c r="O107" s="52">
        <v>17.730277777940501</v>
      </c>
      <c r="P107" s="55" t="s">
        <v>92</v>
      </c>
      <c r="Q107" s="52">
        <v>1497.759</v>
      </c>
      <c r="R107" s="55">
        <v>44414.634398148148</v>
      </c>
      <c r="S107" s="53"/>
      <c r="T107" s="48" t="s">
        <v>18</v>
      </c>
      <c r="U107" s="48">
        <v>104</v>
      </c>
      <c r="V107" s="48" t="s">
        <v>375</v>
      </c>
    </row>
    <row r="108" spans="1:22" ht="21" hidden="1" customHeight="1">
      <c r="A108" s="48" t="s">
        <v>373</v>
      </c>
      <c r="B108" s="51"/>
      <c r="C108" s="47" t="s">
        <v>374</v>
      </c>
      <c r="D108" s="47" t="s">
        <v>164</v>
      </c>
      <c r="E108" s="47"/>
      <c r="F108" s="47" t="s">
        <v>164</v>
      </c>
      <c r="G108" s="48"/>
      <c r="H108" s="48" t="s">
        <v>164</v>
      </c>
      <c r="I108" s="48"/>
      <c r="J108" s="48" t="s">
        <v>164</v>
      </c>
      <c r="K108" s="48"/>
      <c r="L108" s="48" t="s">
        <v>164</v>
      </c>
      <c r="M108" s="48" t="s">
        <v>91</v>
      </c>
      <c r="N108" s="52">
        <v>6.8846721649169922</v>
      </c>
      <c r="O108" s="52">
        <v>4.6405555555829796</v>
      </c>
      <c r="P108" s="55" t="s">
        <v>92</v>
      </c>
      <c r="Q108" s="52">
        <v>1501.6469999999999</v>
      </c>
      <c r="R108" s="55">
        <v>44415.084814814814</v>
      </c>
      <c r="S108" s="53"/>
      <c r="T108" s="48" t="s">
        <v>18</v>
      </c>
      <c r="U108" s="48">
        <v>105</v>
      </c>
      <c r="V108" s="48" t="s">
        <v>372</v>
      </c>
    </row>
    <row r="109" spans="1:22" ht="21" hidden="1" customHeight="1">
      <c r="A109" s="48" t="s">
        <v>367</v>
      </c>
      <c r="B109" s="51"/>
      <c r="C109" s="47" t="s">
        <v>368</v>
      </c>
      <c r="D109" s="47" t="s">
        <v>164</v>
      </c>
      <c r="E109" s="47"/>
      <c r="F109" s="47" t="s">
        <v>164</v>
      </c>
      <c r="G109" s="48"/>
      <c r="H109" s="48" t="s">
        <v>164</v>
      </c>
      <c r="I109" s="48"/>
      <c r="J109" s="48" t="s">
        <v>164</v>
      </c>
      <c r="K109" s="48"/>
      <c r="L109" s="48" t="s">
        <v>164</v>
      </c>
      <c r="M109" s="48" t="s">
        <v>91</v>
      </c>
      <c r="N109" s="52">
        <v>0.35842132568359375</v>
      </c>
      <c r="O109" s="52">
        <v>12.0988888887805</v>
      </c>
      <c r="P109" s="55" t="s">
        <v>92</v>
      </c>
      <c r="Q109" s="52">
        <v>1501.6469999999999</v>
      </c>
      <c r="R109" s="55">
        <v>44415.084814814814</v>
      </c>
      <c r="S109" s="53"/>
      <c r="T109" s="48" t="s">
        <v>18</v>
      </c>
      <c r="U109" s="48">
        <v>106</v>
      </c>
      <c r="V109" s="48" t="s">
        <v>366</v>
      </c>
    </row>
    <row r="110" spans="1:22" ht="21" hidden="1" customHeight="1">
      <c r="A110" s="48" t="s">
        <v>364</v>
      </c>
      <c r="B110" s="51"/>
      <c r="C110" s="47" t="s">
        <v>365</v>
      </c>
      <c r="D110" s="47" t="s">
        <v>164</v>
      </c>
      <c r="E110" s="47"/>
      <c r="F110" s="47" t="s">
        <v>164</v>
      </c>
      <c r="G110" s="48"/>
      <c r="H110" s="48" t="s">
        <v>164</v>
      </c>
      <c r="I110" s="48"/>
      <c r="J110" s="48" t="s">
        <v>164</v>
      </c>
      <c r="K110" s="48"/>
      <c r="L110" s="48" t="s">
        <v>164</v>
      </c>
      <c r="M110" s="48" t="s">
        <v>91</v>
      </c>
      <c r="N110" s="52">
        <v>7.3171110153198242</v>
      </c>
      <c r="O110" s="52">
        <v>23.9619444444543</v>
      </c>
      <c r="P110" s="55" t="s">
        <v>92</v>
      </c>
      <c r="Q110" s="52">
        <v>1522.9349999999999</v>
      </c>
      <c r="R110" s="55">
        <v>44419.206574074073</v>
      </c>
      <c r="S110" s="53"/>
      <c r="T110" s="48" t="s">
        <v>18</v>
      </c>
      <c r="U110" s="48">
        <v>107</v>
      </c>
      <c r="V110" s="48" t="s">
        <v>363</v>
      </c>
    </row>
    <row r="111" spans="1:22" ht="21" hidden="1" customHeight="1">
      <c r="A111" s="48" t="s">
        <v>361</v>
      </c>
      <c r="B111" s="51"/>
      <c r="C111" s="47" t="s">
        <v>362</v>
      </c>
      <c r="D111" s="47" t="s">
        <v>164</v>
      </c>
      <c r="E111" s="47"/>
      <c r="F111" s="47" t="s">
        <v>164</v>
      </c>
      <c r="G111" s="48"/>
      <c r="H111" s="48" t="s">
        <v>164</v>
      </c>
      <c r="I111" s="48"/>
      <c r="J111" s="48" t="s">
        <v>164</v>
      </c>
      <c r="K111" s="48"/>
      <c r="L111" s="48" t="s">
        <v>164</v>
      </c>
      <c r="M111" s="48" t="s">
        <v>91</v>
      </c>
      <c r="N111" s="52" t="s">
        <v>201</v>
      </c>
      <c r="O111" s="52">
        <v>31.2658333334257</v>
      </c>
      <c r="P111" s="55" t="s">
        <v>92</v>
      </c>
      <c r="Q111" s="48" t="s">
        <v>92</v>
      </c>
      <c r="R111" s="48" t="s">
        <v>92</v>
      </c>
      <c r="S111" s="53"/>
      <c r="T111" s="48" t="s">
        <v>18</v>
      </c>
      <c r="U111" s="48">
        <v>108</v>
      </c>
      <c r="V111" s="48" t="s">
        <v>360</v>
      </c>
    </row>
    <row r="112" spans="1:22" ht="21" hidden="1" customHeight="1">
      <c r="A112" s="48" t="s">
        <v>358</v>
      </c>
      <c r="B112" s="51"/>
      <c r="C112" s="47" t="s">
        <v>359</v>
      </c>
      <c r="D112" s="47" t="s">
        <v>164</v>
      </c>
      <c r="E112" s="47"/>
      <c r="F112" s="47" t="s">
        <v>164</v>
      </c>
      <c r="G112" s="48"/>
      <c r="H112" s="48" t="s">
        <v>164</v>
      </c>
      <c r="I112" s="48"/>
      <c r="J112" s="48" t="s">
        <v>164</v>
      </c>
      <c r="K112" s="48"/>
      <c r="L112" s="48" t="s">
        <v>164</v>
      </c>
      <c r="M112" s="48" t="s">
        <v>91</v>
      </c>
      <c r="N112" s="52" t="s">
        <v>201</v>
      </c>
      <c r="O112" s="52">
        <v>14.597777777700699</v>
      </c>
      <c r="P112" s="55" t="s">
        <v>92</v>
      </c>
      <c r="Q112" s="48" t="s">
        <v>92</v>
      </c>
      <c r="R112" s="48" t="s">
        <v>92</v>
      </c>
      <c r="S112" s="53"/>
      <c r="T112" s="48" t="s">
        <v>18</v>
      </c>
      <c r="U112" s="48">
        <v>109</v>
      </c>
      <c r="V112" s="48" t="s">
        <v>357</v>
      </c>
    </row>
    <row r="113" spans="1:22" ht="21" hidden="1" customHeight="1">
      <c r="A113" s="48" t="s">
        <v>355</v>
      </c>
      <c r="B113" s="51"/>
      <c r="C113" s="47" t="s">
        <v>356</v>
      </c>
      <c r="D113" s="47" t="s">
        <v>164</v>
      </c>
      <c r="E113" s="47"/>
      <c r="F113" s="47" t="s">
        <v>164</v>
      </c>
      <c r="G113" s="48"/>
      <c r="H113" s="48" t="s">
        <v>164</v>
      </c>
      <c r="I113" s="48"/>
      <c r="J113" s="48" t="s">
        <v>164</v>
      </c>
      <c r="K113" s="48"/>
      <c r="L113" s="48" t="s">
        <v>164</v>
      </c>
      <c r="M113" s="48" t="s">
        <v>91</v>
      </c>
      <c r="N113" s="52">
        <v>9.1357059478759766</v>
      </c>
      <c r="O113" s="52">
        <v>4.6266666667652299</v>
      </c>
      <c r="P113" s="55" t="s">
        <v>92</v>
      </c>
      <c r="Q113" s="52">
        <v>1536.0535</v>
      </c>
      <c r="R113" s="55">
        <v>44420.167534722219</v>
      </c>
      <c r="S113" s="53"/>
      <c r="T113" s="48" t="s">
        <v>18</v>
      </c>
      <c r="U113" s="48">
        <v>110</v>
      </c>
      <c r="V113" s="48" t="s">
        <v>354</v>
      </c>
    </row>
    <row r="114" spans="1:22" ht="21" hidden="1" customHeight="1">
      <c r="A114" s="48" t="s">
        <v>349</v>
      </c>
      <c r="B114" s="51"/>
      <c r="C114" s="47" t="s">
        <v>350</v>
      </c>
      <c r="D114" s="47" t="s">
        <v>164</v>
      </c>
      <c r="E114" s="47"/>
      <c r="F114" s="47" t="s">
        <v>164</v>
      </c>
      <c r="G114" s="48"/>
      <c r="H114" s="48" t="s">
        <v>164</v>
      </c>
      <c r="I114" s="48"/>
      <c r="J114" s="48" t="s">
        <v>164</v>
      </c>
      <c r="K114" s="48"/>
      <c r="L114" s="48" t="s">
        <v>164</v>
      </c>
      <c r="M114" s="48" t="s">
        <v>91</v>
      </c>
      <c r="N114" s="52" t="s">
        <v>201</v>
      </c>
      <c r="O114" s="52">
        <v>1.83611111110076</v>
      </c>
      <c r="P114" s="55" t="s">
        <v>92</v>
      </c>
      <c r="Q114" s="48" t="s">
        <v>92</v>
      </c>
      <c r="R114" s="48" t="s">
        <v>92</v>
      </c>
      <c r="S114" s="53"/>
      <c r="T114" s="48" t="s">
        <v>18</v>
      </c>
      <c r="U114" s="48">
        <v>111</v>
      </c>
      <c r="V114" s="48" t="s">
        <v>348</v>
      </c>
    </row>
    <row r="115" spans="1:22" ht="21" hidden="1" customHeight="1">
      <c r="A115" s="48" t="s">
        <v>346</v>
      </c>
      <c r="B115" s="51"/>
      <c r="C115" s="47" t="s">
        <v>347</v>
      </c>
      <c r="D115" s="47" t="s">
        <v>164</v>
      </c>
      <c r="E115" s="47"/>
      <c r="F115" s="47" t="s">
        <v>164</v>
      </c>
      <c r="G115" s="48"/>
      <c r="H115" s="48" t="s">
        <v>164</v>
      </c>
      <c r="I115" s="48"/>
      <c r="J115" s="48" t="s">
        <v>164</v>
      </c>
      <c r="K115" s="48"/>
      <c r="L115" s="48" t="s">
        <v>164</v>
      </c>
      <c r="M115" s="48" t="s">
        <v>91</v>
      </c>
      <c r="N115" s="52">
        <v>3.6238861083984375</v>
      </c>
      <c r="O115" s="52">
        <v>17.928055555501501</v>
      </c>
      <c r="P115" s="55" t="s">
        <v>92</v>
      </c>
      <c r="Q115" s="52">
        <v>1536.6370000000002</v>
      </c>
      <c r="R115" s="55">
        <v>44420.705543981479</v>
      </c>
      <c r="S115" s="53"/>
      <c r="T115" s="48" t="s">
        <v>18</v>
      </c>
      <c r="U115" s="48">
        <v>112</v>
      </c>
      <c r="V115" s="48" t="s">
        <v>345</v>
      </c>
    </row>
    <row r="116" spans="1:22" ht="21" hidden="1" customHeight="1">
      <c r="A116" s="48" t="s">
        <v>343</v>
      </c>
      <c r="B116" s="51"/>
      <c r="C116" s="47" t="s">
        <v>344</v>
      </c>
      <c r="D116" s="47" t="s">
        <v>164</v>
      </c>
      <c r="E116" s="47"/>
      <c r="F116" s="47" t="s">
        <v>164</v>
      </c>
      <c r="G116" s="48"/>
      <c r="H116" s="48" t="s">
        <v>164</v>
      </c>
      <c r="I116" s="48"/>
      <c r="J116" s="48" t="s">
        <v>164</v>
      </c>
      <c r="K116" s="48"/>
      <c r="L116" s="48" t="s">
        <v>164</v>
      </c>
      <c r="M116" s="48" t="s">
        <v>91</v>
      </c>
      <c r="N116" s="52">
        <v>12.784632682800293</v>
      </c>
      <c r="O116" s="52">
        <v>15.391111111210201</v>
      </c>
      <c r="P116" s="55" t="s">
        <v>92</v>
      </c>
      <c r="Q116" s="52">
        <v>1572.9935</v>
      </c>
      <c r="R116" s="55">
        <v>44427.521782407406</v>
      </c>
      <c r="S116" s="53"/>
      <c r="T116" s="48" t="s">
        <v>18</v>
      </c>
      <c r="U116" s="48">
        <v>113</v>
      </c>
      <c r="V116" s="48" t="s">
        <v>342</v>
      </c>
    </row>
    <row r="117" spans="1:22" ht="21" hidden="1" customHeight="1">
      <c r="A117" s="48" t="s">
        <v>340</v>
      </c>
      <c r="B117" s="51"/>
      <c r="C117" s="47" t="s">
        <v>341</v>
      </c>
      <c r="D117" s="47" t="s">
        <v>164</v>
      </c>
      <c r="E117" s="47"/>
      <c r="F117" s="47" t="s">
        <v>164</v>
      </c>
      <c r="G117" s="48"/>
      <c r="H117" s="48" t="s">
        <v>164</v>
      </c>
      <c r="I117" s="48"/>
      <c r="J117" s="48" t="s">
        <v>164</v>
      </c>
      <c r="K117" s="48"/>
      <c r="L117" s="48" t="s">
        <v>164</v>
      </c>
      <c r="M117" s="48" t="s">
        <v>91</v>
      </c>
      <c r="N117" s="52">
        <v>8.1735782623291016</v>
      </c>
      <c r="O117" s="52">
        <v>4.9619444445124801</v>
      </c>
      <c r="P117" s="55" t="s">
        <v>92</v>
      </c>
      <c r="Q117" s="52">
        <v>1609.0654999999999</v>
      </c>
      <c r="R117" s="55">
        <v>44430.618877314817</v>
      </c>
      <c r="S117" s="53"/>
      <c r="T117" s="48" t="s">
        <v>18</v>
      </c>
      <c r="U117" s="48">
        <v>114</v>
      </c>
      <c r="V117" s="48" t="s">
        <v>339</v>
      </c>
    </row>
    <row r="118" spans="1:22" ht="21" hidden="1" customHeight="1">
      <c r="A118" s="48" t="s">
        <v>334</v>
      </c>
      <c r="B118" s="51"/>
      <c r="C118" s="47" t="s">
        <v>335</v>
      </c>
      <c r="D118" s="47" t="s">
        <v>164</v>
      </c>
      <c r="E118" s="47"/>
      <c r="F118" s="47" t="s">
        <v>164</v>
      </c>
      <c r="G118" s="48"/>
      <c r="H118" s="48" t="s">
        <v>164</v>
      </c>
      <c r="I118" s="48"/>
      <c r="J118" s="48" t="s">
        <v>164</v>
      </c>
      <c r="K118" s="48"/>
      <c r="L118" s="48" t="s">
        <v>164</v>
      </c>
      <c r="M118" s="48" t="s">
        <v>91</v>
      </c>
      <c r="N118" s="52" t="s">
        <v>201</v>
      </c>
      <c r="O118" s="52">
        <v>19.484444444475201</v>
      </c>
      <c r="P118" s="55" t="s">
        <v>92</v>
      </c>
      <c r="Q118" s="48" t="s">
        <v>92</v>
      </c>
      <c r="R118" s="48" t="s">
        <v>92</v>
      </c>
      <c r="S118" s="53"/>
      <c r="T118" s="48" t="s">
        <v>18</v>
      </c>
      <c r="U118" s="48">
        <v>115</v>
      </c>
      <c r="V118" s="48" t="s">
        <v>333</v>
      </c>
    </row>
    <row r="119" spans="1:22" ht="21" hidden="1" customHeight="1">
      <c r="A119" s="48" t="s">
        <v>331</v>
      </c>
      <c r="B119" s="51"/>
      <c r="C119" s="47" t="s">
        <v>332</v>
      </c>
      <c r="D119" s="47" t="s">
        <v>164</v>
      </c>
      <c r="E119" s="47"/>
      <c r="F119" s="47" t="s">
        <v>164</v>
      </c>
      <c r="G119" s="48"/>
      <c r="H119" s="48" t="s">
        <v>164</v>
      </c>
      <c r="I119" s="48"/>
      <c r="J119" s="48" t="s">
        <v>164</v>
      </c>
      <c r="K119" s="48"/>
      <c r="L119" s="48" t="s">
        <v>164</v>
      </c>
      <c r="M119" s="48" t="s">
        <v>91</v>
      </c>
      <c r="N119" s="52" t="s">
        <v>201</v>
      </c>
      <c r="O119" s="52">
        <v>29.450000000128099</v>
      </c>
      <c r="P119" s="55" t="s">
        <v>92</v>
      </c>
      <c r="Q119" s="48" t="s">
        <v>92</v>
      </c>
      <c r="R119" s="48" t="s">
        <v>92</v>
      </c>
      <c r="S119" s="53"/>
      <c r="T119" s="48" t="s">
        <v>18</v>
      </c>
      <c r="U119" s="48">
        <v>116</v>
      </c>
      <c r="V119" s="48" t="s">
        <v>330</v>
      </c>
    </row>
    <row r="120" spans="1:22" ht="21" hidden="1" customHeight="1">
      <c r="A120" s="48" t="s">
        <v>328</v>
      </c>
      <c r="B120" s="51"/>
      <c r="C120" s="47" t="s">
        <v>329</v>
      </c>
      <c r="D120" s="47" t="s">
        <v>164</v>
      </c>
      <c r="E120" s="47"/>
      <c r="F120" s="47" t="s">
        <v>164</v>
      </c>
      <c r="G120" s="48"/>
      <c r="H120" s="48" t="s">
        <v>164</v>
      </c>
      <c r="I120" s="48"/>
      <c r="J120" s="48" t="s">
        <v>164</v>
      </c>
      <c r="K120" s="48"/>
      <c r="L120" s="48" t="s">
        <v>164</v>
      </c>
      <c r="M120" s="48" t="s">
        <v>91</v>
      </c>
      <c r="N120" s="52">
        <v>8.3529062271118164</v>
      </c>
      <c r="O120" s="52">
        <v>20.743333333404699</v>
      </c>
      <c r="P120" s="55" t="s">
        <v>92</v>
      </c>
      <c r="Q120" s="52">
        <v>1619.7565</v>
      </c>
      <c r="R120" s="55">
        <v>44431.59306712963</v>
      </c>
      <c r="S120" s="53"/>
      <c r="T120" s="48" t="s">
        <v>18</v>
      </c>
      <c r="U120" s="48">
        <v>117</v>
      </c>
      <c r="V120" s="48" t="s">
        <v>327</v>
      </c>
    </row>
    <row r="121" spans="1:22" ht="21" hidden="1" customHeight="1">
      <c r="A121" s="48" t="s">
        <v>325</v>
      </c>
      <c r="B121" s="51"/>
      <c r="C121" s="47" t="s">
        <v>326</v>
      </c>
      <c r="D121" s="47" t="s">
        <v>164</v>
      </c>
      <c r="E121" s="47"/>
      <c r="F121" s="47" t="s">
        <v>164</v>
      </c>
      <c r="G121" s="48"/>
      <c r="H121" s="48" t="s">
        <v>164</v>
      </c>
      <c r="I121" s="48"/>
      <c r="J121" s="48" t="s">
        <v>164</v>
      </c>
      <c r="K121" s="48"/>
      <c r="L121" s="48" t="s">
        <v>164</v>
      </c>
      <c r="M121" s="48" t="s">
        <v>91</v>
      </c>
      <c r="N121" s="52" t="s">
        <v>201</v>
      </c>
      <c r="O121" s="52">
        <v>10.6672222221969</v>
      </c>
      <c r="P121" s="55" t="s">
        <v>92</v>
      </c>
      <c r="Q121" s="48" t="s">
        <v>92</v>
      </c>
      <c r="R121" s="48" t="s">
        <v>92</v>
      </c>
      <c r="S121" s="53"/>
      <c r="T121" s="48" t="s">
        <v>18</v>
      </c>
      <c r="U121" s="48">
        <v>118</v>
      </c>
      <c r="V121" s="48" t="s">
        <v>324</v>
      </c>
    </row>
    <row r="122" spans="1:22" ht="21" hidden="1" customHeight="1">
      <c r="A122" s="48" t="s">
        <v>322</v>
      </c>
      <c r="B122" s="51"/>
      <c r="C122" s="47" t="s">
        <v>323</v>
      </c>
      <c r="D122" s="47" t="s">
        <v>164</v>
      </c>
      <c r="E122" s="47"/>
      <c r="F122" s="47" t="s">
        <v>164</v>
      </c>
      <c r="G122" s="48"/>
      <c r="H122" s="48" t="s">
        <v>164</v>
      </c>
      <c r="I122" s="48"/>
      <c r="J122" s="48" t="s">
        <v>164</v>
      </c>
      <c r="K122" s="48"/>
      <c r="L122" s="48" t="s">
        <v>164</v>
      </c>
      <c r="M122" s="48" t="s">
        <v>91</v>
      </c>
      <c r="N122" s="52">
        <v>8.8327064514160156</v>
      </c>
      <c r="O122" s="52">
        <v>25.464166666497501</v>
      </c>
      <c r="P122" s="55" t="s">
        <v>92</v>
      </c>
      <c r="Q122" s="52">
        <v>1633.3605</v>
      </c>
      <c r="R122" s="55">
        <v>44439.59716435185</v>
      </c>
      <c r="S122" s="53"/>
      <c r="T122" s="48" t="s">
        <v>18</v>
      </c>
      <c r="U122" s="48">
        <v>119</v>
      </c>
      <c r="V122" s="48" t="s">
        <v>321</v>
      </c>
    </row>
    <row r="123" spans="1:22" ht="21" hidden="1" customHeight="1">
      <c r="A123" s="48" t="s">
        <v>319</v>
      </c>
      <c r="B123" s="51"/>
      <c r="C123" s="47" t="s">
        <v>320</v>
      </c>
      <c r="D123" s="47" t="s">
        <v>164</v>
      </c>
      <c r="E123" s="47"/>
      <c r="F123" s="47" t="s">
        <v>164</v>
      </c>
      <c r="G123" s="48"/>
      <c r="H123" s="48" t="s">
        <v>164</v>
      </c>
      <c r="I123" s="48"/>
      <c r="J123" s="48" t="s">
        <v>164</v>
      </c>
      <c r="K123" s="48"/>
      <c r="L123" s="48" t="s">
        <v>164</v>
      </c>
      <c r="M123" s="48" t="s">
        <v>91</v>
      </c>
      <c r="N123" s="52">
        <v>1.9998464584350586</v>
      </c>
      <c r="O123" s="52">
        <v>3.4827777776517901</v>
      </c>
      <c r="P123" s="55" t="s">
        <v>92</v>
      </c>
      <c r="Q123" s="52">
        <v>1647.1779999999999</v>
      </c>
      <c r="R123" s="55">
        <v>44441.090486111112</v>
      </c>
      <c r="S123" s="53"/>
      <c r="T123" s="48" t="s">
        <v>18</v>
      </c>
      <c r="U123" s="48">
        <v>120</v>
      </c>
      <c r="V123" s="48" t="s">
        <v>318</v>
      </c>
    </row>
    <row r="124" spans="1:22" ht="21" hidden="1" customHeight="1">
      <c r="A124" s="48" t="s">
        <v>316</v>
      </c>
      <c r="B124" s="51"/>
      <c r="C124" s="47" t="s">
        <v>317</v>
      </c>
      <c r="D124" s="47" t="s">
        <v>164</v>
      </c>
      <c r="E124" s="47"/>
      <c r="F124" s="47" t="s">
        <v>164</v>
      </c>
      <c r="G124" s="48"/>
      <c r="H124" s="48" t="s">
        <v>164</v>
      </c>
      <c r="I124" s="48"/>
      <c r="J124" s="48" t="s">
        <v>164</v>
      </c>
      <c r="K124" s="48"/>
      <c r="L124" s="48" t="s">
        <v>164</v>
      </c>
      <c r="M124" s="48" t="s">
        <v>91</v>
      </c>
      <c r="N124" s="52" t="s">
        <v>201</v>
      </c>
      <c r="O124" s="52">
        <v>2.4336111112497698</v>
      </c>
      <c r="P124" s="55" t="s">
        <v>92</v>
      </c>
      <c r="Q124" s="48" t="s">
        <v>92</v>
      </c>
      <c r="R124" s="48" t="s">
        <v>92</v>
      </c>
      <c r="S124" s="53"/>
      <c r="T124" s="48" t="s">
        <v>18</v>
      </c>
      <c r="U124" s="48">
        <v>121</v>
      </c>
      <c r="V124" s="48" t="s">
        <v>315</v>
      </c>
    </row>
    <row r="125" spans="1:22" ht="21" hidden="1" customHeight="1">
      <c r="A125" s="48" t="s">
        <v>310</v>
      </c>
      <c r="B125" s="51"/>
      <c r="C125" s="47" t="s">
        <v>311</v>
      </c>
      <c r="D125" s="47" t="s">
        <v>164</v>
      </c>
      <c r="E125" s="47"/>
      <c r="F125" s="47" t="s">
        <v>164</v>
      </c>
      <c r="G125" s="48"/>
      <c r="H125" s="48" t="s">
        <v>164</v>
      </c>
      <c r="I125" s="48"/>
      <c r="J125" s="48" t="s">
        <v>164</v>
      </c>
      <c r="K125" s="48"/>
      <c r="L125" s="48" t="s">
        <v>164</v>
      </c>
      <c r="M125" s="48" t="s">
        <v>91</v>
      </c>
      <c r="N125" s="52">
        <v>4.5425539016723633</v>
      </c>
      <c r="O125" s="52">
        <v>9.8788888888084294</v>
      </c>
      <c r="P125" s="55" t="s">
        <v>92</v>
      </c>
      <c r="Q125" s="52">
        <v>1653.38</v>
      </c>
      <c r="R125" s="55">
        <v>44441.63013888889</v>
      </c>
      <c r="S125" s="53"/>
      <c r="T125" s="48" t="s">
        <v>18</v>
      </c>
      <c r="U125" s="48">
        <v>122</v>
      </c>
      <c r="V125" s="48" t="s">
        <v>309</v>
      </c>
    </row>
    <row r="126" spans="1:22" ht="21" hidden="1" customHeight="1">
      <c r="A126" s="48" t="s">
        <v>307</v>
      </c>
      <c r="B126" s="51"/>
      <c r="C126" s="47" t="s">
        <v>308</v>
      </c>
      <c r="D126" s="47" t="s">
        <v>164</v>
      </c>
      <c r="E126" s="47"/>
      <c r="F126" s="47" t="s">
        <v>164</v>
      </c>
      <c r="G126" s="48"/>
      <c r="H126" s="48" t="s">
        <v>164</v>
      </c>
      <c r="I126" s="48"/>
      <c r="J126" s="48" t="s">
        <v>164</v>
      </c>
      <c r="K126" s="48"/>
      <c r="L126" s="48" t="s">
        <v>164</v>
      </c>
      <c r="M126" s="48" t="s">
        <v>91</v>
      </c>
      <c r="N126" s="52" t="s">
        <v>201</v>
      </c>
      <c r="O126" s="52">
        <v>25.793888888962101</v>
      </c>
      <c r="P126" s="55" t="s">
        <v>92</v>
      </c>
      <c r="Q126" s="48" t="s">
        <v>92</v>
      </c>
      <c r="R126" s="48" t="s">
        <v>92</v>
      </c>
      <c r="S126" s="53"/>
      <c r="T126" s="48" t="s">
        <v>18</v>
      </c>
      <c r="U126" s="48">
        <v>123</v>
      </c>
      <c r="V126" s="48" t="s">
        <v>306</v>
      </c>
    </row>
    <row r="127" spans="1:22" ht="21" hidden="1" customHeight="1">
      <c r="A127" s="48" t="s">
        <v>304</v>
      </c>
      <c r="B127" s="51"/>
      <c r="C127" s="47" t="s">
        <v>305</v>
      </c>
      <c r="D127" s="47" t="s">
        <v>164</v>
      </c>
      <c r="E127" s="47"/>
      <c r="F127" s="47" t="s">
        <v>164</v>
      </c>
      <c r="G127" s="48"/>
      <c r="H127" s="48" t="s">
        <v>164</v>
      </c>
      <c r="I127" s="48"/>
      <c r="J127" s="48" t="s">
        <v>164</v>
      </c>
      <c r="K127" s="48"/>
      <c r="L127" s="48" t="s">
        <v>164</v>
      </c>
      <c r="M127" s="48" t="s">
        <v>91</v>
      </c>
      <c r="N127" s="52">
        <v>13.755645751953125</v>
      </c>
      <c r="O127" s="52">
        <v>30.4811111111194</v>
      </c>
      <c r="P127" s="55" t="s">
        <v>92</v>
      </c>
      <c r="Q127" s="52">
        <v>1679.864</v>
      </c>
      <c r="R127" s="55">
        <v>44446.032048611109</v>
      </c>
      <c r="S127" s="53"/>
      <c r="T127" s="48" t="s">
        <v>18</v>
      </c>
      <c r="U127" s="48">
        <v>124</v>
      </c>
      <c r="V127" s="48" t="s">
        <v>303</v>
      </c>
    </row>
    <row r="128" spans="1:22" ht="21" hidden="1" customHeight="1">
      <c r="A128" s="48" t="s">
        <v>301</v>
      </c>
      <c r="B128" s="51"/>
      <c r="C128" s="47" t="s">
        <v>302</v>
      </c>
      <c r="D128" s="47" t="s">
        <v>164</v>
      </c>
      <c r="E128" s="47"/>
      <c r="F128" s="47" t="s">
        <v>164</v>
      </c>
      <c r="G128" s="48"/>
      <c r="H128" s="48" t="s">
        <v>164</v>
      </c>
      <c r="I128" s="48"/>
      <c r="J128" s="48" t="s">
        <v>164</v>
      </c>
      <c r="K128" s="48"/>
      <c r="L128" s="48" t="s">
        <v>164</v>
      </c>
      <c r="M128" s="48" t="s">
        <v>91</v>
      </c>
      <c r="N128" s="52">
        <v>6.3605451583862305</v>
      </c>
      <c r="O128" s="52">
        <v>14.9044444444589</v>
      </c>
      <c r="P128" s="55" t="s">
        <v>92</v>
      </c>
      <c r="Q128" s="52">
        <v>1680.5250000000001</v>
      </c>
      <c r="R128" s="55">
        <v>44449.471215277779</v>
      </c>
      <c r="S128" s="53"/>
      <c r="T128" s="48" t="s">
        <v>18</v>
      </c>
      <c r="U128" s="48">
        <v>125</v>
      </c>
      <c r="V128" s="48" t="s">
        <v>300</v>
      </c>
    </row>
    <row r="129" spans="1:22" ht="21" hidden="1" customHeight="1">
      <c r="A129" s="48" t="s">
        <v>298</v>
      </c>
      <c r="B129" s="51"/>
      <c r="C129" s="47" t="s">
        <v>299</v>
      </c>
      <c r="D129" s="47" t="s">
        <v>164</v>
      </c>
      <c r="E129" s="47"/>
      <c r="F129" s="47" t="s">
        <v>164</v>
      </c>
      <c r="G129" s="48"/>
      <c r="H129" s="48" t="s">
        <v>164</v>
      </c>
      <c r="I129" s="48"/>
      <c r="J129" s="48" t="s">
        <v>164</v>
      </c>
      <c r="K129" s="48"/>
      <c r="L129" s="48" t="s">
        <v>164</v>
      </c>
      <c r="M129" s="48" t="s">
        <v>91</v>
      </c>
      <c r="N129" s="52">
        <v>1.8435459136962891</v>
      </c>
      <c r="O129" s="52">
        <v>22.535833333327901</v>
      </c>
      <c r="P129" s="55" t="s">
        <v>92</v>
      </c>
      <c r="Q129" s="52">
        <v>1680.5264999999999</v>
      </c>
      <c r="R129" s="55">
        <v>44449.471215277779</v>
      </c>
      <c r="S129" s="53"/>
      <c r="T129" s="48" t="s">
        <v>18</v>
      </c>
      <c r="U129" s="48">
        <v>126</v>
      </c>
      <c r="V129" s="48" t="s">
        <v>297</v>
      </c>
    </row>
    <row r="130" spans="1:22" ht="21" hidden="1" customHeight="1">
      <c r="A130" s="48" t="s">
        <v>295</v>
      </c>
      <c r="B130" s="51"/>
      <c r="C130" s="47" t="s">
        <v>296</v>
      </c>
      <c r="D130" s="47" t="s">
        <v>164</v>
      </c>
      <c r="E130" s="47"/>
      <c r="F130" s="47" t="s">
        <v>164</v>
      </c>
      <c r="G130" s="48"/>
      <c r="H130" s="48" t="s">
        <v>164</v>
      </c>
      <c r="I130" s="48"/>
      <c r="J130" s="48" t="s">
        <v>164</v>
      </c>
      <c r="K130" s="48"/>
      <c r="L130" s="48" t="s">
        <v>164</v>
      </c>
      <c r="M130" s="48" t="s">
        <v>91</v>
      </c>
      <c r="N130" s="52">
        <v>5.6242494583129883</v>
      </c>
      <c r="O130" s="52">
        <v>3.7011111112078701</v>
      </c>
      <c r="P130" s="55" t="s">
        <v>92</v>
      </c>
      <c r="Q130" s="52">
        <v>1701.0540000000001</v>
      </c>
      <c r="R130" s="55">
        <v>44455.514050925929</v>
      </c>
      <c r="S130" s="53"/>
      <c r="T130" s="48" t="s">
        <v>18</v>
      </c>
      <c r="U130" s="48">
        <v>127</v>
      </c>
      <c r="V130" s="48" t="s">
        <v>294</v>
      </c>
    </row>
    <row r="131" spans="1:22" ht="21" hidden="1" customHeight="1">
      <c r="A131" s="48" t="s">
        <v>289</v>
      </c>
      <c r="B131" s="51"/>
      <c r="C131" s="47" t="s">
        <v>290</v>
      </c>
      <c r="D131" s="47" t="s">
        <v>164</v>
      </c>
      <c r="E131" s="47"/>
      <c r="F131" s="47" t="s">
        <v>164</v>
      </c>
      <c r="G131" s="48"/>
      <c r="H131" s="48" t="s">
        <v>164</v>
      </c>
      <c r="I131" s="48"/>
      <c r="J131" s="48" t="s">
        <v>164</v>
      </c>
      <c r="K131" s="48"/>
      <c r="L131" s="48" t="s">
        <v>164</v>
      </c>
      <c r="M131" s="48" t="s">
        <v>91</v>
      </c>
      <c r="N131" s="52">
        <v>5.85870361328125</v>
      </c>
      <c r="O131" s="52">
        <v>5.9252777777728598</v>
      </c>
      <c r="P131" s="55" t="s">
        <v>92</v>
      </c>
      <c r="Q131" s="52">
        <v>1704.5844999999999</v>
      </c>
      <c r="R131" s="55">
        <v>44459.07303240741</v>
      </c>
      <c r="S131" s="53"/>
      <c r="T131" s="48" t="s">
        <v>18</v>
      </c>
      <c r="U131" s="48">
        <v>128</v>
      </c>
      <c r="V131" s="48" t="s">
        <v>288</v>
      </c>
    </row>
    <row r="132" spans="1:22" ht="21" hidden="1" customHeight="1">
      <c r="A132" s="48" t="s">
        <v>286</v>
      </c>
      <c r="B132" s="51"/>
      <c r="C132" s="47" t="s">
        <v>287</v>
      </c>
      <c r="D132" s="47" t="s">
        <v>164</v>
      </c>
      <c r="E132" s="47"/>
      <c r="F132" s="47" t="s">
        <v>164</v>
      </c>
      <c r="G132" s="48"/>
      <c r="H132" s="48" t="s">
        <v>164</v>
      </c>
      <c r="I132" s="48"/>
      <c r="J132" s="48" t="s">
        <v>164</v>
      </c>
      <c r="K132" s="48"/>
      <c r="L132" s="48" t="s">
        <v>164</v>
      </c>
      <c r="M132" s="48" t="s">
        <v>91</v>
      </c>
      <c r="N132" s="52" t="s">
        <v>201</v>
      </c>
      <c r="O132" s="52">
        <v>11.053611111128699</v>
      </c>
      <c r="P132" s="55" t="s">
        <v>92</v>
      </c>
      <c r="Q132" s="48" t="s">
        <v>92</v>
      </c>
      <c r="R132" s="48" t="s">
        <v>92</v>
      </c>
      <c r="S132" s="53"/>
      <c r="T132" s="48" t="s">
        <v>18</v>
      </c>
      <c r="U132" s="48">
        <v>129</v>
      </c>
      <c r="V132" s="48" t="s">
        <v>285</v>
      </c>
    </row>
    <row r="133" spans="1:22" ht="21" hidden="1" customHeight="1">
      <c r="A133" s="48" t="s">
        <v>283</v>
      </c>
      <c r="B133" s="51"/>
      <c r="C133" s="47" t="s">
        <v>284</v>
      </c>
      <c r="D133" s="47" t="s">
        <v>164</v>
      </c>
      <c r="E133" s="47"/>
      <c r="F133" s="47" t="s">
        <v>164</v>
      </c>
      <c r="G133" s="48"/>
      <c r="H133" s="48" t="s">
        <v>164</v>
      </c>
      <c r="I133" s="48"/>
      <c r="J133" s="48" t="s">
        <v>164</v>
      </c>
      <c r="K133" s="48"/>
      <c r="L133" s="48" t="s">
        <v>164</v>
      </c>
      <c r="M133" s="48" t="s">
        <v>91</v>
      </c>
      <c r="N133" s="52">
        <v>7.3267736434936523</v>
      </c>
      <c r="O133" s="52">
        <v>16.8180555555155</v>
      </c>
      <c r="P133" s="55" t="s">
        <v>92</v>
      </c>
      <c r="Q133" s="52">
        <v>1736.7379999999998</v>
      </c>
      <c r="R133" s="55">
        <v>44462.704791666663</v>
      </c>
      <c r="S133" s="53"/>
      <c r="T133" s="48" t="s">
        <v>18</v>
      </c>
      <c r="U133" s="48">
        <v>130</v>
      </c>
      <c r="V133" s="48" t="s">
        <v>282</v>
      </c>
    </row>
    <row r="134" spans="1:22" ht="21" hidden="1" customHeight="1">
      <c r="A134" s="48" t="s">
        <v>277</v>
      </c>
      <c r="B134" s="51"/>
      <c r="C134" s="47" t="s">
        <v>278</v>
      </c>
      <c r="D134" s="47" t="s">
        <v>164</v>
      </c>
      <c r="E134" s="47"/>
      <c r="F134" s="47" t="s">
        <v>164</v>
      </c>
      <c r="G134" s="48"/>
      <c r="H134" s="48" t="s">
        <v>164</v>
      </c>
      <c r="I134" s="48"/>
      <c r="J134" s="48" t="s">
        <v>164</v>
      </c>
      <c r="K134" s="48"/>
      <c r="L134" s="48" t="s">
        <v>164</v>
      </c>
      <c r="M134" s="48" t="s">
        <v>91</v>
      </c>
      <c r="N134" s="52">
        <v>13.444573402404785</v>
      </c>
      <c r="O134" s="52">
        <v>0.67777777783339799</v>
      </c>
      <c r="P134" s="55" t="s">
        <v>92</v>
      </c>
      <c r="Q134" s="52">
        <v>1786.2240000000002</v>
      </c>
      <c r="R134" s="55">
        <v>44468.566574074073</v>
      </c>
      <c r="S134" s="53"/>
      <c r="T134" s="48" t="s">
        <v>18</v>
      </c>
      <c r="U134" s="48">
        <v>131</v>
      </c>
      <c r="V134" s="48" t="s">
        <v>276</v>
      </c>
    </row>
    <row r="135" spans="1:22" ht="21" hidden="1" customHeight="1">
      <c r="A135" s="48" t="s">
        <v>274</v>
      </c>
      <c r="B135" s="51"/>
      <c r="C135" s="47" t="s">
        <v>275</v>
      </c>
      <c r="D135" s="47" t="s">
        <v>164</v>
      </c>
      <c r="E135" s="47"/>
      <c r="F135" s="47" t="s">
        <v>164</v>
      </c>
      <c r="G135" s="48"/>
      <c r="H135" s="48" t="s">
        <v>164</v>
      </c>
      <c r="I135" s="48"/>
      <c r="J135" s="48" t="s">
        <v>164</v>
      </c>
      <c r="K135" s="48"/>
      <c r="L135" s="48" t="s">
        <v>164</v>
      </c>
      <c r="M135" s="48" t="s">
        <v>91</v>
      </c>
      <c r="N135" s="52" t="s">
        <v>201</v>
      </c>
      <c r="O135" s="52">
        <v>11.7347222222015</v>
      </c>
      <c r="P135" s="55" t="s">
        <v>92</v>
      </c>
      <c r="Q135" s="48" t="s">
        <v>92</v>
      </c>
      <c r="R135" s="48" t="s">
        <v>92</v>
      </c>
      <c r="S135" s="53"/>
      <c r="T135" s="48" t="s">
        <v>18</v>
      </c>
      <c r="U135" s="48">
        <v>132</v>
      </c>
      <c r="V135" s="48" t="s">
        <v>273</v>
      </c>
    </row>
    <row r="136" spans="1:22" ht="21" hidden="1" customHeight="1">
      <c r="A136" s="48" t="s">
        <v>271</v>
      </c>
      <c r="B136" s="51"/>
      <c r="C136" s="47" t="s">
        <v>272</v>
      </c>
      <c r="D136" s="47" t="s">
        <v>164</v>
      </c>
      <c r="E136" s="47"/>
      <c r="F136" s="47" t="s">
        <v>164</v>
      </c>
      <c r="G136" s="48"/>
      <c r="H136" s="48" t="s">
        <v>164</v>
      </c>
      <c r="I136" s="48"/>
      <c r="J136" s="48" t="s">
        <v>164</v>
      </c>
      <c r="K136" s="48"/>
      <c r="L136" s="48" t="s">
        <v>164</v>
      </c>
      <c r="M136" s="48" t="s">
        <v>91</v>
      </c>
      <c r="N136" s="52">
        <v>8.9430809020996094</v>
      </c>
      <c r="O136" s="52">
        <v>18.598611110996</v>
      </c>
      <c r="P136" s="55" t="s">
        <v>92</v>
      </c>
      <c r="Q136" s="52">
        <v>1816.5454999999999</v>
      </c>
      <c r="R136" s="55">
        <v>44472.426215277781</v>
      </c>
      <c r="S136" s="53"/>
      <c r="T136" s="48" t="s">
        <v>18</v>
      </c>
      <c r="U136" s="48">
        <v>133</v>
      </c>
      <c r="V136" s="48" t="s">
        <v>270</v>
      </c>
    </row>
    <row r="137" spans="1:22" ht="21" hidden="1" customHeight="1">
      <c r="A137" s="48" t="s">
        <v>262</v>
      </c>
      <c r="B137" s="51"/>
      <c r="C137" s="47" t="s">
        <v>263</v>
      </c>
      <c r="D137" s="47" t="s">
        <v>164</v>
      </c>
      <c r="E137" s="47"/>
      <c r="F137" s="47" t="s">
        <v>164</v>
      </c>
      <c r="G137" s="48"/>
      <c r="H137" s="48" t="s">
        <v>164</v>
      </c>
      <c r="I137" s="48"/>
      <c r="J137" s="48" t="s">
        <v>164</v>
      </c>
      <c r="K137" s="48"/>
      <c r="L137" s="48" t="s">
        <v>164</v>
      </c>
      <c r="M137" s="48" t="s">
        <v>91</v>
      </c>
      <c r="N137" s="52" t="s">
        <v>201</v>
      </c>
      <c r="O137" s="52">
        <v>23.348055555601601</v>
      </c>
      <c r="P137" s="55" t="s">
        <v>92</v>
      </c>
      <c r="Q137" s="48" t="s">
        <v>92</v>
      </c>
      <c r="R137" s="48" t="s">
        <v>92</v>
      </c>
      <c r="S137" s="53"/>
      <c r="T137" s="48" t="s">
        <v>18</v>
      </c>
      <c r="U137" s="48">
        <v>134</v>
      </c>
      <c r="V137" s="48" t="s">
        <v>261</v>
      </c>
    </row>
    <row r="138" spans="1:22" ht="21" hidden="1" customHeight="1">
      <c r="A138" s="48" t="s">
        <v>259</v>
      </c>
      <c r="B138" s="51"/>
      <c r="C138" s="47" t="s">
        <v>260</v>
      </c>
      <c r="D138" s="47" t="s">
        <v>164</v>
      </c>
      <c r="E138" s="47"/>
      <c r="F138" s="47" t="s">
        <v>164</v>
      </c>
      <c r="G138" s="48"/>
      <c r="H138" s="48" t="s">
        <v>164</v>
      </c>
      <c r="I138" s="48"/>
      <c r="J138" s="48" t="s">
        <v>164</v>
      </c>
      <c r="K138" s="48"/>
      <c r="L138" s="48" t="s">
        <v>164</v>
      </c>
      <c r="M138" s="48" t="s">
        <v>91</v>
      </c>
      <c r="N138" s="52" t="s">
        <v>201</v>
      </c>
      <c r="O138" s="52">
        <v>2.9172222222550799</v>
      </c>
      <c r="P138" s="55" t="s">
        <v>92</v>
      </c>
      <c r="Q138" s="48" t="s">
        <v>92</v>
      </c>
      <c r="R138" s="48" t="s">
        <v>92</v>
      </c>
      <c r="S138" s="53"/>
      <c r="T138" s="48" t="s">
        <v>18</v>
      </c>
      <c r="U138" s="48">
        <v>135</v>
      </c>
      <c r="V138" s="48" t="s">
        <v>258</v>
      </c>
    </row>
    <row r="139" spans="1:22" ht="21" hidden="1" customHeight="1">
      <c r="A139" s="48" t="s">
        <v>256</v>
      </c>
      <c r="B139" s="51"/>
      <c r="C139" s="47" t="s">
        <v>257</v>
      </c>
      <c r="D139" s="47" t="s">
        <v>164</v>
      </c>
      <c r="E139" s="47"/>
      <c r="F139" s="47" t="s">
        <v>164</v>
      </c>
      <c r="G139" s="48"/>
      <c r="H139" s="48" t="s">
        <v>164</v>
      </c>
      <c r="I139" s="48"/>
      <c r="J139" s="48" t="s">
        <v>164</v>
      </c>
      <c r="K139" s="48"/>
      <c r="L139" s="48" t="s">
        <v>164</v>
      </c>
      <c r="M139" s="48" t="s">
        <v>91</v>
      </c>
      <c r="N139" s="52">
        <v>12.069421768188477</v>
      </c>
      <c r="O139" s="52">
        <v>31.274166666611599</v>
      </c>
      <c r="P139" s="55" t="s">
        <v>92</v>
      </c>
      <c r="Q139" s="52">
        <v>1833.2239999999999</v>
      </c>
      <c r="R139" s="55">
        <v>44479.103275462963</v>
      </c>
      <c r="S139" s="53"/>
      <c r="T139" s="48" t="s">
        <v>18</v>
      </c>
      <c r="U139" s="48">
        <v>136</v>
      </c>
      <c r="V139" s="48" t="s">
        <v>255</v>
      </c>
    </row>
    <row r="140" spans="1:22" ht="21" hidden="1" customHeight="1">
      <c r="A140" s="48" t="s">
        <v>250</v>
      </c>
      <c r="B140" s="51"/>
      <c r="C140" s="47" t="s">
        <v>251</v>
      </c>
      <c r="D140" s="47" t="s">
        <v>164</v>
      </c>
      <c r="E140" s="47"/>
      <c r="F140" s="47" t="s">
        <v>164</v>
      </c>
      <c r="G140" s="48"/>
      <c r="H140" s="48" t="s">
        <v>164</v>
      </c>
      <c r="I140" s="48"/>
      <c r="J140" s="48" t="s">
        <v>164</v>
      </c>
      <c r="K140" s="48"/>
      <c r="L140" s="48" t="s">
        <v>164</v>
      </c>
      <c r="M140" s="48" t="s">
        <v>91</v>
      </c>
      <c r="N140" s="52">
        <v>4.1767053604125977</v>
      </c>
      <c r="O140" s="52">
        <v>28.191111111023901</v>
      </c>
      <c r="P140" s="55" t="s">
        <v>92</v>
      </c>
      <c r="Q140" s="52">
        <v>1839.434</v>
      </c>
      <c r="R140" s="55">
        <v>44480.607395833336</v>
      </c>
      <c r="S140" s="53"/>
      <c r="T140" s="48" t="s">
        <v>18</v>
      </c>
      <c r="U140" s="48">
        <v>137</v>
      </c>
      <c r="V140" s="48" t="s">
        <v>249</v>
      </c>
    </row>
    <row r="141" spans="1:22" ht="21" hidden="1" customHeight="1">
      <c r="A141" s="48" t="s">
        <v>247</v>
      </c>
      <c r="B141" s="51"/>
      <c r="C141" s="47" t="s">
        <v>248</v>
      </c>
      <c r="D141" s="47" t="s">
        <v>164</v>
      </c>
      <c r="E141" s="47"/>
      <c r="F141" s="47" t="s">
        <v>164</v>
      </c>
      <c r="G141" s="48"/>
      <c r="H141" s="48" t="s">
        <v>164</v>
      </c>
      <c r="I141" s="48"/>
      <c r="J141" s="48" t="s">
        <v>164</v>
      </c>
      <c r="K141" s="48"/>
      <c r="L141" s="48" t="s">
        <v>164</v>
      </c>
      <c r="M141" s="48" t="s">
        <v>91</v>
      </c>
      <c r="N141" s="52">
        <v>6.1813812255859375</v>
      </c>
      <c r="O141" s="52">
        <v>4.3330555556458403</v>
      </c>
      <c r="P141" s="55" t="s">
        <v>92</v>
      </c>
      <c r="Q141" s="52">
        <v>1870.88</v>
      </c>
      <c r="R141" s="55">
        <v>44482.099722222221</v>
      </c>
      <c r="S141" s="53"/>
      <c r="T141" s="48" t="s">
        <v>18</v>
      </c>
      <c r="U141" s="48">
        <v>138</v>
      </c>
      <c r="V141" s="48" t="s">
        <v>246</v>
      </c>
    </row>
    <row r="142" spans="1:22" ht="21" hidden="1" customHeight="1">
      <c r="A142" s="48" t="s">
        <v>244</v>
      </c>
      <c r="B142" s="51"/>
      <c r="C142" s="47" t="s">
        <v>245</v>
      </c>
      <c r="D142" s="47" t="s">
        <v>164</v>
      </c>
      <c r="E142" s="47"/>
      <c r="F142" s="47" t="s">
        <v>164</v>
      </c>
      <c r="G142" s="48"/>
      <c r="H142" s="48" t="s">
        <v>164</v>
      </c>
      <c r="I142" s="48"/>
      <c r="J142" s="48" t="s">
        <v>164</v>
      </c>
      <c r="K142" s="48"/>
      <c r="L142" s="48" t="s">
        <v>164</v>
      </c>
      <c r="M142" s="48" t="s">
        <v>91</v>
      </c>
      <c r="N142" s="52">
        <v>11.930018424987793</v>
      </c>
      <c r="O142" s="52">
        <v>10.268888888996999</v>
      </c>
      <c r="P142" s="55" t="s">
        <v>92</v>
      </c>
      <c r="Q142" s="52">
        <v>1888.299</v>
      </c>
      <c r="R142" s="55">
        <v>44487.485648148147</v>
      </c>
      <c r="S142" s="53"/>
      <c r="T142" s="48" t="s">
        <v>18</v>
      </c>
      <c r="U142" s="48">
        <v>139</v>
      </c>
      <c r="V142" s="48" t="s">
        <v>243</v>
      </c>
    </row>
    <row r="143" spans="1:22" ht="21" hidden="1" customHeight="1">
      <c r="A143" s="48" t="s">
        <v>241</v>
      </c>
      <c r="B143" s="51"/>
      <c r="C143" s="47" t="s">
        <v>242</v>
      </c>
      <c r="D143" s="47" t="s">
        <v>164</v>
      </c>
      <c r="E143" s="47"/>
      <c r="F143" s="47" t="s">
        <v>164</v>
      </c>
      <c r="G143" s="48"/>
      <c r="H143" s="48" t="s">
        <v>164</v>
      </c>
      <c r="I143" s="48"/>
      <c r="J143" s="48" t="s">
        <v>164</v>
      </c>
      <c r="K143" s="48"/>
      <c r="L143" s="48" t="s">
        <v>164</v>
      </c>
      <c r="M143" s="48" t="s">
        <v>91</v>
      </c>
      <c r="N143" s="52">
        <v>2.9405460357666016</v>
      </c>
      <c r="O143" s="52">
        <v>3.11000000004424</v>
      </c>
      <c r="P143" s="55" t="s">
        <v>92</v>
      </c>
      <c r="Q143" s="52">
        <v>1891.3045000000002</v>
      </c>
      <c r="R143" s="55">
        <v>44487.665949074071</v>
      </c>
      <c r="S143" s="53"/>
      <c r="T143" s="48" t="s">
        <v>18</v>
      </c>
      <c r="U143" s="48">
        <v>140</v>
      </c>
      <c r="V143" s="48" t="s">
        <v>240</v>
      </c>
    </row>
    <row r="144" spans="1:22" ht="21" hidden="1" customHeight="1">
      <c r="A144" s="48" t="s">
        <v>235</v>
      </c>
      <c r="B144" s="51"/>
      <c r="C144" s="47" t="s">
        <v>236</v>
      </c>
      <c r="D144" s="47" t="s">
        <v>164</v>
      </c>
      <c r="E144" s="47"/>
      <c r="F144" s="47" t="s">
        <v>164</v>
      </c>
      <c r="G144" s="48"/>
      <c r="H144" s="48" t="s">
        <v>164</v>
      </c>
      <c r="I144" s="48"/>
      <c r="J144" s="48" t="s">
        <v>164</v>
      </c>
      <c r="K144" s="48"/>
      <c r="L144" s="48" t="s">
        <v>164</v>
      </c>
      <c r="M144" s="48" t="s">
        <v>91</v>
      </c>
      <c r="N144" s="52">
        <v>14.314553260803223</v>
      </c>
      <c r="O144" s="52">
        <v>2.6766666666953798</v>
      </c>
      <c r="P144" s="55" t="s">
        <v>92</v>
      </c>
      <c r="Q144" s="52">
        <v>1957.123</v>
      </c>
      <c r="R144" s="55">
        <v>44494.213761574072</v>
      </c>
      <c r="S144" s="53"/>
      <c r="T144" s="48" t="s">
        <v>18</v>
      </c>
      <c r="U144" s="48">
        <v>141</v>
      </c>
      <c r="V144" s="48" t="s">
        <v>234</v>
      </c>
    </row>
    <row r="145" spans="1:22" ht="21" hidden="1" customHeight="1">
      <c r="A145" s="48" t="s">
        <v>232</v>
      </c>
      <c r="B145" s="51"/>
      <c r="C145" s="47" t="s">
        <v>233</v>
      </c>
      <c r="D145" s="47" t="s">
        <v>164</v>
      </c>
      <c r="E145" s="47"/>
      <c r="F145" s="47" t="s">
        <v>164</v>
      </c>
      <c r="G145" s="48"/>
      <c r="H145" s="48" t="s">
        <v>164</v>
      </c>
      <c r="I145" s="48"/>
      <c r="J145" s="48" t="s">
        <v>164</v>
      </c>
      <c r="K145" s="48"/>
      <c r="L145" s="48" t="s">
        <v>164</v>
      </c>
      <c r="M145" s="48" t="s">
        <v>91</v>
      </c>
      <c r="N145" s="52">
        <v>6.7841949462890625</v>
      </c>
      <c r="O145" s="52">
        <v>16.278611111221799</v>
      </c>
      <c r="P145" s="55" t="s">
        <v>92</v>
      </c>
      <c r="Q145" s="52">
        <v>1972.0819999999999</v>
      </c>
      <c r="R145" s="55">
        <v>44496.680798611109</v>
      </c>
      <c r="S145" s="53"/>
      <c r="T145" s="48" t="s">
        <v>18</v>
      </c>
      <c r="U145" s="48">
        <v>142</v>
      </c>
      <c r="V145" s="48" t="s">
        <v>231</v>
      </c>
    </row>
    <row r="146" spans="1:22" ht="21" hidden="1" customHeight="1">
      <c r="A146" s="48" t="s">
        <v>226</v>
      </c>
      <c r="B146" s="51"/>
      <c r="C146" s="47" t="s">
        <v>227</v>
      </c>
      <c r="D146" s="47" t="s">
        <v>164</v>
      </c>
      <c r="E146" s="47"/>
      <c r="F146" s="47" t="s">
        <v>164</v>
      </c>
      <c r="G146" s="48"/>
      <c r="H146" s="48" t="s">
        <v>164</v>
      </c>
      <c r="I146" s="48"/>
      <c r="J146" s="48" t="s">
        <v>164</v>
      </c>
      <c r="K146" s="48"/>
      <c r="L146" s="48" t="s">
        <v>164</v>
      </c>
      <c r="M146" s="48" t="s">
        <v>91</v>
      </c>
      <c r="N146" s="52" t="s">
        <v>201</v>
      </c>
      <c r="O146" s="52">
        <v>0.70111111103324197</v>
      </c>
      <c r="P146" s="55" t="s">
        <v>92</v>
      </c>
      <c r="Q146" s="48" t="s">
        <v>92</v>
      </c>
      <c r="R146" s="48" t="s">
        <v>92</v>
      </c>
      <c r="S146" s="53"/>
      <c r="T146" s="48" t="s">
        <v>18</v>
      </c>
      <c r="U146" s="48">
        <v>143</v>
      </c>
      <c r="V146" s="48" t="s">
        <v>225</v>
      </c>
    </row>
    <row r="147" spans="1:22" ht="21" hidden="1" customHeight="1">
      <c r="A147" s="48" t="s">
        <v>223</v>
      </c>
      <c r="B147" s="51"/>
      <c r="C147" s="47" t="s">
        <v>224</v>
      </c>
      <c r="D147" s="47" t="s">
        <v>164</v>
      </c>
      <c r="E147" s="47"/>
      <c r="F147" s="47" t="s">
        <v>164</v>
      </c>
      <c r="G147" s="48"/>
      <c r="H147" s="48" t="s">
        <v>164</v>
      </c>
      <c r="I147" s="48"/>
      <c r="J147" s="48" t="s">
        <v>164</v>
      </c>
      <c r="K147" s="48"/>
      <c r="L147" s="48" t="s">
        <v>164</v>
      </c>
      <c r="M147" s="48" t="s">
        <v>91</v>
      </c>
      <c r="N147" s="52">
        <v>10.501699447631836</v>
      </c>
      <c r="O147" s="52">
        <v>24.360277777828699</v>
      </c>
      <c r="P147" s="55" t="s">
        <v>92</v>
      </c>
      <c r="Q147" s="52">
        <v>2046.7014999999999</v>
      </c>
      <c r="R147" s="55">
        <v>44503.008229166669</v>
      </c>
      <c r="S147" s="53"/>
      <c r="T147" s="48" t="s">
        <v>18</v>
      </c>
      <c r="U147" s="48">
        <v>144</v>
      </c>
      <c r="V147" s="48" t="s">
        <v>222</v>
      </c>
    </row>
    <row r="148" spans="1:22" ht="21" hidden="1" customHeight="1">
      <c r="A148" s="48" t="s">
        <v>217</v>
      </c>
      <c r="B148" s="51"/>
      <c r="C148" s="47" t="s">
        <v>218</v>
      </c>
      <c r="D148" s="47" t="s">
        <v>164</v>
      </c>
      <c r="E148" s="47"/>
      <c r="F148" s="47" t="s">
        <v>164</v>
      </c>
      <c r="G148" s="48"/>
      <c r="H148" s="48" t="s">
        <v>164</v>
      </c>
      <c r="I148" s="48"/>
      <c r="J148" s="48" t="s">
        <v>164</v>
      </c>
      <c r="K148" s="48"/>
      <c r="L148" s="48" t="s">
        <v>164</v>
      </c>
      <c r="M148" s="48" t="s">
        <v>91</v>
      </c>
      <c r="N148" s="52" t="s">
        <v>201</v>
      </c>
      <c r="O148" s="52">
        <v>8.0455555556109193</v>
      </c>
      <c r="P148" s="55" t="s">
        <v>92</v>
      </c>
      <c r="Q148" s="48" t="s">
        <v>92</v>
      </c>
      <c r="R148" s="48" t="s">
        <v>92</v>
      </c>
      <c r="S148" s="53"/>
      <c r="T148" s="48" t="s">
        <v>18</v>
      </c>
      <c r="U148" s="48">
        <v>145</v>
      </c>
      <c r="V148" s="48" t="s">
        <v>216</v>
      </c>
    </row>
    <row r="149" spans="1:22" ht="21" hidden="1" customHeight="1">
      <c r="A149" s="48" t="s">
        <v>214</v>
      </c>
      <c r="B149" s="51"/>
      <c r="C149" s="47" t="s">
        <v>215</v>
      </c>
      <c r="D149" s="47" t="s">
        <v>164</v>
      </c>
      <c r="E149" s="47"/>
      <c r="F149" s="47" t="s">
        <v>164</v>
      </c>
      <c r="G149" s="48"/>
      <c r="H149" s="48" t="s">
        <v>164</v>
      </c>
      <c r="I149" s="48"/>
      <c r="J149" s="48" t="s">
        <v>164</v>
      </c>
      <c r="K149" s="48"/>
      <c r="L149" s="48" t="s">
        <v>164</v>
      </c>
      <c r="M149" s="48" t="s">
        <v>91</v>
      </c>
      <c r="N149" s="52">
        <v>9.3583078384399414</v>
      </c>
      <c r="O149" s="52">
        <v>30.773333333374499</v>
      </c>
      <c r="P149" s="55" t="s">
        <v>92</v>
      </c>
      <c r="Q149" s="52">
        <v>2047.9245000000001</v>
      </c>
      <c r="R149" s="55">
        <v>44504.107083333336</v>
      </c>
      <c r="S149" s="53"/>
      <c r="T149" s="48" t="s">
        <v>18</v>
      </c>
      <c r="U149" s="48">
        <v>146</v>
      </c>
      <c r="V149" s="48" t="s">
        <v>213</v>
      </c>
    </row>
    <row r="150" spans="1:22" ht="21" hidden="1" customHeight="1">
      <c r="A150" s="48" t="s">
        <v>211</v>
      </c>
      <c r="B150" s="51"/>
      <c r="C150" s="47" t="s">
        <v>212</v>
      </c>
      <c r="D150" s="47" t="s">
        <v>164</v>
      </c>
      <c r="E150" s="47"/>
      <c r="F150" s="47" t="s">
        <v>164</v>
      </c>
      <c r="G150" s="48"/>
      <c r="H150" s="48" t="s">
        <v>164</v>
      </c>
      <c r="I150" s="48"/>
      <c r="J150" s="48" t="s">
        <v>164</v>
      </c>
      <c r="K150" s="48"/>
      <c r="L150" s="48" t="s">
        <v>164</v>
      </c>
      <c r="M150" s="48" t="s">
        <v>91</v>
      </c>
      <c r="N150" s="52">
        <v>10.494972229003906</v>
      </c>
      <c r="O150" s="52">
        <v>3.4358333332347701</v>
      </c>
      <c r="P150" s="55" t="s">
        <v>92</v>
      </c>
      <c r="Q150" s="52">
        <v>2090.8110000000001</v>
      </c>
      <c r="R150" s="55">
        <v>44507.076481481483</v>
      </c>
      <c r="S150" s="53"/>
      <c r="T150" s="48" t="s">
        <v>18</v>
      </c>
      <c r="U150" s="48">
        <v>147</v>
      </c>
      <c r="V150" s="48" t="s">
        <v>210</v>
      </c>
    </row>
    <row r="151" spans="1:22" ht="21" hidden="1" customHeight="1">
      <c r="A151" s="48" t="s">
        <v>208</v>
      </c>
      <c r="B151" s="51"/>
      <c r="C151" s="47" t="s">
        <v>209</v>
      </c>
      <c r="D151" s="47" t="s">
        <v>164</v>
      </c>
      <c r="E151" s="47"/>
      <c r="F151" s="47" t="s">
        <v>164</v>
      </c>
      <c r="G151" s="48"/>
      <c r="H151" s="48" t="s">
        <v>164</v>
      </c>
      <c r="I151" s="48"/>
      <c r="J151" s="48" t="s">
        <v>164</v>
      </c>
      <c r="K151" s="48"/>
      <c r="L151" s="48" t="s">
        <v>164</v>
      </c>
      <c r="M151" s="48" t="s">
        <v>91</v>
      </c>
      <c r="N151" s="52">
        <v>1.6418333053588867</v>
      </c>
      <c r="O151" s="52">
        <v>29.544999999983698</v>
      </c>
      <c r="P151" s="55" t="s">
        <v>92</v>
      </c>
      <c r="Q151" s="52">
        <v>2090.8110000000001</v>
      </c>
      <c r="R151" s="55">
        <v>44507.076481481483</v>
      </c>
      <c r="S151" s="53"/>
      <c r="T151" s="48" t="s">
        <v>18</v>
      </c>
      <c r="U151" s="48">
        <v>148</v>
      </c>
      <c r="V151" s="48" t="s">
        <v>207</v>
      </c>
    </row>
    <row r="152" spans="1:22" ht="21" hidden="1" customHeight="1">
      <c r="A152" s="48" t="s">
        <v>205</v>
      </c>
      <c r="B152" s="51"/>
      <c r="C152" s="47" t="s">
        <v>206</v>
      </c>
      <c r="D152" s="47" t="s">
        <v>164</v>
      </c>
      <c r="E152" s="47"/>
      <c r="F152" s="47" t="s">
        <v>164</v>
      </c>
      <c r="G152" s="48"/>
      <c r="H152" s="48" t="s">
        <v>164</v>
      </c>
      <c r="I152" s="48"/>
      <c r="J152" s="48" t="s">
        <v>164</v>
      </c>
      <c r="K152" s="48"/>
      <c r="L152" s="48" t="s">
        <v>164</v>
      </c>
      <c r="M152" s="48" t="s">
        <v>91</v>
      </c>
      <c r="N152" s="52">
        <v>9.6315174102783203</v>
      </c>
      <c r="O152" s="52">
        <v>30.823611111205501</v>
      </c>
      <c r="P152" s="55" t="s">
        <v>92</v>
      </c>
      <c r="Q152" s="52">
        <v>2099.38</v>
      </c>
      <c r="R152" s="55">
        <v>44510.051562499997</v>
      </c>
      <c r="S152" s="53"/>
      <c r="T152" s="48" t="s">
        <v>18</v>
      </c>
      <c r="U152" s="48">
        <v>149</v>
      </c>
      <c r="V152" s="48" t="s">
        <v>204</v>
      </c>
    </row>
    <row r="153" spans="1:22" ht="21" hidden="1" customHeight="1">
      <c r="A153" s="48" t="s">
        <v>200</v>
      </c>
      <c r="B153" s="51"/>
      <c r="C153" s="47" t="s">
        <v>202</v>
      </c>
      <c r="D153" s="47" t="s">
        <v>164</v>
      </c>
      <c r="E153" s="47"/>
      <c r="F153" s="47" t="s">
        <v>164</v>
      </c>
      <c r="G153" s="48"/>
      <c r="H153" s="48" t="s">
        <v>164</v>
      </c>
      <c r="I153" s="48"/>
      <c r="J153" s="48" t="s">
        <v>164</v>
      </c>
      <c r="K153" s="48"/>
      <c r="L153" s="48" t="s">
        <v>164</v>
      </c>
      <c r="M153" s="48" t="s">
        <v>91</v>
      </c>
      <c r="N153" s="52">
        <v>9.2722978591918945</v>
      </c>
      <c r="O153" s="52">
        <v>9.2661111111519894</v>
      </c>
      <c r="P153" s="55" t="s">
        <v>92</v>
      </c>
      <c r="Q153" s="52">
        <v>2123.4760000000001</v>
      </c>
      <c r="R153" s="55">
        <v>44521.096400462964</v>
      </c>
      <c r="S153" s="53"/>
      <c r="T153" s="48" t="s">
        <v>18</v>
      </c>
      <c r="U153" s="48">
        <v>150</v>
      </c>
      <c r="V153" s="48" t="s">
        <v>203</v>
      </c>
    </row>
    <row r="154" spans="1:22" ht="21" hidden="1" customHeight="1">
      <c r="A154" s="48" t="s">
        <v>127</v>
      </c>
      <c r="B154" s="51"/>
      <c r="C154" s="47" t="s">
        <v>167</v>
      </c>
      <c r="D154" s="47" t="s">
        <v>164</v>
      </c>
      <c r="E154" s="47"/>
      <c r="F154" s="47" t="s">
        <v>164</v>
      </c>
      <c r="G154" s="48" t="s">
        <v>174</v>
      </c>
      <c r="H154" s="48" t="s">
        <v>164</v>
      </c>
      <c r="I154" s="48" t="s">
        <v>179</v>
      </c>
      <c r="J154" s="48" t="s">
        <v>164</v>
      </c>
      <c r="K154" s="48"/>
      <c r="L154" s="48" t="s">
        <v>164</v>
      </c>
      <c r="M154" s="48" t="s">
        <v>141</v>
      </c>
      <c r="N154" s="52">
        <v>3</v>
      </c>
      <c r="O154" s="52">
        <v>0.25000000011641499</v>
      </c>
      <c r="P154" s="48" t="s">
        <v>92</v>
      </c>
      <c r="Q154" s="52">
        <v>2132.5189999999998</v>
      </c>
      <c r="R154" s="55">
        <v>44523.533055555556</v>
      </c>
      <c r="S154" s="53"/>
      <c r="T154" s="48" t="s">
        <v>18</v>
      </c>
      <c r="U154" s="48">
        <v>151</v>
      </c>
      <c r="V154" s="48" t="s">
        <v>166</v>
      </c>
    </row>
    <row r="155" spans="1:22" ht="21" hidden="1" customHeight="1">
      <c r="A155" s="48" t="s">
        <v>169</v>
      </c>
      <c r="B155" s="51"/>
      <c r="C155" s="47" t="s">
        <v>170</v>
      </c>
      <c r="D155" s="47" t="s">
        <v>164</v>
      </c>
      <c r="E155" s="47"/>
      <c r="F155" s="47" t="s">
        <v>164</v>
      </c>
      <c r="G155" s="48" t="s">
        <v>177</v>
      </c>
      <c r="H155" s="48" t="s">
        <v>164</v>
      </c>
      <c r="I155" s="48"/>
      <c r="J155" s="48" t="s">
        <v>164</v>
      </c>
      <c r="K155" s="48"/>
      <c r="L155" s="48" t="s">
        <v>164</v>
      </c>
      <c r="M155" s="48" t="s">
        <v>130</v>
      </c>
      <c r="N155" s="52">
        <v>2</v>
      </c>
      <c r="O155" s="52">
        <v>0.420833333395422</v>
      </c>
      <c r="P155" s="48" t="s">
        <v>92</v>
      </c>
      <c r="Q155" s="52">
        <v>2144.4105</v>
      </c>
      <c r="R155" s="55">
        <v>44524.420358796298</v>
      </c>
      <c r="S155" s="53"/>
      <c r="T155" s="48" t="s">
        <v>18</v>
      </c>
      <c r="U155" s="48">
        <v>152</v>
      </c>
      <c r="V155" s="48" t="s">
        <v>168</v>
      </c>
    </row>
    <row r="156" spans="1:22" ht="21" hidden="1" customHeight="1">
      <c r="A156" s="48" t="s">
        <v>126</v>
      </c>
      <c r="B156" s="51"/>
      <c r="C156" s="47" t="s">
        <v>165</v>
      </c>
      <c r="D156" s="47" t="s">
        <v>164</v>
      </c>
      <c r="E156" s="47"/>
      <c r="F156" s="47" t="s">
        <v>164</v>
      </c>
      <c r="G156" s="48" t="s">
        <v>174</v>
      </c>
      <c r="H156" s="48" t="s">
        <v>164</v>
      </c>
      <c r="I156" s="48"/>
      <c r="J156" s="48" t="s">
        <v>164</v>
      </c>
      <c r="K156" s="48"/>
      <c r="L156" s="48" t="s">
        <v>164</v>
      </c>
      <c r="M156" s="48" t="s">
        <v>91</v>
      </c>
      <c r="N156" s="52">
        <v>6</v>
      </c>
      <c r="O156" s="52">
        <v>0</v>
      </c>
      <c r="P156" s="48" t="s">
        <v>92</v>
      </c>
      <c r="Q156" s="52">
        <v>2162.1295</v>
      </c>
      <c r="R156" s="55">
        <v>44531.068599537037</v>
      </c>
      <c r="S156" s="53"/>
      <c r="T156" s="48" t="s">
        <v>18</v>
      </c>
      <c r="U156" s="48">
        <v>153</v>
      </c>
      <c r="V156" s="48" t="s">
        <v>163</v>
      </c>
    </row>
    <row r="157" spans="1:22" ht="21" hidden="1" customHeight="1">
      <c r="A157" s="48" t="s">
        <v>193</v>
      </c>
      <c r="B157" s="51"/>
      <c r="C157" s="47" t="s">
        <v>197</v>
      </c>
      <c r="D157" s="47" t="s">
        <v>164</v>
      </c>
      <c r="E157" s="47" t="s">
        <v>198</v>
      </c>
      <c r="F157" s="47" t="s">
        <v>164</v>
      </c>
      <c r="G157" s="48"/>
      <c r="H157" s="48" t="s">
        <v>164</v>
      </c>
      <c r="I157" s="48"/>
      <c r="J157" s="48" t="s">
        <v>164</v>
      </c>
      <c r="K157" s="48"/>
      <c r="L157" s="48" t="s">
        <v>164</v>
      </c>
      <c r="M157" s="48" t="s">
        <v>91</v>
      </c>
      <c r="N157" s="52">
        <v>0.25</v>
      </c>
      <c r="O157" s="52">
        <v>0</v>
      </c>
      <c r="P157" s="48" t="s">
        <v>92</v>
      </c>
      <c r="Q157" s="52">
        <v>2162.52</v>
      </c>
      <c r="R157" s="55">
        <v>44531.423796296294</v>
      </c>
      <c r="S157" s="53">
        <v>44075</v>
      </c>
      <c r="T157" s="48" t="s">
        <v>18</v>
      </c>
      <c r="U157" s="48">
        <v>154</v>
      </c>
      <c r="V157" s="48" t="s">
        <v>196</v>
      </c>
    </row>
    <row r="158" spans="1:22" ht="21" customHeight="1">
      <c r="A158" s="48" t="s">
        <v>751</v>
      </c>
      <c r="B158" s="51"/>
      <c r="C158" s="47" t="s">
        <v>752</v>
      </c>
      <c r="D158" s="47" t="s">
        <v>164</v>
      </c>
      <c r="E158" s="47"/>
      <c r="F158" s="47" t="s">
        <v>164</v>
      </c>
      <c r="G158" s="48"/>
      <c r="H158" s="48" t="s">
        <v>164</v>
      </c>
      <c r="I158" s="48"/>
      <c r="J158" s="48" t="s">
        <v>164</v>
      </c>
      <c r="K158" s="48"/>
      <c r="L158" s="48" t="s">
        <v>164</v>
      </c>
      <c r="M158" s="48" t="s">
        <v>131</v>
      </c>
      <c r="N158" s="52">
        <v>9.007904052734375</v>
      </c>
      <c r="O158" s="52">
        <v>17.592500000086101</v>
      </c>
      <c r="P158" s="55">
        <v>44161.956180555557</v>
      </c>
      <c r="Q158" s="52" t="s">
        <v>92</v>
      </c>
      <c r="R158" s="55" t="s">
        <v>92</v>
      </c>
      <c r="S158" s="53"/>
      <c r="T158" s="48" t="s">
        <v>18</v>
      </c>
      <c r="U158" s="48" t="s">
        <v>92</v>
      </c>
      <c r="V158" s="48" t="s">
        <v>750</v>
      </c>
    </row>
    <row r="159" spans="1:22" ht="21" customHeight="1">
      <c r="A159" s="48" t="s">
        <v>739</v>
      </c>
      <c r="B159" s="51"/>
      <c r="C159" s="47" t="s">
        <v>740</v>
      </c>
      <c r="D159" s="47" t="s">
        <v>164</v>
      </c>
      <c r="E159" s="47"/>
      <c r="F159" s="47" t="s">
        <v>164</v>
      </c>
      <c r="G159" s="48"/>
      <c r="H159" s="48" t="s">
        <v>164</v>
      </c>
      <c r="I159" s="48" t="s">
        <v>1275</v>
      </c>
      <c r="J159" s="48" t="s">
        <v>164</v>
      </c>
      <c r="K159" s="48"/>
      <c r="L159" s="48" t="s">
        <v>164</v>
      </c>
      <c r="M159" s="48" t="s">
        <v>131</v>
      </c>
      <c r="N159" s="52">
        <v>2.0565423965454102</v>
      </c>
      <c r="O159" s="52">
        <v>3.3183333333581699</v>
      </c>
      <c r="P159" s="55">
        <v>44161.956087962964</v>
      </c>
      <c r="Q159" s="52" t="s">
        <v>92</v>
      </c>
      <c r="R159" s="55" t="s">
        <v>92</v>
      </c>
      <c r="S159" s="53"/>
      <c r="T159" s="48" t="s">
        <v>18</v>
      </c>
      <c r="U159" s="48" t="s">
        <v>92</v>
      </c>
      <c r="V159" s="48" t="s">
        <v>738</v>
      </c>
    </row>
    <row r="160" spans="1:22" ht="21" customHeight="1">
      <c r="A160" s="48" t="s">
        <v>718</v>
      </c>
      <c r="B160" s="51"/>
      <c r="C160" s="47" t="s">
        <v>719</v>
      </c>
      <c r="D160" s="47" t="s">
        <v>164</v>
      </c>
      <c r="E160" s="47"/>
      <c r="F160" s="47" t="s">
        <v>164</v>
      </c>
      <c r="G160" s="48"/>
      <c r="H160" s="48" t="s">
        <v>164</v>
      </c>
      <c r="I160" s="48" t="s">
        <v>1275</v>
      </c>
      <c r="J160" s="48" t="s">
        <v>164</v>
      </c>
      <c r="K160" s="48"/>
      <c r="L160" s="48" t="s">
        <v>164</v>
      </c>
      <c r="M160" s="48" t="s">
        <v>131</v>
      </c>
      <c r="N160" s="52">
        <v>13.884548187255859</v>
      </c>
      <c r="O160" s="52">
        <v>7.0750000000116398</v>
      </c>
      <c r="P160" s="55">
        <v>44161.955960648149</v>
      </c>
      <c r="Q160" s="52" t="s">
        <v>92</v>
      </c>
      <c r="R160" s="55" t="s">
        <v>92</v>
      </c>
      <c r="S160" s="53"/>
      <c r="T160" s="48" t="s">
        <v>18</v>
      </c>
      <c r="U160" s="48" t="s">
        <v>92</v>
      </c>
      <c r="V160" s="48" t="s">
        <v>717</v>
      </c>
    </row>
    <row r="161" spans="1:22" ht="21" customHeight="1">
      <c r="A161" s="48" t="s">
        <v>715</v>
      </c>
      <c r="B161" s="51"/>
      <c r="C161" s="47" t="s">
        <v>716</v>
      </c>
      <c r="D161" s="47" t="s">
        <v>164</v>
      </c>
      <c r="E161" s="47"/>
      <c r="F161" s="47" t="s">
        <v>164</v>
      </c>
      <c r="G161" s="48"/>
      <c r="H161" s="48" t="s">
        <v>164</v>
      </c>
      <c r="I161" s="48"/>
      <c r="J161" s="48" t="s">
        <v>164</v>
      </c>
      <c r="K161" s="48"/>
      <c r="L161" s="48" t="s">
        <v>164</v>
      </c>
      <c r="M161" s="48" t="s">
        <v>131</v>
      </c>
      <c r="N161" s="52">
        <v>3.3958349227905273</v>
      </c>
      <c r="O161" s="52">
        <v>24.841111111105398</v>
      </c>
      <c r="P161" s="55">
        <v>44161.95585648148</v>
      </c>
      <c r="Q161" s="52" t="s">
        <v>92</v>
      </c>
      <c r="R161" s="55" t="s">
        <v>92</v>
      </c>
      <c r="S161" s="53"/>
      <c r="T161" s="48" t="s">
        <v>18</v>
      </c>
      <c r="U161" s="48" t="s">
        <v>92</v>
      </c>
      <c r="V161" s="48" t="s">
        <v>714</v>
      </c>
    </row>
    <row r="162" spans="1:22" ht="21" customHeight="1">
      <c r="A162" s="48" t="s">
        <v>727</v>
      </c>
      <c r="B162" s="51"/>
      <c r="C162" s="47" t="s">
        <v>728</v>
      </c>
      <c r="D162" s="47" t="s">
        <v>164</v>
      </c>
      <c r="E162" s="47"/>
      <c r="F162" s="47" t="s">
        <v>164</v>
      </c>
      <c r="G162" s="48"/>
      <c r="H162" s="48" t="s">
        <v>164</v>
      </c>
      <c r="I162" s="48" t="s">
        <v>1275</v>
      </c>
      <c r="J162" s="48" t="s">
        <v>164</v>
      </c>
      <c r="K162" s="48"/>
      <c r="L162" s="48" t="s">
        <v>164</v>
      </c>
      <c r="M162" s="48" t="s">
        <v>131</v>
      </c>
      <c r="N162" s="52">
        <v>8.2660884857177734</v>
      </c>
      <c r="O162" s="52">
        <v>0.74277777783572696</v>
      </c>
      <c r="P162" s="55">
        <v>44161.956018518518</v>
      </c>
      <c r="Q162" s="52" t="s">
        <v>92</v>
      </c>
      <c r="R162" s="55" t="s">
        <v>92</v>
      </c>
      <c r="S162" s="53"/>
      <c r="T162" s="48" t="s">
        <v>18</v>
      </c>
      <c r="U162" s="48" t="s">
        <v>92</v>
      </c>
      <c r="V162" s="48" t="s">
        <v>726</v>
      </c>
    </row>
    <row r="163" spans="1:22" ht="21" customHeight="1">
      <c r="A163" s="48" t="s">
        <v>748</v>
      </c>
      <c r="B163" s="51"/>
      <c r="C163" s="47" t="s">
        <v>749</v>
      </c>
      <c r="D163" s="47" t="s">
        <v>164</v>
      </c>
      <c r="E163" s="47"/>
      <c r="F163" s="47" t="s">
        <v>164</v>
      </c>
      <c r="G163" s="48"/>
      <c r="H163" s="48" t="s">
        <v>164</v>
      </c>
      <c r="I163" s="48" t="s">
        <v>1275</v>
      </c>
      <c r="J163" s="48" t="s">
        <v>164</v>
      </c>
      <c r="K163" s="48"/>
      <c r="L163" s="48" t="s">
        <v>164</v>
      </c>
      <c r="M163" s="48" t="s">
        <v>131</v>
      </c>
      <c r="N163" s="52">
        <v>5.4096784591674805</v>
      </c>
      <c r="O163" s="52">
        <v>11.234722222143301</v>
      </c>
      <c r="P163" s="55">
        <v>44161.95616898148</v>
      </c>
      <c r="Q163" s="52" t="s">
        <v>92</v>
      </c>
      <c r="R163" s="55" t="s">
        <v>92</v>
      </c>
      <c r="S163" s="53"/>
      <c r="T163" s="48" t="s">
        <v>18</v>
      </c>
      <c r="U163" s="48" t="s">
        <v>92</v>
      </c>
      <c r="V163" s="48" t="s">
        <v>747</v>
      </c>
    </row>
    <row r="164" spans="1:22" ht="21" customHeight="1">
      <c r="A164" s="48" t="s">
        <v>745</v>
      </c>
      <c r="B164" s="51"/>
      <c r="C164" s="47" t="s">
        <v>746</v>
      </c>
      <c r="D164" s="47" t="s">
        <v>164</v>
      </c>
      <c r="E164" s="47"/>
      <c r="F164" s="47" t="s">
        <v>164</v>
      </c>
      <c r="G164" s="48"/>
      <c r="H164" s="48" t="s">
        <v>164</v>
      </c>
      <c r="I164" s="48"/>
      <c r="J164" s="48" t="s">
        <v>164</v>
      </c>
      <c r="K164" s="48"/>
      <c r="L164" s="48" t="s">
        <v>164</v>
      </c>
      <c r="M164" s="48" t="s">
        <v>131</v>
      </c>
      <c r="N164" s="52">
        <v>2.1587924957275391</v>
      </c>
      <c r="O164" s="52">
        <v>28.2691666666651</v>
      </c>
      <c r="P164" s="55">
        <v>44161.956157407411</v>
      </c>
      <c r="Q164" s="52" t="s">
        <v>92</v>
      </c>
      <c r="R164" s="55" t="s">
        <v>92</v>
      </c>
      <c r="S164" s="53"/>
      <c r="T164" s="48" t="s">
        <v>18</v>
      </c>
      <c r="U164" s="48" t="s">
        <v>92</v>
      </c>
      <c r="V164" s="48" t="s">
        <v>744</v>
      </c>
    </row>
    <row r="165" spans="1:22" ht="21" customHeight="1">
      <c r="A165" s="48" t="s">
        <v>781</v>
      </c>
      <c r="B165" s="51"/>
      <c r="C165" s="47" t="s">
        <v>782</v>
      </c>
      <c r="D165" s="47" t="s">
        <v>164</v>
      </c>
      <c r="E165" s="47"/>
      <c r="F165" s="47" t="s">
        <v>164</v>
      </c>
      <c r="G165" s="48"/>
      <c r="H165" s="48" t="s">
        <v>164</v>
      </c>
      <c r="I165" s="48"/>
      <c r="J165" s="48" t="s">
        <v>164</v>
      </c>
      <c r="K165" s="48"/>
      <c r="L165" s="48" t="s">
        <v>164</v>
      </c>
      <c r="M165" s="48" t="s">
        <v>131</v>
      </c>
      <c r="N165" s="52">
        <v>8.6668968200683594E-2</v>
      </c>
      <c r="O165" s="52">
        <v>1.77416666666977</v>
      </c>
      <c r="P165" s="55">
        <v>44161.956400462965</v>
      </c>
      <c r="Q165" s="52" t="s">
        <v>92</v>
      </c>
      <c r="R165" s="55" t="s">
        <v>92</v>
      </c>
      <c r="S165" s="53"/>
      <c r="T165" s="48" t="s">
        <v>18</v>
      </c>
      <c r="U165" s="48" t="s">
        <v>92</v>
      </c>
      <c r="V165" s="48" t="s">
        <v>780</v>
      </c>
    </row>
    <row r="166" spans="1:22" ht="21" customHeight="1">
      <c r="A166" s="48" t="s">
        <v>778</v>
      </c>
      <c r="B166" s="51"/>
      <c r="C166" s="47" t="s">
        <v>779</v>
      </c>
      <c r="D166" s="47" t="s">
        <v>164</v>
      </c>
      <c r="E166" s="47"/>
      <c r="F166" s="47" t="s">
        <v>164</v>
      </c>
      <c r="G166" s="48"/>
      <c r="H166" s="48" t="s">
        <v>164</v>
      </c>
      <c r="I166" s="48"/>
      <c r="J166" s="48" t="s">
        <v>164</v>
      </c>
      <c r="K166" s="48"/>
      <c r="L166" s="48" t="s">
        <v>164</v>
      </c>
      <c r="M166" s="48" t="s">
        <v>131</v>
      </c>
      <c r="N166" s="52">
        <v>9.8742809295654297</v>
      </c>
      <c r="O166" s="52">
        <v>30.9216666666325</v>
      </c>
      <c r="P166" s="55">
        <v>44161.956388888888</v>
      </c>
      <c r="Q166" s="52" t="s">
        <v>92</v>
      </c>
      <c r="R166" s="55" t="s">
        <v>92</v>
      </c>
      <c r="S166" s="53"/>
      <c r="T166" s="48" t="s">
        <v>18</v>
      </c>
      <c r="U166" s="48" t="s">
        <v>92</v>
      </c>
      <c r="V166" s="48" t="s">
        <v>777</v>
      </c>
    </row>
    <row r="167" spans="1:22" ht="21" customHeight="1">
      <c r="A167" s="48" t="s">
        <v>784</v>
      </c>
      <c r="B167" s="51"/>
      <c r="C167" s="47" t="s">
        <v>785</v>
      </c>
      <c r="D167" s="47" t="s">
        <v>164</v>
      </c>
      <c r="E167" s="47"/>
      <c r="F167" s="47" t="s">
        <v>164</v>
      </c>
      <c r="G167" s="48"/>
      <c r="H167" s="48" t="s">
        <v>164</v>
      </c>
      <c r="I167" s="48"/>
      <c r="J167" s="48" t="s">
        <v>164</v>
      </c>
      <c r="K167" s="48"/>
      <c r="L167" s="48" t="s">
        <v>164</v>
      </c>
      <c r="M167" s="48" t="s">
        <v>131</v>
      </c>
      <c r="N167" s="52">
        <v>12.401096343994141</v>
      </c>
      <c r="O167" s="52">
        <v>5.1163888889132103</v>
      </c>
      <c r="P167" s="55">
        <v>44161.956423611111</v>
      </c>
      <c r="Q167" s="52" t="s">
        <v>92</v>
      </c>
      <c r="R167" s="55" t="s">
        <v>92</v>
      </c>
      <c r="S167" s="53"/>
      <c r="T167" s="48" t="s">
        <v>18</v>
      </c>
      <c r="U167" s="48" t="s">
        <v>92</v>
      </c>
      <c r="V167" s="48" t="s">
        <v>783</v>
      </c>
    </row>
    <row r="168" spans="1:22" ht="21" customHeight="1">
      <c r="A168" s="48" t="s">
        <v>769</v>
      </c>
      <c r="B168" s="51"/>
      <c r="C168" s="47" t="s">
        <v>770</v>
      </c>
      <c r="D168" s="47" t="s">
        <v>164</v>
      </c>
      <c r="E168" s="47"/>
      <c r="F168" s="47" t="s">
        <v>164</v>
      </c>
      <c r="G168" s="48"/>
      <c r="H168" s="48" t="s">
        <v>164</v>
      </c>
      <c r="I168" s="48"/>
      <c r="J168" s="48" t="s">
        <v>164</v>
      </c>
      <c r="K168" s="48"/>
      <c r="L168" s="48" t="s">
        <v>164</v>
      </c>
      <c r="M168" s="48" t="s">
        <v>131</v>
      </c>
      <c r="N168" s="52">
        <v>10.550052642822266</v>
      </c>
      <c r="O168" s="52">
        <v>6.2849999999161801</v>
      </c>
      <c r="P168" s="55">
        <v>44161.956331018519</v>
      </c>
      <c r="Q168" s="48" t="s">
        <v>92</v>
      </c>
      <c r="R168" s="48" t="s">
        <v>92</v>
      </c>
      <c r="S168" s="53"/>
      <c r="T168" s="48" t="s">
        <v>18</v>
      </c>
      <c r="U168" s="48" t="s">
        <v>92</v>
      </c>
      <c r="V168" s="48" t="s">
        <v>768</v>
      </c>
    </row>
    <row r="169" spans="1:22" ht="21" customHeight="1">
      <c r="A169" s="48" t="s">
        <v>757</v>
      </c>
      <c r="B169" s="51"/>
      <c r="C169" s="47" t="s">
        <v>758</v>
      </c>
      <c r="D169" s="47" t="s">
        <v>164</v>
      </c>
      <c r="E169" s="47"/>
      <c r="F169" s="47" t="s">
        <v>164</v>
      </c>
      <c r="G169" s="48"/>
      <c r="H169" s="48" t="s">
        <v>164</v>
      </c>
      <c r="I169" s="48"/>
      <c r="J169" s="48" t="s">
        <v>164</v>
      </c>
      <c r="K169" s="48"/>
      <c r="L169" s="48" t="s">
        <v>164</v>
      </c>
      <c r="M169" s="48" t="s">
        <v>131</v>
      </c>
      <c r="N169" s="52">
        <v>12.015027046203613</v>
      </c>
      <c r="O169" s="52">
        <v>6.6688888889621003</v>
      </c>
      <c r="P169" s="55">
        <v>44161.956250000003</v>
      </c>
      <c r="Q169" s="48" t="s">
        <v>92</v>
      </c>
      <c r="R169" s="48" t="s">
        <v>92</v>
      </c>
      <c r="S169" s="53"/>
      <c r="T169" s="48" t="s">
        <v>18</v>
      </c>
      <c r="U169" s="48" t="s">
        <v>92</v>
      </c>
      <c r="V169" s="48" t="s">
        <v>756</v>
      </c>
    </row>
    <row r="170" spans="1:22" ht="21" customHeight="1">
      <c r="A170" s="48" t="s">
        <v>742</v>
      </c>
      <c r="B170" s="51"/>
      <c r="C170" s="47" t="s">
        <v>743</v>
      </c>
      <c r="D170" s="47" t="s">
        <v>164</v>
      </c>
      <c r="E170" s="47"/>
      <c r="F170" s="47" t="s">
        <v>164</v>
      </c>
      <c r="G170" s="48"/>
      <c r="H170" s="48" t="s">
        <v>164</v>
      </c>
      <c r="I170" s="48"/>
      <c r="J170" s="48" t="s">
        <v>164</v>
      </c>
      <c r="K170" s="48"/>
      <c r="L170" s="48" t="s">
        <v>164</v>
      </c>
      <c r="M170" s="48" t="s">
        <v>131</v>
      </c>
      <c r="N170" s="52" t="s">
        <v>201</v>
      </c>
      <c r="O170" s="52">
        <v>26.443611111142701</v>
      </c>
      <c r="P170" s="55">
        <v>44161.956145833334</v>
      </c>
      <c r="Q170" s="48" t="s">
        <v>92</v>
      </c>
      <c r="R170" s="48" t="s">
        <v>92</v>
      </c>
      <c r="S170" s="53"/>
      <c r="T170" s="48" t="s">
        <v>18</v>
      </c>
      <c r="U170" s="48" t="s">
        <v>92</v>
      </c>
      <c r="V170" s="48" t="s">
        <v>741</v>
      </c>
    </row>
    <row r="171" spans="1:22" ht="21" customHeight="1">
      <c r="A171" s="48" t="s">
        <v>733</v>
      </c>
      <c r="B171" s="51"/>
      <c r="C171" s="47" t="s">
        <v>734</v>
      </c>
      <c r="D171" s="47" t="s">
        <v>164</v>
      </c>
      <c r="E171" s="47"/>
      <c r="F171" s="47" t="s">
        <v>164</v>
      </c>
      <c r="G171" s="48"/>
      <c r="H171" s="48" t="s">
        <v>164</v>
      </c>
      <c r="I171" s="48"/>
      <c r="J171" s="48" t="s">
        <v>164</v>
      </c>
      <c r="K171" s="48"/>
      <c r="L171" s="48" t="s">
        <v>164</v>
      </c>
      <c r="M171" s="48" t="s">
        <v>131</v>
      </c>
      <c r="N171" s="52">
        <v>15.889644622802734</v>
      </c>
      <c r="O171" s="52">
        <v>24.481944444472902</v>
      </c>
      <c r="P171" s="55">
        <v>44161.956064814818</v>
      </c>
      <c r="Q171" s="48" t="s">
        <v>92</v>
      </c>
      <c r="R171" s="48" t="s">
        <v>92</v>
      </c>
      <c r="S171" s="53"/>
      <c r="T171" s="48" t="s">
        <v>18</v>
      </c>
      <c r="U171" s="48" t="s">
        <v>92</v>
      </c>
      <c r="V171" s="48" t="s">
        <v>732</v>
      </c>
    </row>
    <row r="172" spans="1:22" ht="21" customHeight="1">
      <c r="A172" s="48" t="s">
        <v>700</v>
      </c>
      <c r="B172" s="51"/>
      <c r="C172" s="47" t="s">
        <v>701</v>
      </c>
      <c r="D172" s="47" t="s">
        <v>164</v>
      </c>
      <c r="E172" s="47"/>
      <c r="F172" s="47" t="s">
        <v>164</v>
      </c>
      <c r="G172" s="48"/>
      <c r="H172" s="48" t="s">
        <v>164</v>
      </c>
      <c r="I172" s="48"/>
      <c r="J172" s="48" t="s">
        <v>164</v>
      </c>
      <c r="K172" s="48"/>
      <c r="L172" s="48" t="s">
        <v>164</v>
      </c>
      <c r="M172" s="48" t="s">
        <v>131</v>
      </c>
      <c r="N172" s="52" t="s">
        <v>201</v>
      </c>
      <c r="O172" s="52">
        <v>4.9194444443564898</v>
      </c>
      <c r="P172" s="55">
        <v>44161.955636574072</v>
      </c>
      <c r="Q172" s="48" t="s">
        <v>92</v>
      </c>
      <c r="R172" s="48" t="s">
        <v>92</v>
      </c>
      <c r="S172" s="53"/>
      <c r="T172" s="48" t="s">
        <v>18</v>
      </c>
      <c r="U172" s="48" t="s">
        <v>92</v>
      </c>
      <c r="V172" s="48" t="s">
        <v>699</v>
      </c>
    </row>
    <row r="173" spans="1:22" ht="21" customHeight="1">
      <c r="A173" s="48" t="s">
        <v>673</v>
      </c>
      <c r="B173" s="51"/>
      <c r="C173" s="47" t="s">
        <v>674</v>
      </c>
      <c r="D173" s="47" t="s">
        <v>164</v>
      </c>
      <c r="E173" s="47"/>
      <c r="F173" s="47" t="s">
        <v>164</v>
      </c>
      <c r="G173" s="48"/>
      <c r="H173" s="48" t="s">
        <v>164</v>
      </c>
      <c r="I173" s="48"/>
      <c r="J173" s="48" t="s">
        <v>164</v>
      </c>
      <c r="K173" s="48"/>
      <c r="L173" s="48" t="s">
        <v>164</v>
      </c>
      <c r="M173" s="48" t="s">
        <v>131</v>
      </c>
      <c r="N173" s="52">
        <v>4.8998270034790039</v>
      </c>
      <c r="O173" s="52">
        <v>25.055555555562002</v>
      </c>
      <c r="P173" s="55">
        <v>44161.955254629633</v>
      </c>
      <c r="Q173" s="48" t="s">
        <v>92</v>
      </c>
      <c r="R173" s="48" t="s">
        <v>92</v>
      </c>
      <c r="S173" s="53"/>
      <c r="T173" s="48" t="s">
        <v>18</v>
      </c>
      <c r="U173" s="48" t="s">
        <v>92</v>
      </c>
      <c r="V173" s="48" t="s">
        <v>672</v>
      </c>
    </row>
    <row r="174" spans="1:22" ht="21" customHeight="1">
      <c r="A174" s="48" t="s">
        <v>652</v>
      </c>
      <c r="B174" s="51"/>
      <c r="C174" s="47" t="s">
        <v>653</v>
      </c>
      <c r="D174" s="47" t="s">
        <v>164</v>
      </c>
      <c r="E174" s="47"/>
      <c r="F174" s="47" t="s">
        <v>164</v>
      </c>
      <c r="G174" s="48"/>
      <c r="H174" s="48" t="s">
        <v>164</v>
      </c>
      <c r="I174" s="48"/>
      <c r="J174" s="48" t="s">
        <v>164</v>
      </c>
      <c r="K174" s="48"/>
      <c r="L174" s="48" t="s">
        <v>164</v>
      </c>
      <c r="M174" s="48" t="s">
        <v>131</v>
      </c>
      <c r="N174" s="52">
        <v>5.3418769836425781</v>
      </c>
      <c r="O174" s="52">
        <v>23.690277777845001</v>
      </c>
      <c r="P174" s="55">
        <v>44161.955000000002</v>
      </c>
      <c r="Q174" s="48" t="s">
        <v>92</v>
      </c>
      <c r="R174" s="48" t="s">
        <v>92</v>
      </c>
      <c r="S174" s="53"/>
      <c r="T174" s="48" t="s">
        <v>18</v>
      </c>
      <c r="U174" s="48" t="s">
        <v>92</v>
      </c>
      <c r="V174" s="48" t="s">
        <v>651</v>
      </c>
    </row>
    <row r="175" spans="1:22" ht="21" customHeight="1">
      <c r="A175" s="48" t="s">
        <v>649</v>
      </c>
      <c r="B175" s="51"/>
      <c r="C175" s="47" t="s">
        <v>650</v>
      </c>
      <c r="D175" s="47" t="s">
        <v>164</v>
      </c>
      <c r="E175" s="47"/>
      <c r="F175" s="47" t="s">
        <v>164</v>
      </c>
      <c r="G175" s="48"/>
      <c r="H175" s="48" t="s">
        <v>164</v>
      </c>
      <c r="I175" s="48"/>
      <c r="J175" s="48" t="s">
        <v>164</v>
      </c>
      <c r="K175" s="48"/>
      <c r="L175" s="48" t="s">
        <v>164</v>
      </c>
      <c r="M175" s="48" t="s">
        <v>131</v>
      </c>
      <c r="N175" s="52">
        <v>9.4464559555053711</v>
      </c>
      <c r="O175" s="52">
        <v>21.959444444335499</v>
      </c>
      <c r="P175" s="55">
        <v>44161.954988425925</v>
      </c>
      <c r="Q175" s="48" t="s">
        <v>92</v>
      </c>
      <c r="R175" s="48" t="s">
        <v>92</v>
      </c>
      <c r="S175" s="53"/>
      <c r="T175" s="48" t="s">
        <v>18</v>
      </c>
      <c r="U175" s="48" t="s">
        <v>92</v>
      </c>
      <c r="V175" s="48" t="s">
        <v>648</v>
      </c>
    </row>
    <row r="176" spans="1:22" ht="21" customHeight="1">
      <c r="A176" s="48" t="s">
        <v>628</v>
      </c>
      <c r="B176" s="51"/>
      <c r="C176" s="47" t="s">
        <v>629</v>
      </c>
      <c r="D176" s="47" t="s">
        <v>164</v>
      </c>
      <c r="E176" s="47"/>
      <c r="F176" s="47" t="s">
        <v>164</v>
      </c>
      <c r="G176" s="48"/>
      <c r="H176" s="48" t="s">
        <v>164</v>
      </c>
      <c r="I176" s="48"/>
      <c r="J176" s="48" t="s">
        <v>164</v>
      </c>
      <c r="K176" s="48"/>
      <c r="L176" s="48" t="s">
        <v>164</v>
      </c>
      <c r="M176" s="48" t="s">
        <v>131</v>
      </c>
      <c r="N176" s="52">
        <v>6.0058250427246094</v>
      </c>
      <c r="O176" s="52">
        <v>12.722222222189901</v>
      </c>
      <c r="P176" s="55">
        <v>44161.954733796294</v>
      </c>
      <c r="Q176" s="48" t="s">
        <v>92</v>
      </c>
      <c r="R176" s="48" t="s">
        <v>92</v>
      </c>
      <c r="S176" s="53"/>
      <c r="T176" s="48" t="s">
        <v>18</v>
      </c>
      <c r="U176" s="48" t="s">
        <v>92</v>
      </c>
      <c r="V176" s="48" t="s">
        <v>627</v>
      </c>
    </row>
    <row r="177" spans="1:22" ht="21" customHeight="1">
      <c r="A177" s="48" t="s">
        <v>610</v>
      </c>
      <c r="B177" s="51"/>
      <c r="C177" s="47" t="s">
        <v>611</v>
      </c>
      <c r="D177" s="47" t="s">
        <v>164</v>
      </c>
      <c r="E177" s="47"/>
      <c r="F177" s="47" t="s">
        <v>164</v>
      </c>
      <c r="G177" s="48"/>
      <c r="H177" s="48" t="s">
        <v>164</v>
      </c>
      <c r="I177" s="48"/>
      <c r="J177" s="48" t="s">
        <v>164</v>
      </c>
      <c r="K177" s="48"/>
      <c r="L177" s="48" t="s">
        <v>164</v>
      </c>
      <c r="M177" s="48" t="s">
        <v>131</v>
      </c>
      <c r="N177" s="52">
        <v>7.2433395385742188</v>
      </c>
      <c r="O177" s="52">
        <v>0.10194444435183</v>
      </c>
      <c r="P177" s="55">
        <v>44161.954583333332</v>
      </c>
      <c r="Q177" s="48" t="s">
        <v>92</v>
      </c>
      <c r="R177" s="48" t="s">
        <v>92</v>
      </c>
      <c r="S177" s="53"/>
      <c r="T177" s="48" t="s">
        <v>18</v>
      </c>
      <c r="U177" s="48" t="s">
        <v>92</v>
      </c>
      <c r="V177" s="48" t="s">
        <v>609</v>
      </c>
    </row>
    <row r="178" spans="1:22" ht="21" customHeight="1">
      <c r="A178" s="48" t="s">
        <v>589</v>
      </c>
      <c r="B178" s="51"/>
      <c r="C178" s="47" t="s">
        <v>590</v>
      </c>
      <c r="D178" s="47" t="s">
        <v>164</v>
      </c>
      <c r="E178" s="47"/>
      <c r="F178" s="47" t="s">
        <v>164</v>
      </c>
      <c r="G178" s="48"/>
      <c r="H178" s="48" t="s">
        <v>164</v>
      </c>
      <c r="I178" s="48"/>
      <c r="J178" s="48" t="s">
        <v>164</v>
      </c>
      <c r="K178" s="48"/>
      <c r="L178" s="48" t="s">
        <v>164</v>
      </c>
      <c r="M178" s="48" t="s">
        <v>131</v>
      </c>
      <c r="N178" s="52">
        <v>4.2881059646606445</v>
      </c>
      <c r="O178" s="52">
        <v>5.5461111111799299</v>
      </c>
      <c r="P178" s="55">
        <v>44161.954317129632</v>
      </c>
      <c r="Q178" s="48" t="s">
        <v>92</v>
      </c>
      <c r="R178" s="48" t="s">
        <v>92</v>
      </c>
      <c r="S178" s="53"/>
      <c r="T178" s="48" t="s">
        <v>18</v>
      </c>
      <c r="U178" s="48" t="s">
        <v>92</v>
      </c>
      <c r="V178" s="48" t="s">
        <v>588</v>
      </c>
    </row>
    <row r="179" spans="1:22" ht="21" customHeight="1">
      <c r="A179" s="48" t="s">
        <v>586</v>
      </c>
      <c r="B179" s="51"/>
      <c r="C179" s="47" t="s">
        <v>587</v>
      </c>
      <c r="D179" s="47" t="s">
        <v>164</v>
      </c>
      <c r="E179" s="47"/>
      <c r="F179" s="47" t="s">
        <v>164</v>
      </c>
      <c r="G179" s="48"/>
      <c r="H179" s="48" t="s">
        <v>164</v>
      </c>
      <c r="I179" s="48"/>
      <c r="J179" s="48" t="s">
        <v>164</v>
      </c>
      <c r="K179" s="48"/>
      <c r="L179" s="48" t="s">
        <v>164</v>
      </c>
      <c r="M179" s="48" t="s">
        <v>131</v>
      </c>
      <c r="N179" s="52">
        <v>1.5492057800292969</v>
      </c>
      <c r="O179" s="52">
        <v>11.8058333333465</v>
      </c>
      <c r="P179" s="55">
        <v>44161.954305555555</v>
      </c>
      <c r="Q179" s="48" t="s">
        <v>92</v>
      </c>
      <c r="R179" s="48" t="s">
        <v>92</v>
      </c>
      <c r="S179" s="53"/>
      <c r="T179" s="48" t="s">
        <v>18</v>
      </c>
      <c r="U179" s="48" t="s">
        <v>92</v>
      </c>
      <c r="V179" s="48" t="s">
        <v>585</v>
      </c>
    </row>
    <row r="180" spans="1:22" ht="21" customHeight="1">
      <c r="A180" s="48" t="s">
        <v>568</v>
      </c>
      <c r="B180" s="51"/>
      <c r="C180" s="47" t="s">
        <v>569</v>
      </c>
      <c r="D180" s="47" t="s">
        <v>164</v>
      </c>
      <c r="E180" s="47"/>
      <c r="F180" s="47" t="s">
        <v>164</v>
      </c>
      <c r="G180" s="48"/>
      <c r="H180" s="48" t="s">
        <v>164</v>
      </c>
      <c r="I180" s="48"/>
      <c r="J180" s="48" t="s">
        <v>164</v>
      </c>
      <c r="K180" s="48"/>
      <c r="L180" s="48" t="s">
        <v>164</v>
      </c>
      <c r="M180" s="48" t="s">
        <v>131</v>
      </c>
      <c r="N180" s="52">
        <v>12.574073791503906</v>
      </c>
      <c r="O180" s="52">
        <v>24.9611111112172</v>
      </c>
      <c r="P180" s="55">
        <v>44161.954074074078</v>
      </c>
      <c r="Q180" s="48" t="s">
        <v>92</v>
      </c>
      <c r="R180" s="48" t="s">
        <v>92</v>
      </c>
      <c r="S180" s="53"/>
      <c r="T180" s="48" t="s">
        <v>18</v>
      </c>
      <c r="U180" s="48" t="s">
        <v>92</v>
      </c>
      <c r="V180" s="48" t="s">
        <v>567</v>
      </c>
    </row>
    <row r="181" spans="1:22" ht="21" customHeight="1">
      <c r="A181" s="48" t="s">
        <v>565</v>
      </c>
      <c r="B181" s="51"/>
      <c r="C181" s="47" t="s">
        <v>566</v>
      </c>
      <c r="D181" s="47" t="s">
        <v>164</v>
      </c>
      <c r="E181" s="47"/>
      <c r="F181" s="47" t="s">
        <v>164</v>
      </c>
      <c r="G181" s="48"/>
      <c r="H181" s="48" t="s">
        <v>164</v>
      </c>
      <c r="I181" s="48"/>
      <c r="J181" s="48" t="s">
        <v>164</v>
      </c>
      <c r="K181" s="48"/>
      <c r="L181" s="48" t="s">
        <v>164</v>
      </c>
      <c r="M181" s="48" t="s">
        <v>131</v>
      </c>
      <c r="N181" s="52">
        <v>5.1830930709838867</v>
      </c>
      <c r="O181" s="52">
        <v>4.7972222222015297</v>
      </c>
      <c r="P181" s="55">
        <v>44161.954050925924</v>
      </c>
      <c r="Q181" s="48" t="s">
        <v>92</v>
      </c>
      <c r="R181" s="48" t="s">
        <v>92</v>
      </c>
      <c r="S181" s="53"/>
      <c r="T181" s="48" t="s">
        <v>18</v>
      </c>
      <c r="U181" s="48" t="s">
        <v>92</v>
      </c>
      <c r="V181" s="48" t="s">
        <v>564</v>
      </c>
    </row>
    <row r="182" spans="1:22" ht="21" customHeight="1">
      <c r="A182" s="48" t="s">
        <v>532</v>
      </c>
      <c r="B182" s="51"/>
      <c r="C182" s="47" t="s">
        <v>533</v>
      </c>
      <c r="D182" s="47" t="s">
        <v>164</v>
      </c>
      <c r="E182" s="47"/>
      <c r="F182" s="47" t="s">
        <v>164</v>
      </c>
      <c r="G182" s="48"/>
      <c r="H182" s="48" t="s">
        <v>164</v>
      </c>
      <c r="I182" s="48"/>
      <c r="J182" s="48" t="s">
        <v>164</v>
      </c>
      <c r="K182" s="48"/>
      <c r="L182" s="48" t="s">
        <v>164</v>
      </c>
      <c r="M182" s="48" t="s">
        <v>131</v>
      </c>
      <c r="N182" s="52" t="s">
        <v>201</v>
      </c>
      <c r="O182" s="52">
        <v>6.9319444445427498</v>
      </c>
      <c r="P182" s="55">
        <v>44161.953692129631</v>
      </c>
      <c r="Q182" s="48" t="s">
        <v>92</v>
      </c>
      <c r="R182" s="48" t="s">
        <v>92</v>
      </c>
      <c r="S182" s="53"/>
      <c r="T182" s="48" t="s">
        <v>18</v>
      </c>
      <c r="U182" s="48" t="s">
        <v>92</v>
      </c>
      <c r="V182" s="48" t="s">
        <v>531</v>
      </c>
    </row>
    <row r="183" spans="1:22" ht="21" customHeight="1">
      <c r="A183" s="48" t="s">
        <v>529</v>
      </c>
      <c r="B183" s="51"/>
      <c r="C183" s="47" t="s">
        <v>530</v>
      </c>
      <c r="D183" s="47" t="s">
        <v>164</v>
      </c>
      <c r="E183" s="47"/>
      <c r="F183" s="47" t="s">
        <v>164</v>
      </c>
      <c r="G183" s="48"/>
      <c r="H183" s="48" t="s">
        <v>164</v>
      </c>
      <c r="I183" s="48"/>
      <c r="J183" s="48" t="s">
        <v>164</v>
      </c>
      <c r="K183" s="48"/>
      <c r="L183" s="48" t="s">
        <v>164</v>
      </c>
      <c r="M183" s="48" t="s">
        <v>131</v>
      </c>
      <c r="N183" s="52" t="s">
        <v>201</v>
      </c>
      <c r="O183" s="52">
        <v>25.2908333333326</v>
      </c>
      <c r="P183" s="55">
        <v>44161.953668981485</v>
      </c>
      <c r="Q183" s="48" t="s">
        <v>92</v>
      </c>
      <c r="R183" s="48" t="s">
        <v>92</v>
      </c>
      <c r="S183" s="53"/>
      <c r="T183" s="48" t="s">
        <v>18</v>
      </c>
      <c r="U183" s="48" t="s">
        <v>92</v>
      </c>
      <c r="V183" s="48" t="s">
        <v>528</v>
      </c>
    </row>
    <row r="184" spans="1:22" ht="21" customHeight="1">
      <c r="A184" s="48" t="s">
        <v>523</v>
      </c>
      <c r="B184" s="51"/>
      <c r="C184" s="47" t="s">
        <v>524</v>
      </c>
      <c r="D184" s="47" t="s">
        <v>164</v>
      </c>
      <c r="E184" s="47"/>
      <c r="F184" s="47" t="s">
        <v>164</v>
      </c>
      <c r="G184" s="48"/>
      <c r="H184" s="48" t="s">
        <v>164</v>
      </c>
      <c r="I184" s="48"/>
      <c r="J184" s="48" t="s">
        <v>164</v>
      </c>
      <c r="K184" s="48"/>
      <c r="L184" s="48" t="s">
        <v>164</v>
      </c>
      <c r="M184" s="48" t="s">
        <v>131</v>
      </c>
      <c r="N184" s="52">
        <v>9.9835681915283203</v>
      </c>
      <c r="O184" s="52">
        <v>29.711388888827098</v>
      </c>
      <c r="P184" s="55">
        <v>44161.953576388885</v>
      </c>
      <c r="Q184" s="48" t="s">
        <v>92</v>
      </c>
      <c r="R184" s="48" t="s">
        <v>92</v>
      </c>
      <c r="S184" s="53"/>
      <c r="T184" s="48" t="s">
        <v>18</v>
      </c>
      <c r="U184" s="48" t="s">
        <v>92</v>
      </c>
      <c r="V184" s="48" t="s">
        <v>522</v>
      </c>
    </row>
    <row r="185" spans="1:22" ht="21" customHeight="1">
      <c r="A185" s="48" t="s">
        <v>505</v>
      </c>
      <c r="B185" s="51"/>
      <c r="C185" s="47" t="s">
        <v>506</v>
      </c>
      <c r="D185" s="47" t="s">
        <v>164</v>
      </c>
      <c r="E185" s="47"/>
      <c r="F185" s="47" t="s">
        <v>164</v>
      </c>
      <c r="G185" s="48"/>
      <c r="H185" s="48" t="s">
        <v>164</v>
      </c>
      <c r="I185" s="48"/>
      <c r="J185" s="48" t="s">
        <v>164</v>
      </c>
      <c r="K185" s="48"/>
      <c r="L185" s="48" t="s">
        <v>164</v>
      </c>
      <c r="M185" s="48" t="s">
        <v>131</v>
      </c>
      <c r="N185" s="52">
        <v>0.26237297058105469</v>
      </c>
      <c r="O185" s="52">
        <v>4.4055555554805297</v>
      </c>
      <c r="P185" s="55">
        <v>44161.953425925924</v>
      </c>
      <c r="Q185" s="48" t="s">
        <v>92</v>
      </c>
      <c r="R185" s="48" t="s">
        <v>92</v>
      </c>
      <c r="S185" s="53"/>
      <c r="T185" s="48" t="s">
        <v>18</v>
      </c>
      <c r="U185" s="48" t="s">
        <v>92</v>
      </c>
      <c r="V185" s="48" t="s">
        <v>504</v>
      </c>
    </row>
    <row r="186" spans="1:22" ht="21" customHeight="1">
      <c r="A186" s="48" t="s">
        <v>493</v>
      </c>
      <c r="B186" s="51"/>
      <c r="C186" s="47" t="s">
        <v>494</v>
      </c>
      <c r="D186" s="47" t="s">
        <v>164</v>
      </c>
      <c r="E186" s="47"/>
      <c r="F186" s="47" t="s">
        <v>164</v>
      </c>
      <c r="G186" s="48"/>
      <c r="H186" s="48" t="s">
        <v>164</v>
      </c>
      <c r="I186" s="48"/>
      <c r="J186" s="48" t="s">
        <v>164</v>
      </c>
      <c r="K186" s="48"/>
      <c r="L186" s="48" t="s">
        <v>164</v>
      </c>
      <c r="M186" s="48" t="s">
        <v>131</v>
      </c>
      <c r="N186" s="52">
        <v>15.030943870544434</v>
      </c>
      <c r="O186" s="52">
        <v>11.9836111111217</v>
      </c>
      <c r="P186" s="55">
        <v>44161.953333333331</v>
      </c>
      <c r="Q186" s="48" t="s">
        <v>92</v>
      </c>
      <c r="R186" s="48" t="s">
        <v>92</v>
      </c>
      <c r="S186" s="53"/>
      <c r="T186" s="48" t="s">
        <v>18</v>
      </c>
      <c r="U186" s="48" t="s">
        <v>92</v>
      </c>
      <c r="V186" s="48" t="s">
        <v>492</v>
      </c>
    </row>
    <row r="187" spans="1:22" ht="21" customHeight="1">
      <c r="A187" s="48" t="s">
        <v>481</v>
      </c>
      <c r="B187" s="51"/>
      <c r="C187" s="47" t="s">
        <v>482</v>
      </c>
      <c r="D187" s="47" t="s">
        <v>164</v>
      </c>
      <c r="E187" s="47"/>
      <c r="F187" s="47" t="s">
        <v>164</v>
      </c>
      <c r="G187" s="48"/>
      <c r="H187" s="48" t="s">
        <v>164</v>
      </c>
      <c r="I187" s="48"/>
      <c r="J187" s="48" t="s">
        <v>164</v>
      </c>
      <c r="K187" s="48"/>
      <c r="L187" s="48" t="s">
        <v>164</v>
      </c>
      <c r="M187" s="48" t="s">
        <v>131</v>
      </c>
      <c r="N187" s="52">
        <v>11.862979888916016</v>
      </c>
      <c r="O187" s="52">
        <v>5.2825000000884801</v>
      </c>
      <c r="P187" s="55">
        <v>44161.953229166669</v>
      </c>
      <c r="Q187" s="48" t="s">
        <v>92</v>
      </c>
      <c r="R187" s="48" t="s">
        <v>92</v>
      </c>
      <c r="S187" s="53"/>
      <c r="T187" s="48" t="s">
        <v>18</v>
      </c>
      <c r="U187" s="48" t="s">
        <v>92</v>
      </c>
      <c r="V187" s="48" t="s">
        <v>480</v>
      </c>
    </row>
    <row r="188" spans="1:22" ht="21" customHeight="1">
      <c r="A188" s="48" t="s">
        <v>478</v>
      </c>
      <c r="B188" s="51"/>
      <c r="C188" s="47" t="s">
        <v>479</v>
      </c>
      <c r="D188" s="47" t="s">
        <v>164</v>
      </c>
      <c r="E188" s="47"/>
      <c r="F188" s="47" t="s">
        <v>164</v>
      </c>
      <c r="G188" s="48"/>
      <c r="H188" s="48" t="s">
        <v>164</v>
      </c>
      <c r="I188" s="48"/>
      <c r="J188" s="48" t="s">
        <v>164</v>
      </c>
      <c r="K188" s="48"/>
      <c r="L188" s="48" t="s">
        <v>164</v>
      </c>
      <c r="M188" s="48" t="s">
        <v>131</v>
      </c>
      <c r="N188" s="52" t="s">
        <v>201</v>
      </c>
      <c r="O188" s="52">
        <v>15.9986111110775</v>
      </c>
      <c r="P188" s="55">
        <v>44161.953217592592</v>
      </c>
      <c r="Q188" s="48" t="s">
        <v>92</v>
      </c>
      <c r="R188" s="48" t="s">
        <v>92</v>
      </c>
      <c r="S188" s="53"/>
      <c r="T188" s="48" t="s">
        <v>18</v>
      </c>
      <c r="U188" s="48" t="s">
        <v>92</v>
      </c>
      <c r="V188" s="48" t="s">
        <v>477</v>
      </c>
    </row>
    <row r="189" spans="1:22" ht="21" customHeight="1">
      <c r="A189" s="48" t="s">
        <v>448</v>
      </c>
      <c r="B189" s="51"/>
      <c r="C189" s="47" t="s">
        <v>449</v>
      </c>
      <c r="D189" s="47" t="s">
        <v>164</v>
      </c>
      <c r="E189" s="47"/>
      <c r="F189" s="47" t="s">
        <v>164</v>
      </c>
      <c r="G189" s="48"/>
      <c r="H189" s="48" t="s">
        <v>164</v>
      </c>
      <c r="I189" s="48"/>
      <c r="J189" s="48" t="s">
        <v>164</v>
      </c>
      <c r="K189" s="48"/>
      <c r="L189" s="48" t="s">
        <v>164</v>
      </c>
      <c r="M189" s="48" t="s">
        <v>131</v>
      </c>
      <c r="N189" s="52" t="s">
        <v>201</v>
      </c>
      <c r="O189" s="52">
        <v>18.863611111126399</v>
      </c>
      <c r="P189" s="55">
        <v>44161.952939814815</v>
      </c>
      <c r="Q189" s="48" t="s">
        <v>92</v>
      </c>
      <c r="R189" s="48" t="s">
        <v>92</v>
      </c>
      <c r="S189" s="53"/>
      <c r="T189" s="48" t="s">
        <v>18</v>
      </c>
      <c r="U189" s="48" t="s">
        <v>92</v>
      </c>
      <c r="V189" s="48" t="s">
        <v>447</v>
      </c>
    </row>
    <row r="190" spans="1:22" ht="21" customHeight="1">
      <c r="A190" s="48" t="s">
        <v>430</v>
      </c>
      <c r="B190" s="51"/>
      <c r="C190" s="47" t="s">
        <v>431</v>
      </c>
      <c r="D190" s="47" t="s">
        <v>164</v>
      </c>
      <c r="E190" s="47"/>
      <c r="F190" s="47" t="s">
        <v>164</v>
      </c>
      <c r="G190" s="48"/>
      <c r="H190" s="48" t="s">
        <v>164</v>
      </c>
      <c r="I190" s="48"/>
      <c r="J190" s="48" t="s">
        <v>164</v>
      </c>
      <c r="K190" s="48"/>
      <c r="L190" s="48" t="s">
        <v>164</v>
      </c>
      <c r="M190" s="48" t="s">
        <v>131</v>
      </c>
      <c r="N190" s="52">
        <v>15.558487892150879</v>
      </c>
      <c r="O190" s="52">
        <v>25.0411111110589</v>
      </c>
      <c r="P190" s="55">
        <v>44161.952835648146</v>
      </c>
      <c r="Q190" s="48" t="s">
        <v>92</v>
      </c>
      <c r="R190" s="48" t="s">
        <v>92</v>
      </c>
      <c r="S190" s="53"/>
      <c r="T190" s="48" t="s">
        <v>18</v>
      </c>
      <c r="U190" s="48" t="s">
        <v>92</v>
      </c>
      <c r="V190" s="48" t="s">
        <v>429</v>
      </c>
    </row>
    <row r="191" spans="1:22" ht="21" customHeight="1">
      <c r="A191" s="48" t="s">
        <v>418</v>
      </c>
      <c r="B191" s="51"/>
      <c r="C191" s="47" t="s">
        <v>419</v>
      </c>
      <c r="D191" s="47" t="s">
        <v>164</v>
      </c>
      <c r="E191" s="47"/>
      <c r="F191" s="47" t="s">
        <v>164</v>
      </c>
      <c r="G191" s="48"/>
      <c r="H191" s="48" t="s">
        <v>164</v>
      </c>
      <c r="I191" s="48"/>
      <c r="J191" s="48" t="s">
        <v>164</v>
      </c>
      <c r="K191" s="48"/>
      <c r="L191" s="48" t="s">
        <v>164</v>
      </c>
      <c r="M191" s="48" t="s">
        <v>131</v>
      </c>
      <c r="N191" s="52" t="s">
        <v>201</v>
      </c>
      <c r="O191" s="52">
        <v>29.2113888889435</v>
      </c>
      <c r="P191" s="55">
        <v>44161.95275462963</v>
      </c>
      <c r="Q191" s="48" t="s">
        <v>92</v>
      </c>
      <c r="R191" s="48" t="s">
        <v>92</v>
      </c>
      <c r="S191" s="53"/>
      <c r="T191" s="48" t="s">
        <v>18</v>
      </c>
      <c r="U191" s="48" t="s">
        <v>92</v>
      </c>
      <c r="V191" s="48" t="s">
        <v>417</v>
      </c>
    </row>
    <row r="192" spans="1:22" ht="21" customHeight="1">
      <c r="A192" s="48" t="s">
        <v>403</v>
      </c>
      <c r="B192" s="51"/>
      <c r="C192" s="47" t="s">
        <v>404</v>
      </c>
      <c r="D192" s="47" t="s">
        <v>164</v>
      </c>
      <c r="E192" s="47"/>
      <c r="F192" s="47" t="s">
        <v>164</v>
      </c>
      <c r="G192" s="48"/>
      <c r="H192" s="48" t="s">
        <v>164</v>
      </c>
      <c r="I192" s="48"/>
      <c r="J192" s="48" t="s">
        <v>164</v>
      </c>
      <c r="K192" s="48"/>
      <c r="L192" s="48" t="s">
        <v>164</v>
      </c>
      <c r="M192" s="48" t="s">
        <v>131</v>
      </c>
      <c r="N192" s="52">
        <v>1.5425834655761719</v>
      </c>
      <c r="O192" s="52">
        <v>17.283055555599301</v>
      </c>
      <c r="P192" s="55">
        <v>44161.952604166669</v>
      </c>
      <c r="Q192" s="48" t="s">
        <v>92</v>
      </c>
      <c r="R192" s="48" t="s">
        <v>92</v>
      </c>
      <c r="S192" s="53"/>
      <c r="T192" s="48" t="s">
        <v>18</v>
      </c>
      <c r="U192" s="48" t="s">
        <v>92</v>
      </c>
      <c r="V192" s="48" t="s">
        <v>402</v>
      </c>
    </row>
    <row r="193" spans="1:22" ht="21" customHeight="1">
      <c r="A193" s="48" t="s">
        <v>397</v>
      </c>
      <c r="B193" s="51"/>
      <c r="C193" s="47" t="s">
        <v>398</v>
      </c>
      <c r="D193" s="47" t="s">
        <v>164</v>
      </c>
      <c r="E193" s="47"/>
      <c r="F193" s="47" t="s">
        <v>164</v>
      </c>
      <c r="G193" s="48"/>
      <c r="H193" s="48" t="s">
        <v>164</v>
      </c>
      <c r="I193" s="48"/>
      <c r="J193" s="48" t="s">
        <v>164</v>
      </c>
      <c r="K193" s="48"/>
      <c r="L193" s="48" t="s">
        <v>164</v>
      </c>
      <c r="M193" s="48" t="s">
        <v>131</v>
      </c>
      <c r="N193" s="52">
        <v>5.0751552581787109</v>
      </c>
      <c r="O193" s="52">
        <v>2.3569444442982799</v>
      </c>
      <c r="P193" s="55">
        <v>44161.952581018515</v>
      </c>
      <c r="Q193" s="48" t="s">
        <v>92</v>
      </c>
      <c r="R193" s="48" t="s">
        <v>92</v>
      </c>
      <c r="S193" s="53"/>
      <c r="T193" s="48" t="s">
        <v>18</v>
      </c>
      <c r="U193" s="48" t="s">
        <v>92</v>
      </c>
      <c r="V193" s="48" t="s">
        <v>396</v>
      </c>
    </row>
    <row r="194" spans="1:22" ht="21" customHeight="1">
      <c r="A194" s="48" t="s">
        <v>394</v>
      </c>
      <c r="B194" s="51"/>
      <c r="C194" s="47" t="s">
        <v>395</v>
      </c>
      <c r="D194" s="47" t="s">
        <v>164</v>
      </c>
      <c r="E194" s="47"/>
      <c r="F194" s="47" t="s">
        <v>164</v>
      </c>
      <c r="G194" s="48"/>
      <c r="H194" s="48" t="s">
        <v>164</v>
      </c>
      <c r="I194" s="48"/>
      <c r="J194" s="48" t="s">
        <v>164</v>
      </c>
      <c r="K194" s="48"/>
      <c r="L194" s="48" t="s">
        <v>164</v>
      </c>
      <c r="M194" s="48" t="s">
        <v>131</v>
      </c>
      <c r="N194" s="52">
        <v>1.4009790420532227</v>
      </c>
      <c r="O194" s="52">
        <v>17.1580555555411</v>
      </c>
      <c r="P194" s="55">
        <v>44161.952569444446</v>
      </c>
      <c r="Q194" s="48" t="s">
        <v>92</v>
      </c>
      <c r="R194" s="48" t="s">
        <v>92</v>
      </c>
      <c r="S194" s="53"/>
      <c r="T194" s="48" t="s">
        <v>18</v>
      </c>
      <c r="U194" s="48" t="s">
        <v>92</v>
      </c>
      <c r="V194" s="48" t="s">
        <v>393</v>
      </c>
    </row>
    <row r="195" spans="1:22" ht="21" customHeight="1">
      <c r="A195" s="48" t="s">
        <v>385</v>
      </c>
      <c r="B195" s="51"/>
      <c r="C195" s="47" t="s">
        <v>386</v>
      </c>
      <c r="D195" s="47" t="s">
        <v>164</v>
      </c>
      <c r="E195" s="47"/>
      <c r="F195" s="47" t="s">
        <v>164</v>
      </c>
      <c r="G195" s="48"/>
      <c r="H195" s="48" t="s">
        <v>164</v>
      </c>
      <c r="I195" s="48"/>
      <c r="J195" s="48" t="s">
        <v>164</v>
      </c>
      <c r="K195" s="48"/>
      <c r="L195" s="48" t="s">
        <v>164</v>
      </c>
      <c r="M195" s="48" t="s">
        <v>131</v>
      </c>
      <c r="N195" s="52">
        <v>1.2252445220947266</v>
      </c>
      <c r="O195" s="52">
        <v>25.4644444445148</v>
      </c>
      <c r="P195" s="55">
        <v>44161.952511574076</v>
      </c>
      <c r="Q195" s="48" t="s">
        <v>92</v>
      </c>
      <c r="R195" s="48" t="s">
        <v>92</v>
      </c>
      <c r="S195" s="53"/>
      <c r="T195" s="48" t="s">
        <v>18</v>
      </c>
      <c r="U195" s="48" t="s">
        <v>92</v>
      </c>
      <c r="V195" s="48" t="s">
        <v>384</v>
      </c>
    </row>
    <row r="196" spans="1:22" ht="21" customHeight="1">
      <c r="A196" s="48" t="s">
        <v>370</v>
      </c>
      <c r="B196" s="51"/>
      <c r="C196" s="47" t="s">
        <v>371</v>
      </c>
      <c r="D196" s="47" t="s">
        <v>164</v>
      </c>
      <c r="E196" s="47"/>
      <c r="F196" s="47" t="s">
        <v>164</v>
      </c>
      <c r="G196" s="48"/>
      <c r="H196" s="48" t="s">
        <v>164</v>
      </c>
      <c r="I196" s="48"/>
      <c r="J196" s="48" t="s">
        <v>164</v>
      </c>
      <c r="K196" s="48"/>
      <c r="L196" s="48" t="s">
        <v>164</v>
      </c>
      <c r="M196" s="48" t="s">
        <v>131</v>
      </c>
      <c r="N196" s="52">
        <v>7.3200845718383789</v>
      </c>
      <c r="O196" s="52">
        <v>14.221388888836399</v>
      </c>
      <c r="P196" s="55">
        <v>44161.952430555553</v>
      </c>
      <c r="Q196" s="48" t="s">
        <v>92</v>
      </c>
      <c r="R196" s="48" t="s">
        <v>92</v>
      </c>
      <c r="S196" s="53"/>
      <c r="T196" s="48" t="s">
        <v>18</v>
      </c>
      <c r="U196" s="48" t="s">
        <v>92</v>
      </c>
      <c r="V196" s="48" t="s">
        <v>369</v>
      </c>
    </row>
    <row r="197" spans="1:22" ht="21" customHeight="1">
      <c r="A197" s="48" t="s">
        <v>352</v>
      </c>
      <c r="B197" s="51"/>
      <c r="C197" s="47" t="s">
        <v>353</v>
      </c>
      <c r="D197" s="47" t="s">
        <v>164</v>
      </c>
      <c r="E197" s="47"/>
      <c r="F197" s="47" t="s">
        <v>164</v>
      </c>
      <c r="G197" s="48"/>
      <c r="H197" s="48" t="s">
        <v>164</v>
      </c>
      <c r="I197" s="48"/>
      <c r="J197" s="48" t="s">
        <v>164</v>
      </c>
      <c r="K197" s="48"/>
      <c r="L197" s="48" t="s">
        <v>164</v>
      </c>
      <c r="M197" s="48" t="s">
        <v>131</v>
      </c>
      <c r="N197" s="52">
        <v>8.2729158401489258</v>
      </c>
      <c r="O197" s="52">
        <v>17.7777777776937</v>
      </c>
      <c r="P197" s="55">
        <v>44161.952314814815</v>
      </c>
      <c r="Q197" s="48" t="s">
        <v>92</v>
      </c>
      <c r="R197" s="48" t="s">
        <v>92</v>
      </c>
      <c r="S197" s="53"/>
      <c r="T197" s="48" t="s">
        <v>18</v>
      </c>
      <c r="U197" s="48" t="s">
        <v>92</v>
      </c>
      <c r="V197" s="48" t="s">
        <v>351</v>
      </c>
    </row>
    <row r="198" spans="1:22" ht="21" customHeight="1">
      <c r="A198" s="48" t="s">
        <v>337</v>
      </c>
      <c r="B198" s="51"/>
      <c r="C198" s="47" t="s">
        <v>338</v>
      </c>
      <c r="D198" s="47" t="s">
        <v>164</v>
      </c>
      <c r="E198" s="47"/>
      <c r="F198" s="47" t="s">
        <v>164</v>
      </c>
      <c r="G198" s="48"/>
      <c r="H198" s="48" t="s">
        <v>164</v>
      </c>
      <c r="I198" s="48"/>
      <c r="J198" s="48" t="s">
        <v>164</v>
      </c>
      <c r="K198" s="48"/>
      <c r="L198" s="48" t="s">
        <v>164</v>
      </c>
      <c r="M198" s="48" t="s">
        <v>131</v>
      </c>
      <c r="N198" s="52" t="s">
        <v>201</v>
      </c>
      <c r="O198" s="52">
        <v>0.94999999995343398</v>
      </c>
      <c r="P198" s="55">
        <v>44161.952256944445</v>
      </c>
      <c r="Q198" s="48" t="s">
        <v>92</v>
      </c>
      <c r="R198" s="48" t="s">
        <v>92</v>
      </c>
      <c r="S198" s="53"/>
      <c r="T198" s="48" t="s">
        <v>18</v>
      </c>
      <c r="U198" s="48" t="s">
        <v>92</v>
      </c>
      <c r="V198" s="48" t="s">
        <v>336</v>
      </c>
    </row>
    <row r="199" spans="1:22" ht="21" customHeight="1">
      <c r="A199" s="48" t="s">
        <v>313</v>
      </c>
      <c r="B199" s="51"/>
      <c r="C199" s="47" t="s">
        <v>314</v>
      </c>
      <c r="D199" s="47" t="s">
        <v>164</v>
      </c>
      <c r="E199" s="47"/>
      <c r="F199" s="47" t="s">
        <v>164</v>
      </c>
      <c r="G199" s="48"/>
      <c r="H199" s="48" t="s">
        <v>164</v>
      </c>
      <c r="I199" s="48"/>
      <c r="J199" s="48" t="s">
        <v>164</v>
      </c>
      <c r="K199" s="48"/>
      <c r="L199" s="48" t="s">
        <v>164</v>
      </c>
      <c r="M199" s="48" t="s">
        <v>131</v>
      </c>
      <c r="N199" s="52">
        <v>8.1418552398681641</v>
      </c>
      <c r="O199" s="52">
        <v>14.6833333333489</v>
      </c>
      <c r="P199" s="55">
        <v>44161.952141203707</v>
      </c>
      <c r="Q199" s="48" t="s">
        <v>92</v>
      </c>
      <c r="R199" s="48" t="s">
        <v>92</v>
      </c>
      <c r="S199" s="53"/>
      <c r="T199" s="48" t="s">
        <v>18</v>
      </c>
      <c r="U199" s="48" t="s">
        <v>92</v>
      </c>
      <c r="V199" s="48" t="s">
        <v>312</v>
      </c>
    </row>
    <row r="200" spans="1:22" ht="21" customHeight="1">
      <c r="A200" s="48" t="s">
        <v>292</v>
      </c>
      <c r="B200" s="51"/>
      <c r="C200" s="47" t="s">
        <v>293</v>
      </c>
      <c r="D200" s="47" t="s">
        <v>164</v>
      </c>
      <c r="E200" s="47"/>
      <c r="F200" s="47" t="s">
        <v>164</v>
      </c>
      <c r="G200" s="48"/>
      <c r="H200" s="48" t="s">
        <v>164</v>
      </c>
      <c r="I200" s="48"/>
      <c r="J200" s="48" t="s">
        <v>164</v>
      </c>
      <c r="K200" s="48"/>
      <c r="L200" s="48" t="s">
        <v>164</v>
      </c>
      <c r="M200" s="48" t="s">
        <v>131</v>
      </c>
      <c r="N200" s="52" t="s">
        <v>201</v>
      </c>
      <c r="O200" s="52">
        <v>10.9738888887805</v>
      </c>
      <c r="P200" s="55">
        <v>44161.952060185184</v>
      </c>
      <c r="Q200" s="48" t="s">
        <v>92</v>
      </c>
      <c r="R200" s="48" t="s">
        <v>92</v>
      </c>
      <c r="S200" s="53"/>
      <c r="T200" s="48" t="s">
        <v>18</v>
      </c>
      <c r="U200" s="48" t="s">
        <v>92</v>
      </c>
      <c r="V200" s="48" t="s">
        <v>291</v>
      </c>
    </row>
    <row r="201" spans="1:22" ht="21" customHeight="1">
      <c r="A201" s="48" t="s">
        <v>280</v>
      </c>
      <c r="B201" s="51"/>
      <c r="C201" s="47" t="s">
        <v>281</v>
      </c>
      <c r="D201" s="47" t="s">
        <v>164</v>
      </c>
      <c r="E201" s="47"/>
      <c r="F201" s="47" t="s">
        <v>164</v>
      </c>
      <c r="G201" s="48"/>
      <c r="H201" s="48" t="s">
        <v>164</v>
      </c>
      <c r="I201" s="48"/>
      <c r="J201" s="48" t="s">
        <v>164</v>
      </c>
      <c r="K201" s="48"/>
      <c r="L201" s="48" t="s">
        <v>164</v>
      </c>
      <c r="M201" s="48" t="s">
        <v>131</v>
      </c>
      <c r="N201" s="52">
        <v>3.1368770599365234</v>
      </c>
      <c r="O201" s="52">
        <v>4.8930555555853097</v>
      </c>
      <c r="P201" s="55">
        <v>44161.952025462961</v>
      </c>
      <c r="Q201" s="48" t="s">
        <v>92</v>
      </c>
      <c r="R201" s="48" t="s">
        <v>92</v>
      </c>
      <c r="S201" s="53"/>
      <c r="T201" s="48" t="s">
        <v>18</v>
      </c>
      <c r="U201" s="48" t="s">
        <v>92</v>
      </c>
      <c r="V201" s="48" t="s">
        <v>279</v>
      </c>
    </row>
    <row r="202" spans="1:22" ht="21" customHeight="1">
      <c r="A202" s="48" t="s">
        <v>268</v>
      </c>
      <c r="B202" s="51"/>
      <c r="C202" s="47" t="s">
        <v>269</v>
      </c>
      <c r="D202" s="47" t="s">
        <v>164</v>
      </c>
      <c r="E202" s="47"/>
      <c r="F202" s="47" t="s">
        <v>164</v>
      </c>
      <c r="G202" s="48"/>
      <c r="H202" s="48" t="s">
        <v>164</v>
      </c>
      <c r="I202" s="48"/>
      <c r="J202" s="48" t="s">
        <v>164</v>
      </c>
      <c r="K202" s="48"/>
      <c r="L202" s="48" t="s">
        <v>164</v>
      </c>
      <c r="M202" s="48" t="s">
        <v>131</v>
      </c>
      <c r="N202" s="52">
        <v>6.8520727157592773</v>
      </c>
      <c r="O202" s="52">
        <v>8.4788888889597693</v>
      </c>
      <c r="P202" s="55">
        <v>44161.951979166668</v>
      </c>
      <c r="Q202" s="48" t="s">
        <v>92</v>
      </c>
      <c r="R202" s="48" t="s">
        <v>92</v>
      </c>
      <c r="S202" s="53"/>
      <c r="T202" s="48" t="s">
        <v>18</v>
      </c>
      <c r="U202" s="48" t="s">
        <v>92</v>
      </c>
      <c r="V202" s="48" t="s">
        <v>267</v>
      </c>
    </row>
    <row r="203" spans="1:22" ht="21" customHeight="1">
      <c r="A203" s="48" t="s">
        <v>265</v>
      </c>
      <c r="B203" s="51"/>
      <c r="C203" s="47" t="s">
        <v>266</v>
      </c>
      <c r="D203" s="47" t="s">
        <v>164</v>
      </c>
      <c r="E203" s="47"/>
      <c r="F203" s="47" t="s">
        <v>164</v>
      </c>
      <c r="G203" s="48"/>
      <c r="H203" s="48" t="s">
        <v>164</v>
      </c>
      <c r="I203" s="48"/>
      <c r="J203" s="48" t="s">
        <v>164</v>
      </c>
      <c r="K203" s="48"/>
      <c r="L203" s="48" t="s">
        <v>164</v>
      </c>
      <c r="M203" s="48" t="s">
        <v>131</v>
      </c>
      <c r="N203" s="52" t="s">
        <v>201</v>
      </c>
      <c r="O203" s="52">
        <v>4.9377777777845004</v>
      </c>
      <c r="P203" s="55">
        <v>44161.951979166668</v>
      </c>
      <c r="Q203" s="48" t="s">
        <v>92</v>
      </c>
      <c r="R203" s="48" t="s">
        <v>92</v>
      </c>
      <c r="S203" s="53"/>
      <c r="T203" s="48" t="s">
        <v>18</v>
      </c>
      <c r="U203" s="48" t="s">
        <v>92</v>
      </c>
      <c r="V203" s="48" t="s">
        <v>264</v>
      </c>
    </row>
    <row r="204" spans="1:22" ht="21" customHeight="1">
      <c r="A204" s="48" t="s">
        <v>253</v>
      </c>
      <c r="B204" s="51"/>
      <c r="C204" s="47" t="s">
        <v>254</v>
      </c>
      <c r="D204" s="47" t="s">
        <v>164</v>
      </c>
      <c r="E204" s="47"/>
      <c r="F204" s="47" t="s">
        <v>164</v>
      </c>
      <c r="G204" s="48"/>
      <c r="H204" s="48" t="s">
        <v>164</v>
      </c>
      <c r="I204" s="48"/>
      <c r="J204" s="48" t="s">
        <v>164</v>
      </c>
      <c r="K204" s="48"/>
      <c r="L204" s="48" t="s">
        <v>164</v>
      </c>
      <c r="M204" s="48" t="s">
        <v>131</v>
      </c>
      <c r="N204" s="52" t="s">
        <v>201</v>
      </c>
      <c r="O204" s="52">
        <v>12.417777777824099</v>
      </c>
      <c r="P204" s="55">
        <v>44161.951944444445</v>
      </c>
      <c r="Q204" s="48" t="s">
        <v>92</v>
      </c>
      <c r="R204" s="48" t="s">
        <v>92</v>
      </c>
      <c r="S204" s="53"/>
      <c r="T204" s="48" t="s">
        <v>18</v>
      </c>
      <c r="U204" s="48" t="s">
        <v>92</v>
      </c>
      <c r="V204" s="48" t="s">
        <v>252</v>
      </c>
    </row>
    <row r="205" spans="1:22" ht="21" customHeight="1">
      <c r="A205" s="48" t="s">
        <v>238</v>
      </c>
      <c r="B205" s="51"/>
      <c r="C205" s="47" t="s">
        <v>239</v>
      </c>
      <c r="D205" s="47" t="s">
        <v>164</v>
      </c>
      <c r="E205" s="47"/>
      <c r="F205" s="47" t="s">
        <v>164</v>
      </c>
      <c r="G205" s="48"/>
      <c r="H205" s="48" t="s">
        <v>164</v>
      </c>
      <c r="I205" s="48"/>
      <c r="J205" s="48" t="s">
        <v>164</v>
      </c>
      <c r="K205" s="48"/>
      <c r="L205" s="48" t="s">
        <v>164</v>
      </c>
      <c r="M205" s="48" t="s">
        <v>131</v>
      </c>
      <c r="N205" s="52" t="s">
        <v>201</v>
      </c>
      <c r="O205" s="52">
        <v>4.1997222222271402</v>
      </c>
      <c r="P205" s="55">
        <v>44161.951909722222</v>
      </c>
      <c r="Q205" s="48" t="s">
        <v>92</v>
      </c>
      <c r="R205" s="48" t="s">
        <v>92</v>
      </c>
      <c r="S205" s="53"/>
      <c r="T205" s="48" t="s">
        <v>18</v>
      </c>
      <c r="U205" s="48" t="s">
        <v>92</v>
      </c>
      <c r="V205" s="48" t="s">
        <v>237</v>
      </c>
    </row>
    <row r="206" spans="1:22" ht="21" customHeight="1">
      <c r="A206" s="48" t="s">
        <v>229</v>
      </c>
      <c r="B206" s="51"/>
      <c r="C206" s="47" t="s">
        <v>230</v>
      </c>
      <c r="D206" s="47" t="s">
        <v>164</v>
      </c>
      <c r="E206" s="47"/>
      <c r="F206" s="47" t="s">
        <v>164</v>
      </c>
      <c r="G206" s="48"/>
      <c r="H206" s="48" t="s">
        <v>164</v>
      </c>
      <c r="I206" s="48"/>
      <c r="J206" s="48" t="s">
        <v>164</v>
      </c>
      <c r="K206" s="48"/>
      <c r="L206" s="48" t="s">
        <v>164</v>
      </c>
      <c r="M206" s="48" t="s">
        <v>131</v>
      </c>
      <c r="N206" s="52">
        <v>7.966303825378418</v>
      </c>
      <c r="O206" s="52">
        <v>21.363611111068199</v>
      </c>
      <c r="P206" s="55">
        <v>44161.951874999999</v>
      </c>
      <c r="Q206" s="48" t="s">
        <v>92</v>
      </c>
      <c r="R206" s="48" t="s">
        <v>92</v>
      </c>
      <c r="S206" s="53"/>
      <c r="T206" s="48" t="s">
        <v>18</v>
      </c>
      <c r="U206" s="48" t="s">
        <v>92</v>
      </c>
      <c r="V206" s="48" t="s">
        <v>228</v>
      </c>
    </row>
    <row r="207" spans="1:22" ht="21" customHeight="1">
      <c r="A207" s="48" t="s">
        <v>220</v>
      </c>
      <c r="B207" s="51"/>
      <c r="C207" s="47" t="s">
        <v>221</v>
      </c>
      <c r="D207" s="47" t="s">
        <v>164</v>
      </c>
      <c r="E207" s="47"/>
      <c r="F207" s="47" t="s">
        <v>164</v>
      </c>
      <c r="G207" s="48"/>
      <c r="H207" s="48" t="s">
        <v>164</v>
      </c>
      <c r="I207" s="48"/>
      <c r="J207" s="48" t="s">
        <v>164</v>
      </c>
      <c r="K207" s="48"/>
      <c r="L207" s="48" t="s">
        <v>164</v>
      </c>
      <c r="M207" s="48" t="s">
        <v>131</v>
      </c>
      <c r="N207" s="52" t="s">
        <v>201</v>
      </c>
      <c r="O207" s="52">
        <v>3.1594444445218</v>
      </c>
      <c r="P207" s="55">
        <v>44161.951851851853</v>
      </c>
      <c r="Q207" s="48" t="s">
        <v>92</v>
      </c>
      <c r="R207" s="48" t="s">
        <v>92</v>
      </c>
      <c r="S207" s="53"/>
      <c r="T207" s="48" t="s">
        <v>18</v>
      </c>
      <c r="U207" s="48" t="s">
        <v>92</v>
      </c>
      <c r="V207" s="48" t="s">
        <v>219</v>
      </c>
    </row>
    <row r="208" spans="1:22" ht="21" customHeight="1">
      <c r="A208" s="48" t="s">
        <v>192</v>
      </c>
      <c r="B208" s="51"/>
      <c r="C208" s="47" t="s">
        <v>195</v>
      </c>
      <c r="D208" s="47" t="s">
        <v>164</v>
      </c>
      <c r="E208" s="47"/>
      <c r="F208" s="47" t="s">
        <v>164</v>
      </c>
      <c r="G208" s="48"/>
      <c r="H208" s="48" t="s">
        <v>164</v>
      </c>
      <c r="I208" s="48"/>
      <c r="J208" s="48" t="s">
        <v>164</v>
      </c>
      <c r="K208" s="48"/>
      <c r="L208" s="48" t="s">
        <v>164</v>
      </c>
      <c r="M208" s="48" t="s">
        <v>131</v>
      </c>
      <c r="N208" s="52">
        <v>2</v>
      </c>
      <c r="O208" s="52">
        <v>1.00000000011642</v>
      </c>
      <c r="P208" s="55">
        <v>44075.693333333336</v>
      </c>
      <c r="Q208" s="48" t="s">
        <v>92</v>
      </c>
      <c r="R208" s="48" t="s">
        <v>92</v>
      </c>
      <c r="S208" s="53"/>
      <c r="T208" s="48" t="s">
        <v>18</v>
      </c>
      <c r="U208" s="48" t="s">
        <v>92</v>
      </c>
      <c r="V208" s="48" t="s">
        <v>194</v>
      </c>
    </row>
    <row r="209" spans="1:22" ht="21" customHeight="1">
      <c r="A209" s="48" t="s">
        <v>187</v>
      </c>
      <c r="B209" s="51"/>
      <c r="C209" s="47" t="s">
        <v>188</v>
      </c>
      <c r="D209" s="47" t="s">
        <v>164</v>
      </c>
      <c r="E209" s="47"/>
      <c r="F209" s="47" t="s">
        <v>164</v>
      </c>
      <c r="G209" s="48"/>
      <c r="H209" s="48" t="s">
        <v>164</v>
      </c>
      <c r="I209" s="48"/>
      <c r="J209" s="48" t="s">
        <v>164</v>
      </c>
      <c r="K209" s="48"/>
      <c r="L209" s="48" t="s">
        <v>164</v>
      </c>
      <c r="M209" s="48" t="s">
        <v>131</v>
      </c>
      <c r="N209" s="52">
        <v>4</v>
      </c>
      <c r="O209" s="52">
        <v>7.7499999999417897</v>
      </c>
      <c r="P209" s="55">
        <v>44075.827719907407</v>
      </c>
      <c r="Q209" s="48" t="s">
        <v>92</v>
      </c>
      <c r="R209" s="48" t="s">
        <v>92</v>
      </c>
      <c r="S209" s="53"/>
      <c r="T209" s="48" t="s">
        <v>18</v>
      </c>
      <c r="U209" s="48" t="s">
        <v>92</v>
      </c>
      <c r="V209" s="48" t="s">
        <v>186</v>
      </c>
    </row>
    <row r="210" spans="1:22" ht="21" hidden="1" customHeight="1">
      <c r="A210" s="48" t="s">
        <v>172</v>
      </c>
      <c r="B210" s="51"/>
      <c r="C210" s="47" t="s">
        <v>173</v>
      </c>
      <c r="D210" s="47" t="s">
        <v>164</v>
      </c>
      <c r="E210" s="47"/>
      <c r="F210" s="47" t="s">
        <v>164</v>
      </c>
      <c r="G210" s="48"/>
      <c r="H210" s="48" t="s">
        <v>164</v>
      </c>
      <c r="I210" s="48" t="s">
        <v>179</v>
      </c>
      <c r="J210" s="48" t="s">
        <v>164</v>
      </c>
      <c r="K210" s="48"/>
      <c r="L210" s="48" t="s">
        <v>164</v>
      </c>
      <c r="M210" s="48" t="s">
        <v>131</v>
      </c>
      <c r="N210" s="52">
        <v>1</v>
      </c>
      <c r="O210" s="52">
        <v>0.50000000005820799</v>
      </c>
      <c r="P210" s="55" t="s">
        <v>92</v>
      </c>
      <c r="Q210" s="48" t="s">
        <v>92</v>
      </c>
      <c r="R210" s="48" t="s">
        <v>92</v>
      </c>
      <c r="S210" s="53">
        <v>44560</v>
      </c>
      <c r="T210" s="48" t="s">
        <v>18</v>
      </c>
      <c r="U210" s="48" t="s">
        <v>92</v>
      </c>
      <c r="V210" s="48" t="s">
        <v>171</v>
      </c>
    </row>
    <row r="211" spans="1:22">
      <c r="A211" s="48"/>
      <c r="B211" s="51"/>
      <c r="C211" s="47"/>
      <c r="D211" s="47"/>
      <c r="E211" s="47"/>
      <c r="F211" s="47"/>
      <c r="G211" s="48"/>
      <c r="H211" s="48"/>
      <c r="I211" s="48"/>
      <c r="J211" s="48"/>
      <c r="K211" s="48"/>
      <c r="L211" s="48"/>
      <c r="M211" s="48"/>
      <c r="N211" s="52"/>
      <c r="O211" s="52"/>
      <c r="P211" s="55"/>
      <c r="Q211" s="48"/>
      <c r="R211" s="48"/>
      <c r="S211" s="53"/>
      <c r="T211" s="48"/>
      <c r="U211" s="48"/>
      <c r="V211" s="48"/>
    </row>
    <row r="212" spans="1:22">
      <c r="A212" s="48"/>
      <c r="B212" s="51"/>
      <c r="C212" s="47"/>
      <c r="D212" s="47"/>
      <c r="E212" s="47"/>
      <c r="F212" s="47"/>
      <c r="G212" s="48"/>
      <c r="H212" s="48"/>
      <c r="I212" s="48"/>
      <c r="J212" s="48"/>
      <c r="K212" s="48"/>
      <c r="L212" s="48"/>
      <c r="M212" s="48"/>
      <c r="N212" s="52"/>
      <c r="O212" s="52"/>
      <c r="P212" s="55"/>
      <c r="Q212" s="48"/>
      <c r="R212" s="48"/>
      <c r="S212" s="53"/>
      <c r="T212" s="48"/>
      <c r="U212" s="48"/>
      <c r="V212" s="48"/>
    </row>
    <row r="213" spans="1:22">
      <c r="A213" s="38"/>
      <c r="B213" s="34"/>
      <c r="C213" s="22"/>
      <c r="D213" s="22"/>
      <c r="E213" s="22"/>
      <c r="F213" s="22"/>
      <c r="G213" s="23"/>
      <c r="H213" s="23"/>
      <c r="I213" s="38"/>
      <c r="J213" s="38"/>
      <c r="K213" s="38"/>
      <c r="L213" s="38"/>
      <c r="M213" s="38"/>
      <c r="N213" s="39"/>
      <c r="O213" s="38"/>
      <c r="P213" s="38"/>
      <c r="Q213" s="38"/>
      <c r="R213" s="38"/>
      <c r="S213" s="35"/>
      <c r="T213" s="38"/>
      <c r="U213" s="38"/>
      <c r="V213" s="38"/>
    </row>
    <row r="214" spans="1:22">
      <c r="A214" s="23"/>
      <c r="B214" s="34"/>
      <c r="C214" s="22"/>
      <c r="D214" s="22"/>
      <c r="E214" s="22" t="s">
        <v>111</v>
      </c>
      <c r="F214" s="22"/>
      <c r="I214" s="23"/>
      <c r="J214" s="23"/>
      <c r="K214" s="23"/>
      <c r="L214" s="23"/>
      <c r="M214" s="23"/>
      <c r="N214" s="23"/>
      <c r="O214" s="24"/>
      <c r="P214" s="23"/>
      <c r="Q214" s="24"/>
      <c r="R214" s="24"/>
      <c r="S214" s="35"/>
      <c r="V214" s="23"/>
    </row>
    <row r="219" spans="1:22">
      <c r="C219" s="11"/>
      <c r="D219" s="11"/>
    </row>
  </sheetData>
  <dataConsolidate/>
  <phoneticPr fontId="14" type="noConversion"/>
  <conditionalFormatting sqref="B4:B210">
    <cfRule type="containsText" dxfId="39" priority="10" operator="containsText" text="&lt;now&gt;">
      <formula>NOT(ISERROR(SEARCH("&lt;now&gt;",B4)))</formula>
    </cfRule>
  </conditionalFormatting>
  <conditionalFormatting sqref="M4:M210">
    <cfRule type="containsText" dxfId="38" priority="1" operator="containsText" text="Continuous">
      <formula>NOT(ISERROR(SEARCH("Continuous",M4)))</formula>
    </cfRule>
    <cfRule type="containsText" dxfId="37" priority="2" operator="containsText" text="Meta">
      <formula>NOT(ISERROR(SEARCH("Meta",M4)))</formula>
    </cfRule>
    <cfRule type="containsText" dxfId="36" priority="3" operator="containsText" text="Testing/Review">
      <formula>NOT(ISERROR(SEARCH("Testing/Review",M4)))</formula>
    </cfRule>
    <cfRule type="containsText" dxfId="35" priority="5" operator="containsText" text="Note">
      <formula>NOT(ISERROR(SEARCH("Note",M4)))</formula>
    </cfRule>
    <cfRule type="containsText" dxfId="34" priority="11" operator="containsText" text="Done">
      <formula>NOT(ISERROR(SEARCH("Done",M4)))</formula>
    </cfRule>
    <cfRule type="containsText" dxfId="33" priority="12" operator="containsText" text="In progress">
      <formula>NOT(ISERROR(SEARCH("In progress",M4)))</formula>
    </cfRule>
    <cfRule type="containsText" dxfId="32" priority="13" operator="containsText" text="To do">
      <formula>NOT(ISERROR(SEARCH("To do",M4)))</formula>
    </cfRule>
  </conditionalFormatting>
  <conditionalFormatting sqref="S4:S210">
    <cfRule type="cellIs" dxfId="31" priority="4" operator="lessThan">
      <formula>TODAY()</formula>
    </cfRule>
  </conditionalFormatting>
  <conditionalFormatting sqref="U4:U210">
    <cfRule type="colorScale" priority="4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sqref="Q2" xr:uid="{97887939-3BEB-4208-B392-81AF3EE745BF}">
      <formula1>"cumulative, single"</formula1>
    </dataValidation>
    <dataValidation type="list" allowBlank="1" showInputMessage="1" showErrorMessage="1" sqref="R2" xr:uid="{AE25932B-CEE6-4C5E-83FE-7FE3F6CE570D}">
      <formula1>"cumulative,single"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T4:T210" xr:uid="{766D8D3E-6ED5-47EC-98D7-2188FA5185B3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210" xr:uid="{C5075EB3-9966-46F4-B9BE-76D9E1AC0D3F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:I210" xr:uid="{58960536-E690-4AF9-A570-EC81C1006474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M4:M210" xr:uid="{A9C5B704-6D59-4D8D-99A7-D49233A685C5}">
      <formula1>Kanban_listVdata</formula1>
    </dataValidation>
  </dataValidations>
  <hyperlinks>
    <hyperlink ref="C156" location="Planning!A1" display="Planning!A1" xr:uid="{00C8E7A7-2E80-4183-933F-3975E4FA5151}"/>
    <hyperlink ref="C154" location="Planning!A1" display="Planning!A1" xr:uid="{1321BC84-BB76-4D91-A9DF-B0A1FDFB085B}"/>
    <hyperlink ref="C155" location="Planning!A1" display="Planning!A1" xr:uid="{95584734-70F3-4D5B-9D2F-FDA405B7C3E8}"/>
    <hyperlink ref="C210" location="Planning!A1" display="Planning!A1" xr:uid="{7794ADAB-AD48-45BA-90B3-144D9C081A06}"/>
    <hyperlink ref="C209" location="Planning!A1" display="Planning!A1" xr:uid="{7BCE2589-0E17-4BC2-A553-95C660550F2E}"/>
    <hyperlink ref="C208" location="Planning!A1" display="Planning!A1" xr:uid="{389C5B0D-D293-4F06-AD91-03A096E7C894}"/>
    <hyperlink ref="C157" location="Planning!A1" display="Planning!A1" xr:uid="{EAA399FC-38CB-4C14-98DC-800C8CFC838D}"/>
    <hyperlink ref="C153" location="Planning!A1" display="Planning!A1" xr:uid="{0B8472C0-9D82-4DDD-BE4D-79DD0F30EC86}"/>
    <hyperlink ref="C152" location="Planning!A1" display="Planning!A1" xr:uid="{88866307-9FA5-485C-8C68-756CF2F08F01}"/>
    <hyperlink ref="C151" location="Planning!A1" display="Planning!A1" xr:uid="{3D296B31-0C67-4CDA-B3AD-B1733F0352DD}"/>
    <hyperlink ref="C150" location="Planning!A1" display="Planning!A1" xr:uid="{3A19373C-EACE-4A89-9EA3-A418DC9D8004}"/>
    <hyperlink ref="C149" location="Planning!A1" display="Planning!A1" xr:uid="{70047CB8-5307-47C5-BC4A-2ADF7BFB274A}"/>
    <hyperlink ref="C148" location="Planning!A1" display="Planning!A1" xr:uid="{B1114815-9A1D-46C5-B291-D875D77E16D1}"/>
    <hyperlink ref="C207" location="Planning!A1" display="Planning!A1" xr:uid="{F95D7728-E43B-4AF8-9F66-D4ECA31A8504}"/>
    <hyperlink ref="C147" location="Planning!A1" display="Planning!A1" xr:uid="{837139F4-9045-4E34-A7F1-9232CA1CE447}"/>
    <hyperlink ref="C146" location="Planning!A1" display="Planning!A1" xr:uid="{30975657-3D41-47BD-89B0-7551641C3AEB}"/>
    <hyperlink ref="C206" location="Planning!A1" display="Planning!A1" xr:uid="{D13D05EE-2F15-4000-84D6-23F24047B954}"/>
    <hyperlink ref="C145" location="Planning!A1" display="Planning!A1" xr:uid="{F896EA09-5C06-497A-B70E-D53C557ACC43}"/>
    <hyperlink ref="C144" location="Planning!A1" display="Planning!A1" xr:uid="{09DA388B-B182-4DC4-B1E5-281E7BC29E98}"/>
    <hyperlink ref="C205" location="Planning!A1" display="Planning!A1" xr:uid="{31F91452-4341-46F5-982A-5FDFDF11A0CA}"/>
    <hyperlink ref="C143" location="Planning!A1" display="Planning!A1" xr:uid="{71C82906-FEC0-4313-90E8-C45478B3D3E3}"/>
    <hyperlink ref="C142" location="Planning!A1" display="Planning!A1" xr:uid="{39332580-E378-4965-B87A-2A272E961AE9}"/>
    <hyperlink ref="C141" location="Planning!A1" display="Planning!A1" xr:uid="{2A01427F-490B-4C98-B0D3-1BD3B3A62C30}"/>
    <hyperlink ref="C140" location="Planning!A1" display="Planning!A1" xr:uid="{2D88317D-0E3A-49B0-A161-0EDAA9AA578F}"/>
    <hyperlink ref="C204" location="Planning!A1" display="Planning!A1" xr:uid="{D5730E57-9E99-4BCC-BD90-74C87118105C}"/>
    <hyperlink ref="C139" location="Planning!A1" display="Planning!A1" xr:uid="{5AF0648E-3842-428A-A69D-9D7FC5FE976C}"/>
    <hyperlink ref="C138" location="Planning!A1" display="Planning!A1" xr:uid="{DE4D7092-B241-4D18-9F31-F55018FF06D7}"/>
    <hyperlink ref="C137" location="Planning!A1" display="Planning!A1" xr:uid="{A03D80E1-70D3-487D-9408-6F58CBBAC92B}"/>
    <hyperlink ref="C203" location="Planning!A1" display="Planning!A1" xr:uid="{5DD492E5-798A-40DD-98DC-B4571094B89C}"/>
    <hyperlink ref="C202" location="Planning!A1" display="Planning!A1" xr:uid="{53EA8600-0B39-4EC8-B4A7-37D097960F22}"/>
    <hyperlink ref="C136" location="Planning!A1" display="Planning!A1" xr:uid="{12B0E3F4-7018-4D4D-8F81-66FAC02C0703}"/>
    <hyperlink ref="C135" location="Planning!A1" display="Planning!A1" xr:uid="{55E3D6F8-39E1-4F39-BA26-05ADCAC452E7}"/>
    <hyperlink ref="C134" location="Planning!A1" display="Planning!A1" xr:uid="{C18AACEC-63C0-41C7-9B28-CE9819A266F4}"/>
    <hyperlink ref="C201" location="Planning!A1" display="Planning!A1" xr:uid="{5659C538-DE09-4DE9-8759-8032B5F556D7}"/>
    <hyperlink ref="C133" location="Planning!A1" display="Planning!A1" xr:uid="{407C0CDA-0912-4CD1-A4FB-267891B5DD69}"/>
    <hyperlink ref="C132" location="Planning!A1" display="Planning!A1" xr:uid="{3CAA9D45-6519-423E-BBF7-0EE721DFA56C}"/>
    <hyperlink ref="C131" location="Planning!A1" display="Planning!A1" xr:uid="{B4E1A253-988E-442E-A26D-44B24544A0E3}"/>
    <hyperlink ref="C200" location="Planning!A1" display="Planning!A1" xr:uid="{F29B8FB4-04A5-4A1F-B8FE-4F65E40C9A39}"/>
    <hyperlink ref="C130" location="Planning!A1" display="Planning!A1" xr:uid="{8A44BF3F-B34D-42D7-9A0A-AEA470CB43EF}"/>
    <hyperlink ref="C129" location="Planning!A1" display="Planning!A1" xr:uid="{C2F87A1E-5460-4545-A99C-195433DAC45E}"/>
    <hyperlink ref="C128" location="Planning!A1" display="Planning!A1" xr:uid="{18D1EC2A-DE6E-4DE1-9CE1-83EBC5490768}"/>
    <hyperlink ref="C127" location="Planning!A1" display="Planning!A1" xr:uid="{7C12E2F8-50C7-4FEF-A564-E6C8BE082F24}"/>
    <hyperlink ref="C126" location="Planning!A1" display="Planning!A1" xr:uid="{231E14E4-5A6C-4E9C-B480-497599136B8D}"/>
    <hyperlink ref="C125" location="Planning!A1" display="Planning!A1" xr:uid="{22895244-89C4-4B7E-AA16-4DDB7F192FF1}"/>
    <hyperlink ref="C199" location="Planning!A1" display="Planning!A1" xr:uid="{8D8D2121-E80E-414A-B066-D575BB1E6169}"/>
    <hyperlink ref="C124" location="Planning!A1" display="Planning!A1" xr:uid="{CD2158F3-BC37-4E32-938E-D6542C71D0FB}"/>
    <hyperlink ref="C123" location="Planning!A1" display="Planning!A1" xr:uid="{E121B915-D91A-4CF6-9504-B03B279E5781}"/>
    <hyperlink ref="C122" location="Planning!A1" display="Planning!A1" xr:uid="{8E20F0E2-7121-4073-8241-A99B1549E0AA}"/>
    <hyperlink ref="C121" location="Planning!A1" display="Planning!A1" xr:uid="{8E603750-2CEB-4BBF-9BFE-E7F9BF39C15E}"/>
    <hyperlink ref="C120" location="Planning!A1" display="Planning!A1" xr:uid="{8DA048C2-9604-4C58-98FC-A0F01B3FDEE2}"/>
    <hyperlink ref="C119" location="Planning!A1" display="Planning!A1" xr:uid="{0C8EC411-E5CB-4BA2-9F04-9CDA9F506F5F}"/>
    <hyperlink ref="C118" location="Planning!A1" display="Planning!A1" xr:uid="{D4E76AB4-7063-44DD-B605-15131401F1AB}"/>
    <hyperlink ref="C198" location="Planning!A1" display="Planning!A1" xr:uid="{9AE6B8DE-AC87-4370-BC8C-D1B6B0160143}"/>
    <hyperlink ref="C117" location="Planning!A1" display="Planning!A1" xr:uid="{AD7DD6D2-FB85-45E7-83D0-F8168EF9B65F}"/>
    <hyperlink ref="C116" location="Planning!A1" display="Planning!A1" xr:uid="{1D666B97-A50B-4FD8-91BD-19C5ED0371AA}"/>
    <hyperlink ref="C115" location="Planning!A1" display="Planning!A1" xr:uid="{E869681E-E770-4C41-8532-E547D1E9EE82}"/>
    <hyperlink ref="C114" location="Planning!A1" display="Planning!A1" xr:uid="{ACC9B4FA-9BA5-4C16-A46E-3C2FD56056CA}"/>
    <hyperlink ref="C197" location="Planning!A1" display="Planning!A1" xr:uid="{00FF6BB9-2998-469E-AE6D-AAA6BE026354}"/>
    <hyperlink ref="C113" location="Planning!A1" display="Planning!A1" xr:uid="{CFEEFA51-934D-4C12-9ACC-405979DBE492}"/>
    <hyperlink ref="C112" location="Planning!A1" display="Planning!A1" xr:uid="{4926FDBA-9689-4C33-8F49-560FFAD016E8}"/>
    <hyperlink ref="C111" location="Planning!A1" display="Planning!A1" xr:uid="{5919D9AE-6F0B-44B8-B3CE-D28F133DC5A7}"/>
    <hyperlink ref="C110" location="Planning!A1" display="Planning!A1" xr:uid="{90235805-B166-40E8-8B56-7A8E05547DAD}"/>
    <hyperlink ref="C109" location="Planning!A1" display="Planning!A1" xr:uid="{DC9938F1-74EE-4CCD-95FA-A510630C1DB6}"/>
    <hyperlink ref="C196" location="Planning!A1" display="Planning!A1" xr:uid="{CC8455C7-DAA7-4BBB-B3F3-FC26FE2B8201}"/>
    <hyperlink ref="C108" location="Planning!A1" display="Planning!A1" xr:uid="{C92CA407-AB1C-4C49-BF35-124C271FBECE}"/>
    <hyperlink ref="C107" location="Planning!A1" display="Planning!A1" xr:uid="{E4E60AFE-A72A-4C86-BD9B-3389B1941B55}"/>
    <hyperlink ref="C106" location="Planning!A1" display="Planning!A1" xr:uid="{02AB06DF-F680-413B-A737-FD29538F619C}"/>
    <hyperlink ref="C105" location="Planning!A1" display="Planning!A1" xr:uid="{076A555E-8801-4C50-92D2-BF2A471A5B92}"/>
    <hyperlink ref="C195" location="Planning!A1" display="Planning!A1" xr:uid="{D8E22B23-A125-4C80-B175-B63066DAA4E6}"/>
    <hyperlink ref="C104" location="Planning!A1" display="Planning!A1" xr:uid="{E3086B17-09B8-447F-9EB9-BDF75DFD23E6}"/>
    <hyperlink ref="C103" location="Planning!A1" display="Planning!A1" xr:uid="{9AC1DCC4-9932-46C4-ADEF-3DECC8D7CBE8}"/>
    <hyperlink ref="C194" location="Planning!A1" display="Planning!A1" xr:uid="{8CECAF67-2784-4414-817B-3E36390A969D}"/>
    <hyperlink ref="C193" location="Planning!A1" display="Planning!A1" xr:uid="{0C749162-5E05-4591-84AF-FA4C2AD2A0B8}"/>
    <hyperlink ref="C102" location="Planning!A1" display="Planning!A1" xr:uid="{2D2639F8-7E3D-4F4A-A759-B45A67FABD01}"/>
    <hyperlink ref="C192" location="Planning!A1" display="Planning!A1" xr:uid="{EA753024-C653-4E8C-8467-B78585F5FDC9}"/>
    <hyperlink ref="C101" location="Planning!A1" display="Planning!A1" xr:uid="{B981624E-254E-491D-9BCA-E0A3DC693612}"/>
    <hyperlink ref="C100" location="Planning!A1" display="Planning!A1" xr:uid="{642400FC-FAB1-432E-97D2-D0E062399323}"/>
    <hyperlink ref="C99" location="Planning!A1" display="Planning!A1" xr:uid="{3B5D355A-7F26-4455-A042-28533AAA514E}"/>
    <hyperlink ref="C98" location="Planning!A1" display="Planning!A1" xr:uid="{9A9FA44D-851B-4BA7-974E-28EFAFF8C3EC}"/>
    <hyperlink ref="C191" location="Planning!A1" display="Planning!A1" xr:uid="{F996861A-66FC-426B-BBBE-0B0EE7C156EE}"/>
    <hyperlink ref="C97" location="Planning!A1" display="Planning!A1" xr:uid="{4F09224A-3D30-4791-9BBA-E25604F23E4B}"/>
    <hyperlink ref="C96" location="Planning!A1" display="Planning!A1" xr:uid="{B30EA936-339E-40BE-B828-8964D3467126}"/>
    <hyperlink ref="C95" location="Planning!A1" display="Planning!A1" xr:uid="{32B2705C-8215-4452-971C-5C8A6FAB8791}"/>
    <hyperlink ref="C190" location="Planning!A1" display="Planning!A1" xr:uid="{7128FF28-B4C6-46EE-B10B-11EF16DB79EF}"/>
    <hyperlink ref="C94" location="Planning!A1" display="Planning!A1" xr:uid="{D01B75D0-19CA-4D50-9FD7-9709D292065A}"/>
    <hyperlink ref="C93" location="Planning!A1" display="Planning!A1" xr:uid="{3950CB10-4DBB-4309-A149-DEFFB474A95C}"/>
    <hyperlink ref="C92" location="Planning!A1" display="Planning!A1" xr:uid="{056E9082-6705-4659-85D2-0A4CDCE66791}"/>
    <hyperlink ref="C91" location="Planning!A1" display="Planning!A1" xr:uid="{7C290BEF-A02F-4618-929E-E483DA9749FB}"/>
    <hyperlink ref="C90" location="Planning!A1" display="Planning!A1" xr:uid="{170E5EC7-8DE4-4AFA-BF60-6D625A7D8AE9}"/>
    <hyperlink ref="C189" location="Planning!A1" display="Planning!A1" xr:uid="{CC700C85-083F-4738-A716-3ED28EF8C64B}"/>
    <hyperlink ref="C89" location="Planning!A1" display="Planning!A1" xr:uid="{325FA94F-C346-4D9D-9589-713113C545BC}"/>
    <hyperlink ref="C88" location="Planning!A1" display="Planning!A1" xr:uid="{B6133208-6B46-4B41-9327-353B63E36E3C}"/>
    <hyperlink ref="C87" location="Planning!A1" display="Planning!A1" xr:uid="{E66237B2-6EED-44DF-8A90-3A05170524EC}"/>
    <hyperlink ref="C86" location="Planning!A1" display="Planning!A1" xr:uid="{D773A18C-B398-4377-8F06-885E14AEC73A}"/>
    <hyperlink ref="C85" location="Planning!A1" display="Planning!A1" xr:uid="{11EE262F-1C0B-403C-AA85-C5E7FF933856}"/>
    <hyperlink ref="C84" location="Planning!A1" display="Planning!A1" xr:uid="{9AD58E29-630A-4318-88D7-D92FDAD51C4D}"/>
    <hyperlink ref="C83" location="Planning!A1" display="Planning!A1" xr:uid="{E036BB64-A8F2-46B6-B0A4-743D81C548A1}"/>
    <hyperlink ref="C82" location="Planning!A1" display="Planning!A1" xr:uid="{3564B29D-9949-45F2-9702-DC90FDCC1D44}"/>
    <hyperlink ref="C81" location="Planning!A1" display="Planning!A1" xr:uid="{BA116778-4304-4BB0-B2C3-A0A871504E6D}"/>
    <hyperlink ref="C188" location="Planning!A1" display="Planning!A1" xr:uid="{CD9B9AC9-26B0-41E7-B2C1-BBB1F3EF03D4}"/>
    <hyperlink ref="C187" location="Planning!A1" display="Planning!A1" xr:uid="{91C6F94B-8A50-4753-9840-A3020EA9581F}"/>
    <hyperlink ref="C80" location="Planning!A1" display="Planning!A1" xr:uid="{8ECA76A7-D600-482F-8DF9-D6C41AAC7794}"/>
    <hyperlink ref="C79" location="Planning!A1" display="Planning!A1" xr:uid="{9EAF2633-E031-4A03-B8F6-C9198BC14E48}"/>
    <hyperlink ref="C78" location="Planning!A1" display="Planning!A1" xr:uid="{0EFC1D00-20F5-4A24-B3D7-E9AD5D1C14D5}"/>
    <hyperlink ref="C186" location="Planning!A1" display="Planning!A1" xr:uid="{D48B03BD-A4C3-44BF-96E2-B6BE36D54C8A}"/>
    <hyperlink ref="C77" location="Planning!A1" display="Planning!A1" xr:uid="{F340711A-7B69-42BA-B67E-CBA3F3884DF4}"/>
    <hyperlink ref="C76" location="Planning!A1" display="Planning!A1" xr:uid="{E0A965A0-75B7-4F2A-AEEB-DCA9ED5A43B0}"/>
    <hyperlink ref="C75" location="Planning!A1" display="Planning!A1" xr:uid="{68B48FA9-F5E9-453F-895D-759B9305BDC2}"/>
    <hyperlink ref="C185" location="Planning!A1" display="Planning!A1" xr:uid="{BDBEF7A5-525F-4F37-9885-EC438684B526}"/>
    <hyperlink ref="C74" location="Planning!A1" display="Planning!A1" xr:uid="{9688296D-41C3-4C32-8903-4ED0DAF07BC3}"/>
    <hyperlink ref="C73" location="Planning!A1" display="Planning!A1" xr:uid="{57790ACB-8F6F-458B-86A8-86238582779E}"/>
    <hyperlink ref="C72" location="Planning!A1" display="Planning!A1" xr:uid="{535CD084-95EA-4762-B4EA-480127385D77}"/>
    <hyperlink ref="C71" location="Planning!A1" display="Planning!A1" xr:uid="{C618E8E5-25A3-4220-8B7E-BD82E9217BED}"/>
    <hyperlink ref="C70" location="Planning!A1" display="Planning!A1" xr:uid="{524E78FF-2740-429C-874C-2C3C86DF7A85}"/>
    <hyperlink ref="C184" location="Planning!A1" display="Planning!A1" xr:uid="{1B090F55-269C-40A1-B6BF-1DB02DA2C091}"/>
    <hyperlink ref="C69" location="Planning!A1" display="Planning!A1" xr:uid="{6D0FA28A-2F75-4FE8-A23F-A88DDE84BD54}"/>
    <hyperlink ref="C183" location="Planning!A1" display="Planning!A1" xr:uid="{618D09D8-4610-4492-95F7-C01A3E143DC6}"/>
    <hyperlink ref="C182" location="Planning!A1" display="Planning!A1" xr:uid="{FDD12E27-5C23-41AD-B5D5-9FBB94E3C3D0}"/>
    <hyperlink ref="C68" location="Planning!A1" display="Planning!A1" xr:uid="{616AB3C4-4E98-4F84-BEBD-2C6C8496AAE3}"/>
    <hyperlink ref="C67" location="Planning!A1" display="Planning!A1" xr:uid="{5EFD884B-2E81-44FD-80B6-D1A77C24434C}"/>
    <hyperlink ref="C66" location="Planning!A1" display="Planning!A1" xr:uid="{120D701F-2058-4D43-92B0-C7B2E2E50FAB}"/>
    <hyperlink ref="C65" location="Planning!A1" display="Planning!A1" xr:uid="{CBE4D671-9DCE-46A2-BBDA-07B1D7E90294}"/>
    <hyperlink ref="C64" location="Planning!A1" display="Planning!A1" xr:uid="{ECDCC0D6-987E-4AD9-9638-EAE42DE4CF86}"/>
    <hyperlink ref="C63" location="Planning!A1" display="Planning!A1" xr:uid="{B64DE658-4A77-46F3-B277-F0426CA1B35D}"/>
    <hyperlink ref="C62" location="Planning!A1" display="Planning!A1" xr:uid="{1AA32561-7537-4A9F-8D05-718EC0F761D0}"/>
    <hyperlink ref="C61" location="Planning!A1" display="Planning!A1" xr:uid="{6F6DFC3E-57BF-4FF7-A31C-A05003A22A48}"/>
    <hyperlink ref="C60" location="Planning!A1" display="Planning!A1" xr:uid="{2D79B28B-E1E1-4231-88AB-45AFD2E900BA}"/>
    <hyperlink ref="C59" location="Planning!A1" display="Planning!A1" xr:uid="{5C62CBCA-AF56-4BAC-8011-D4991F2D5591}"/>
    <hyperlink ref="C181" location="Planning!A1" display="Planning!A1" xr:uid="{0D86F66C-5B74-4276-8C71-6795364451B5}"/>
    <hyperlink ref="C180" location="Planning!A1" display="Planning!A1" xr:uid="{02E0566C-253C-4603-A3EC-F177D616365A}"/>
    <hyperlink ref="C58" location="Planning!A1" display="Planning!A1" xr:uid="{7E54428A-DBB3-461F-868D-A30CE7AD7A99}"/>
    <hyperlink ref="C57" location="Planning!A1" display="Planning!A1" xr:uid="{9EDEFED1-B5A8-4885-A38E-FB32E72A9D00}"/>
    <hyperlink ref="C56" location="Planning!A1" display="Planning!A1" xr:uid="{73569711-01EB-4062-98D3-AB0238A3B94C}"/>
    <hyperlink ref="C55" location="Planning!A1" display="Planning!A1" xr:uid="{9D2CE0CB-97AC-4750-870A-F049EE14E715}"/>
    <hyperlink ref="C54" location="Planning!A1" display="Planning!A1" xr:uid="{DB38742D-A9BA-4A1E-ACE8-36026E970BF9}"/>
    <hyperlink ref="C179" location="Planning!A1" display="Planning!A1" xr:uid="{B5376498-3276-477D-8B62-023BA4BBA148}"/>
    <hyperlink ref="C178" location="Planning!A1" display="Planning!A1" xr:uid="{8366D5F8-84F9-451D-A331-5CD9A10003E1}"/>
    <hyperlink ref="C53" location="Planning!A1" display="Planning!A1" xr:uid="{95D9D435-32FA-4DF7-B300-82A584FA8897}"/>
    <hyperlink ref="C52" location="Planning!A1" display="Planning!A1" xr:uid="{4C2C3F33-D5A9-4968-BBC2-F6CA92E2C63C}"/>
    <hyperlink ref="C51" location="Planning!A1" display="Planning!A1" xr:uid="{2907A0B6-0B9D-4316-A1F3-29B06F6A1AC3}"/>
    <hyperlink ref="C50" location="Planning!A1" display="Planning!A1" xr:uid="{7DE19D5B-8917-40B1-8352-74AE05B3F4F6}"/>
    <hyperlink ref="C49" location="Planning!A1" display="Planning!A1" xr:uid="{9556759B-BBE8-4E4F-A9C9-67FC57AA982F}"/>
    <hyperlink ref="C48" location="Planning!A1" display="Planning!A1" xr:uid="{4C98AD25-9844-4F6B-ADF7-535C4D625E6A}"/>
    <hyperlink ref="C177" location="Planning!A1" display="Planning!A1" xr:uid="{C7FA83CC-3E81-46C9-9A44-6931FA94C5F2}"/>
    <hyperlink ref="C47" location="Planning!A1" display="Planning!A1" xr:uid="{1405E5B6-B366-47B0-A7E0-B49D93326A52}"/>
    <hyperlink ref="C46" location="Planning!A1" display="Planning!A1" xr:uid="{4DF6E7CE-9F8F-4047-9435-5F64AF6E1DAE}"/>
    <hyperlink ref="C45" location="Planning!A1" display="Planning!A1" xr:uid="{32811209-54C5-4911-A141-A44B2B3E9659}"/>
    <hyperlink ref="C44" location="Planning!A1" display="Planning!A1" xr:uid="{2D5272CC-2992-4BD5-BCCC-15C43344318E}"/>
    <hyperlink ref="C43" location="Planning!A1" display="Planning!A1" xr:uid="{DFD5EB43-34F2-4AC8-A650-570DB4B18A32}"/>
    <hyperlink ref="C176" location="Planning!A1" display="Planning!A1" xr:uid="{A1D860E2-D5EF-4014-A147-32B074029AEF}"/>
    <hyperlink ref="C42" location="Planning!A1" display="Planning!A1" xr:uid="{DE76FD0C-C165-44E1-96DC-542855B01627}"/>
    <hyperlink ref="C41" location="Planning!A1" display="Planning!A1" xr:uid="{F1152A0E-9FD5-4508-9FAF-C743C6BA296E}"/>
    <hyperlink ref="C40" location="Planning!A1" display="Planning!A1" xr:uid="{7036F4C5-0D32-4DB3-8FC5-52F7CD5CCF39}"/>
    <hyperlink ref="C39" location="Planning!A1" display="Planning!A1" xr:uid="{A3F7CA6A-937A-4D63-8965-541CFBB818C3}"/>
    <hyperlink ref="C38" location="Planning!A1" display="Planning!A1" xr:uid="{4059F73B-B2B1-41BE-983F-ADECFFA25AA4}"/>
    <hyperlink ref="C37" location="Planning!A1" display="Planning!A1" xr:uid="{1E804869-D535-4A3A-8B49-D8F8E93D88DE}"/>
    <hyperlink ref="C175" location="Planning!A1" display="Planning!A1" xr:uid="{43E99E32-8D76-4B11-ABB7-73B5411A2676}"/>
    <hyperlink ref="C174" location="Planning!A1" display="Planning!A1" xr:uid="{9E5AB624-46B3-419E-AED7-A83FF99C83F2}"/>
    <hyperlink ref="C36" location="Planning!A1" display="Planning!A1" xr:uid="{CB156C90-EF9A-457F-B499-BAD47E5066A3}"/>
    <hyperlink ref="C35" location="Planning!A1" display="Planning!A1" xr:uid="{E8237B00-F25D-46C7-A2E9-8E6E35D6940D}"/>
    <hyperlink ref="C34" location="Planning!A1" display="Planning!A1" xr:uid="{3AA10486-8BCC-4AE6-A607-06232C54B481}"/>
    <hyperlink ref="C33" location="Planning!A1" display="Planning!A1" xr:uid="{41104B90-82D2-4135-BF1A-F73C9C7E43D5}"/>
    <hyperlink ref="C32" location="Planning!A1" display="Planning!A1" xr:uid="{FD9506E3-1743-4A3C-873A-F9777A0D8D0E}"/>
    <hyperlink ref="C31" location="Planning!A1" display="Planning!A1" xr:uid="{BAE2ADE3-C1E1-41D9-A694-0F0DF9EB4320}"/>
    <hyperlink ref="C173" location="Planning!A1" display="Planning!A1" xr:uid="{147EE926-CEBA-4C69-BF3E-9472AB193965}"/>
    <hyperlink ref="C30" location="Planning!A1" display="Planning!A1" xr:uid="{CC47D7A2-1FB6-4F90-B728-CFF6A10619A9}"/>
    <hyperlink ref="C29" location="Planning!A1" display="Planning!A1" xr:uid="{BB65D4AB-25B2-4344-9019-65E6E773F842}"/>
    <hyperlink ref="C28" location="Planning!A1" display="Planning!A1" xr:uid="{FF67D491-8897-41B2-9953-1889591880EC}"/>
    <hyperlink ref="C27" location="Planning!A1" display="Planning!A1" xr:uid="{8331EA21-8DFF-474F-9CE5-96E7F41820F6}"/>
    <hyperlink ref="C26" location="Planning!A1" display="Planning!A1" xr:uid="{AC179AEF-46AE-4277-B23C-5548CE0072E9}"/>
    <hyperlink ref="C25" location="Planning!A1" display="Planning!A1" xr:uid="{D766DF6A-EC13-42DC-8AF5-E6C739B96BDE}"/>
    <hyperlink ref="C24" location="Planning!A1" display="Planning!A1" xr:uid="{72836179-006B-43E5-8904-F238D2B92C32}"/>
    <hyperlink ref="C23" location="Planning!A1" display="Planning!A1" xr:uid="{FBD68B48-AD53-4BB0-BBCA-502CF92DDA8D}"/>
    <hyperlink ref="C172" location="Planning!A1" display="Planning!A1" xr:uid="{60AB858B-3F96-4BE5-B1FD-A6720C4FCAA8}"/>
    <hyperlink ref="C22" location="Planning!A1" display="Planning!A1" xr:uid="{A10832EC-0DBA-47C4-8D21-9151C73545C5}"/>
    <hyperlink ref="C21" location="Planning!A1" display="Planning!A1" xr:uid="{ECABDE59-DB80-4E7E-AF3B-8822693BB7C0}"/>
    <hyperlink ref="C20" location="Planning!A1" display="Planning!A1" xr:uid="{5F5E287B-12DC-47DE-BF71-C1AB552B52CC}"/>
    <hyperlink ref="C19" location="Planning!A1" display="Planning!A1" xr:uid="{58B1DA8D-40B9-409F-AD55-08702D2F8F04}"/>
    <hyperlink ref="C161" location="Planning!A1" display="Planning!A1" xr:uid="{F262224C-1257-4A54-8699-CCCAE956CBE0}"/>
    <hyperlink ref="C160" location="Planning!A1" display="Planning!A1" xr:uid="{D4232209-F937-4A14-9562-AABB689653A4}"/>
    <hyperlink ref="C18" location="Planning!A1" display="Planning!A1" xr:uid="{D16C00D4-692D-4A7E-9A16-1184DE13B45A}"/>
    <hyperlink ref="C17" location="Planning!A1" display="Planning!A1" xr:uid="{5D2C3F40-5278-480B-96C7-82BABC0DCED7}"/>
    <hyperlink ref="C162" location="Planning!A1" display="Planning!A1" xr:uid="{F324EABC-80E8-4DCE-AD41-404AD38AE005}"/>
    <hyperlink ref="C16" location="Planning!A1" display="Planning!A1" xr:uid="{704311B0-463A-4DFB-B9C8-7BB1922E8F2B}"/>
    <hyperlink ref="C171" location="Planning!A1" display="Planning!A1" xr:uid="{DBC55381-CAD2-4488-AAE8-1ED4B5DA117B}"/>
    <hyperlink ref="C15" location="Planning!A1" display="Planning!A1" xr:uid="{AD1B5E8D-D57C-44AA-BBB3-ACC44625C0DB}"/>
    <hyperlink ref="C159" location="Planning!A1" display="Planning!A1" xr:uid="{23A84824-D50B-42A1-967B-F33E45ED1C7D}"/>
    <hyperlink ref="C170" location="Planning!A1" display="Planning!A1" xr:uid="{0479429F-77C9-46D5-8456-6CB07C99035A}"/>
    <hyperlink ref="C164" location="Planning!A1" display="Planning!A1" xr:uid="{1B7D627B-CD75-4474-92AD-76E588C6167F}"/>
    <hyperlink ref="C163" location="Planning!A1" display="Planning!A1" xr:uid="{2EC02941-4BB6-415D-9485-E16BB4293992}"/>
    <hyperlink ref="C158" location="Planning!A1" display="Planning!A1" xr:uid="{3884EE18-82CA-44F0-B4C7-BA24000A3825}"/>
    <hyperlink ref="C14" location="Planning!A1" display="Planning!A1" xr:uid="{4E965B10-E8D9-43E8-A0C5-A397833B0782}"/>
    <hyperlink ref="C169" location="Planning!A1" display="Planning!A1" xr:uid="{FA67FC5D-C0F0-4C35-AA00-E0822CEAA532}"/>
    <hyperlink ref="C13" location="Planning!A1" display="Planning!A1" xr:uid="{A6CBEB25-CBE8-4935-A058-54AD65AF251C}"/>
    <hyperlink ref="C12" location="Planning!A1" display="Planning!A1" xr:uid="{F1E1ECF4-3BD7-4E8E-8308-4A2F25DB386E}"/>
    <hyperlink ref="C11" location="Planning!A1" display="Planning!A1" xr:uid="{27E6EC60-2220-4D69-82A9-18A95CEAF7AC}"/>
    <hyperlink ref="C168" location="Planning!A1" display="Planning!A1" xr:uid="{1521F41F-F65C-4BC1-89D0-85ED28977FAC}"/>
    <hyperlink ref="C10" location="Planning!A1" display="Planning!A1" xr:uid="{5807AA3A-203D-48A7-B09A-A1CDEB7D555F}"/>
    <hyperlink ref="C9" location="Planning!A1" display="Planning!A1" xr:uid="{0ADE031D-2AFD-46EC-BC7A-C60D1D32A4CA}"/>
    <hyperlink ref="C166" location="Planning!A1" display="Planning!A1" xr:uid="{7AE3CF0F-A031-481E-85A0-2AC134CD367C}"/>
    <hyperlink ref="C165" location="Planning!A1" display="Planning!A1" xr:uid="{74C0AC91-01F5-42A0-8816-3AD759779127}"/>
    <hyperlink ref="C167" location="Planning!A1" display="Planning!A1" xr:uid="{91B2E55A-9147-4D09-9A8D-3E40DB5389B2}"/>
    <hyperlink ref="C8" location="Planning!A1" display="Planning!A1" xr:uid="{BF346231-ECA8-487B-BE10-CFB4813989BE}"/>
    <hyperlink ref="C7" location="Planning!A1" display="Planning!A1" xr:uid="{B6B61A9D-C6CB-445C-8F22-668E5377F9FE}"/>
    <hyperlink ref="C6" location="Planning!A1" display="Planning!A1" xr:uid="{0CCB7A34-612C-4D75-B107-E9C3FA5D46C0}"/>
    <hyperlink ref="C5" location="Planning!A1" display="Planning!A1" xr:uid="{82447322-2017-424E-9E4F-88E3827CF5A5}"/>
    <hyperlink ref="C4" location="Planning!A1" display="Planning!A1" xr:uid="{15225DDE-7753-408D-8185-83505A428436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83820</xdr:rowOff>
                  </from>
                  <to>
                    <xdr:col>2</xdr:col>
                    <xdr:colOff>236220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1226820</xdr:colOff>
                    <xdr:row>0</xdr:row>
                    <xdr:rowOff>83820</xdr:rowOff>
                  </from>
                  <to>
                    <xdr:col>6</xdr:col>
                    <xdr:colOff>807720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2171700</xdr:colOff>
                    <xdr:row>0</xdr:row>
                    <xdr:rowOff>350520</xdr:rowOff>
                  </from>
                  <to>
                    <xdr:col>4</xdr:col>
                    <xdr:colOff>1181100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2171700</xdr:colOff>
                    <xdr:row>0</xdr:row>
                    <xdr:rowOff>83820</xdr:rowOff>
                  </from>
                  <to>
                    <xdr:col>4</xdr:col>
                    <xdr:colOff>1181100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320040</xdr:colOff>
                    <xdr:row>0</xdr:row>
                    <xdr:rowOff>563880</xdr:rowOff>
                  </from>
                  <to>
                    <xdr:col>2</xdr:col>
                    <xdr:colOff>1828800</xdr:colOff>
                    <xdr:row>0</xdr:row>
                    <xdr:rowOff>769620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335280</xdr:colOff>
                    <xdr:row>0</xdr:row>
                    <xdr:rowOff>83820</xdr:rowOff>
                  </from>
                  <to>
                    <xdr:col>2</xdr:col>
                    <xdr:colOff>1836420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845820</xdr:colOff>
                    <xdr:row>0</xdr:row>
                    <xdr:rowOff>76200</xdr:rowOff>
                  </from>
                  <to>
                    <xdr:col>10</xdr:col>
                    <xdr:colOff>0</xdr:colOff>
                    <xdr:row>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845820</xdr:colOff>
                    <xdr:row>0</xdr:row>
                    <xdr:rowOff>335280</xdr:rowOff>
                  </from>
                  <to>
                    <xdr:col>10</xdr:col>
                    <xdr:colOff>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10</xdr:col>
                    <xdr:colOff>60960</xdr:colOff>
                    <xdr:row>0</xdr:row>
                    <xdr:rowOff>68580</xdr:rowOff>
                  </from>
                  <to>
                    <xdr:col>13</xdr:col>
                    <xdr:colOff>30480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10</xdr:col>
                    <xdr:colOff>60960</xdr:colOff>
                    <xdr:row>0</xdr:row>
                    <xdr:rowOff>335280</xdr:rowOff>
                  </from>
                  <to>
                    <xdr:col>13</xdr:col>
                    <xdr:colOff>30480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1226820</xdr:colOff>
                    <xdr:row>0</xdr:row>
                    <xdr:rowOff>350520</xdr:rowOff>
                  </from>
                  <to>
                    <xdr:col>6</xdr:col>
                    <xdr:colOff>807720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845820</xdr:colOff>
                    <xdr:row>0</xdr:row>
                    <xdr:rowOff>594360</xdr:rowOff>
                  </from>
                  <to>
                    <xdr:col>10</xdr:col>
                    <xdr:colOff>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10</xdr:col>
                    <xdr:colOff>68580</xdr:colOff>
                    <xdr:row>0</xdr:row>
                    <xdr:rowOff>594360</xdr:rowOff>
                  </from>
                  <to>
                    <xdr:col>13</xdr:col>
                    <xdr:colOff>38100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17" name="Button 968">
              <controlPr defaultSize="0" print="0" autoFill="0" autoPict="0" macro="[0]!Planning.UI_ShareMetaTaskTime">
                <anchor>
                  <from>
                    <xdr:col>4</xdr:col>
                    <xdr:colOff>1219200</xdr:colOff>
                    <xdr:row>0</xdr:row>
                    <xdr:rowOff>609600</xdr:rowOff>
                  </from>
                  <to>
                    <xdr:col>6</xdr:col>
                    <xdr:colOff>800100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75FCC-4074-4A3F-9941-6013BE22E31C}">
  <sheetPr codeName="TaskSheetTemplate1"/>
  <dimension ref="A1:M23"/>
  <sheetViews>
    <sheetView workbookViewId="0"/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135</v>
      </c>
      <c r="J1" t="s">
        <v>136</v>
      </c>
    </row>
    <row r="2" spans="1:13">
      <c r="A2" t="s">
        <v>3</v>
      </c>
      <c r="B2" t="s">
        <v>740</v>
      </c>
    </row>
    <row r="3" spans="1:13">
      <c r="A3" t="s">
        <v>77</v>
      </c>
      <c r="B3" s="2">
        <v>2.0565423965454102</v>
      </c>
      <c r="C3" t="s">
        <v>4</v>
      </c>
    </row>
    <row r="4" spans="1:13">
      <c r="A4" t="s">
        <v>0</v>
      </c>
      <c r="B4" s="2">
        <f>SUM(TimeEntries1002101246[Time delta in h])</f>
        <v>3.3183333333581686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131</v>
      </c>
    </row>
    <row r="8" spans="1:13">
      <c r="A8" t="s">
        <v>15</v>
      </c>
      <c r="B8" s="5">
        <v>44161.956087962964</v>
      </c>
    </row>
    <row r="9" spans="1:13">
      <c r="A9" t="s">
        <v>2</v>
      </c>
    </row>
    <row r="10" spans="1:13">
      <c r="A10" t="s">
        <v>46</v>
      </c>
      <c r="B10" t="s">
        <v>738</v>
      </c>
    </row>
    <row r="11" spans="1:13">
      <c r="A11" t="s">
        <v>5</v>
      </c>
      <c r="B11" s="2">
        <f>B3/SUM(TimeEntries1002101246[Time delta in h])</f>
        <v>0.61975160116424466</v>
      </c>
      <c r="C11" t="s">
        <v>6</v>
      </c>
    </row>
    <row r="12" spans="1:13">
      <c r="A12" t="s">
        <v>93</v>
      </c>
      <c r="B12" t="s">
        <v>182</v>
      </c>
    </row>
    <row r="13" spans="1:13">
      <c r="A13" t="s">
        <v>94</v>
      </c>
      <c r="B13" t="s">
        <v>1276</v>
      </c>
    </row>
    <row r="14" spans="1:13">
      <c r="A14" t="s">
        <v>129</v>
      </c>
      <c r="B14" s="1">
        <v>44161.956087962964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134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1:13">
      <c r="A17" t="s">
        <v>126</v>
      </c>
      <c r="B17" s="1">
        <v>44161.817824074074</v>
      </c>
      <c r="C17" s="1">
        <v>44161.956087962964</v>
      </c>
      <c r="D17" s="2">
        <f>MAX((TimeEntries1002101246[[#This Row],[End time]]-TimeEntries1002101246[[#This Row],[Start time]])*24,0)</f>
        <v>3.3183333333581686</v>
      </c>
      <c r="F17" s="54" t="s">
        <v>184</v>
      </c>
      <c r="G17" s="22" t="s">
        <v>185</v>
      </c>
      <c r="I17" t="s">
        <v>126</v>
      </c>
      <c r="J17" s="15">
        <v>0.05</v>
      </c>
      <c r="K17" s="2">
        <v>1.0282711982727051</v>
      </c>
      <c r="L17" s="2">
        <f>SUM(TimeEntries1002101246[Time delta in h])</f>
        <v>3.3183333333581686</v>
      </c>
      <c r="M17" s="16">
        <f>Tabelle73671003101347[[#This Row],[EBS self time]]/Tabelle73671003101347[[#This Row],[Total time]]</f>
        <v>0.30987580058212233</v>
      </c>
    </row>
    <row r="18" spans="1:13">
      <c r="B18" s="1"/>
      <c r="C18" s="1"/>
      <c r="D18" s="2"/>
      <c r="I18" t="s">
        <v>127</v>
      </c>
      <c r="J18" s="15">
        <v>0.2</v>
      </c>
      <c r="K18" s="2">
        <v>1.0282711982727051</v>
      </c>
      <c r="L18" s="2">
        <f>SUM(TimeEntries1002101246[Time delta in h])</f>
        <v>3.3183333333581686</v>
      </c>
      <c r="M18" s="16">
        <f>Tabelle73671003101347[[#This Row],[EBS self time]]/Tabelle73671003101347[[#This Row],[Total time]]</f>
        <v>0.30987580058212233</v>
      </c>
    </row>
    <row r="19" spans="1:13">
      <c r="I19" t="s">
        <v>169</v>
      </c>
      <c r="J19" s="15">
        <v>0.35</v>
      </c>
      <c r="K19" s="2">
        <v>1.0282711982727051</v>
      </c>
      <c r="L19" s="2">
        <f>SUM(TimeEntries1002101246[Time delta in h])</f>
        <v>3.3183333333581686</v>
      </c>
      <c r="M19" s="16">
        <f>Tabelle73671003101347[[#This Row],[EBS self time]]/Tabelle73671003101347[[#This Row],[Total time]]</f>
        <v>0.30987580058212233</v>
      </c>
    </row>
    <row r="20" spans="1:13">
      <c r="I20" t="s">
        <v>172</v>
      </c>
      <c r="J20" s="15">
        <v>0.5</v>
      </c>
      <c r="K20" s="2">
        <v>1.0282711982727051</v>
      </c>
      <c r="L20" s="2">
        <f>SUM(TimeEntries1002101246[Time delta in h])</f>
        <v>3.3183333333581686</v>
      </c>
      <c r="M20" s="16">
        <f>Tabelle73671003101347[[#This Row],[EBS self time]]/Tabelle73671003101347[[#This Row],[Total time]]</f>
        <v>0.30987580058212233</v>
      </c>
    </row>
    <row r="21" spans="1:13">
      <c r="I21" t="s">
        <v>187</v>
      </c>
      <c r="J21" s="15">
        <v>0.65</v>
      </c>
      <c r="K21" s="2">
        <v>2.2851135330606813</v>
      </c>
      <c r="L21" s="2">
        <f>SUM(TimeEntries1002101246[Time delta in h])</f>
        <v>3.3183333333581686</v>
      </c>
      <c r="M21" s="16">
        <f>Tabelle73671003101347[[#This Row],[EBS self time]]/Tabelle73671003101347[[#This Row],[Total time]]</f>
        <v>0.68863290799906951</v>
      </c>
    </row>
    <row r="22" spans="1:13">
      <c r="I22" t="s">
        <v>192</v>
      </c>
      <c r="J22" s="15">
        <v>0.8</v>
      </c>
      <c r="K22" s="2">
        <v>3.985547280126764</v>
      </c>
      <c r="L22" s="2">
        <f>SUM(TimeEntries1002101246[Time delta in h])</f>
        <v>3.3183333333581686</v>
      </c>
      <c r="M22" s="16">
        <f>Tabelle73671003101347[[#This Row],[EBS self time]]/Tabelle73671003101347[[#This Row],[Total time]]</f>
        <v>1.20106899450435</v>
      </c>
    </row>
    <row r="23" spans="1:13">
      <c r="I23" t="s">
        <v>193</v>
      </c>
      <c r="J23" s="15">
        <v>0.95</v>
      </c>
      <c r="K23" s="2">
        <v>3.985547280126764</v>
      </c>
      <c r="L23" s="2">
        <f>SUM(TimeEntries1002101246[Time delta in h])</f>
        <v>3.3183333333581686</v>
      </c>
      <c r="M23" s="16">
        <f>Tabelle73671003101347[[#This Row],[EBS self time]]/Tabelle73671003101347[[#This Row],[Total time]]</f>
        <v>1.20106899450435</v>
      </c>
    </row>
  </sheetData>
  <dataConsolidate/>
  <hyperlinks>
    <hyperlink ref="A1" location="Planning!A1" display="Go back to 'Planning' sheet" xr:uid="{072D893B-1CA4-47C1-B739-97A0EFCCF43B}"/>
    <hyperlink ref="F17" location="$F$17" display="$F$17" xr:uid="{7447BDC1-05AC-49B5-B710-76A56956ECF6}"/>
    <hyperlink ref="G17" location="$G$17" display="$G$17" xr:uid="{63E31D90-E9A4-43DA-BCA5-F4761701E4B9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F353-4C82-492E-8AD5-56C6B28CBCD7}">
  <sheetPr codeName="TaskSheetTemplate2"/>
  <dimension ref="A1:M23"/>
  <sheetViews>
    <sheetView workbookViewId="0"/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135</v>
      </c>
      <c r="J1" t="s">
        <v>136</v>
      </c>
    </row>
    <row r="2" spans="1:13">
      <c r="A2" t="s">
        <v>3</v>
      </c>
      <c r="B2" t="s">
        <v>719</v>
      </c>
    </row>
    <row r="3" spans="1:13">
      <c r="A3" t="s">
        <v>77</v>
      </c>
      <c r="B3" s="2">
        <v>13.884548187255859</v>
      </c>
      <c r="C3" t="s">
        <v>4</v>
      </c>
    </row>
    <row r="4" spans="1:13">
      <c r="A4" t="s">
        <v>0</v>
      </c>
      <c r="B4" s="2">
        <f>SUM(TimeEntries96097097498450[Time delta in h])</f>
        <v>7.0750000000116415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131</v>
      </c>
    </row>
    <row r="8" spans="1:13">
      <c r="A8" t="s">
        <v>15</v>
      </c>
      <c r="B8" s="5">
        <v>44161.955960648149</v>
      </c>
    </row>
    <row r="9" spans="1:13">
      <c r="A9" t="s">
        <v>2</v>
      </c>
    </row>
    <row r="10" spans="1:13">
      <c r="A10" t="s">
        <v>46</v>
      </c>
      <c r="B10" t="s">
        <v>717</v>
      </c>
    </row>
    <row r="11" spans="1:13">
      <c r="A11" t="s">
        <v>5</v>
      </c>
      <c r="B11" s="2">
        <f>B3/SUM(TimeEntries96097097498450[Time delta in h])</f>
        <v>1.9624803091495424</v>
      </c>
      <c r="C11" t="s">
        <v>6</v>
      </c>
    </row>
    <row r="12" spans="1:13">
      <c r="A12" t="s">
        <v>93</v>
      </c>
      <c r="B12" t="s">
        <v>182</v>
      </c>
    </row>
    <row r="13" spans="1:13">
      <c r="A13" t="s">
        <v>94</v>
      </c>
      <c r="B13" t="s">
        <v>1276</v>
      </c>
    </row>
    <row r="14" spans="1:13">
      <c r="A14" t="s">
        <v>129</v>
      </c>
      <c r="B14" s="1">
        <v>44161.955879629626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134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1:13">
      <c r="A17" t="s">
        <v>126</v>
      </c>
      <c r="B17" s="1">
        <v>44161.661168981482</v>
      </c>
      <c r="C17" s="1">
        <v>44161.955960648149</v>
      </c>
      <c r="D17" s="2">
        <f>MAX((TimeEntries96097097498450[[#This Row],[End time]]-TimeEntries96097097498450[[#This Row],[Start time]])*24,0)</f>
        <v>7.0750000000116415</v>
      </c>
      <c r="F17" s="54" t="s">
        <v>184</v>
      </c>
      <c r="G17" s="22" t="s">
        <v>185</v>
      </c>
      <c r="I17" t="s">
        <v>126</v>
      </c>
      <c r="J17" s="15">
        <v>0.05</v>
      </c>
      <c r="K17" s="2">
        <v>6.9422740936279297</v>
      </c>
      <c r="L17" s="2">
        <f>SUM(TimeEntries96097097498450[Time delta in h])</f>
        <v>7.0750000000116415</v>
      </c>
      <c r="M17" s="16">
        <f>Tabelle736796197197598551[[#This Row],[EBS self time]]/Tabelle736796197197598551[[#This Row],[Total time]]</f>
        <v>0.98124015457477121</v>
      </c>
    </row>
    <row r="18" spans="1:13">
      <c r="B18" s="1"/>
      <c r="C18" s="1"/>
      <c r="D18" s="2"/>
      <c r="I18" t="s">
        <v>127</v>
      </c>
      <c r="J18" s="15">
        <v>0.2</v>
      </c>
      <c r="K18" s="2">
        <v>6.9422740936279297</v>
      </c>
      <c r="L18" s="2">
        <f>SUM(TimeEntries96097097498450[Time delta in h])</f>
        <v>7.0750000000116415</v>
      </c>
      <c r="M18" s="16">
        <f>Tabelle736796197197598551[[#This Row],[EBS self time]]/Tabelle736796197197598551[[#This Row],[Total time]]</f>
        <v>0.98124015457477121</v>
      </c>
    </row>
    <row r="19" spans="1:13">
      <c r="I19" t="s">
        <v>169</v>
      </c>
      <c r="J19" s="15">
        <v>0.35</v>
      </c>
      <c r="K19" s="2">
        <v>6.9422740936279297</v>
      </c>
      <c r="L19" s="2">
        <f>SUM(TimeEntries96097097498450[Time delta in h])</f>
        <v>7.0750000000116415</v>
      </c>
      <c r="M19" s="16">
        <f>Tabelle736796197197598551[[#This Row],[EBS self time]]/Tabelle736796197197598551[[#This Row],[Total time]]</f>
        <v>0.98124015457477121</v>
      </c>
    </row>
    <row r="20" spans="1:13">
      <c r="I20" t="s">
        <v>172</v>
      </c>
      <c r="J20" s="15">
        <v>0.5</v>
      </c>
      <c r="K20" s="2">
        <v>6.9422740936279297</v>
      </c>
      <c r="L20" s="2">
        <f>SUM(TimeEntries96097097498450[Time delta in h])</f>
        <v>7.0750000000116415</v>
      </c>
      <c r="M20" s="16">
        <f>Tabelle736796197197598551[[#This Row],[EBS self time]]/Tabelle736796197197598551[[#This Row],[Total time]]</f>
        <v>0.98124015457477121</v>
      </c>
    </row>
    <row r="21" spans="1:13">
      <c r="I21" t="s">
        <v>187</v>
      </c>
      <c r="J21" s="15">
        <v>0.65</v>
      </c>
      <c r="K21" s="2">
        <v>6.9422740936279297</v>
      </c>
      <c r="L21" s="2">
        <f>SUM(TimeEntries96097097498450[Time delta in h])</f>
        <v>7.0750000000116415</v>
      </c>
      <c r="M21" s="16">
        <f>Tabelle736796197197598551[[#This Row],[EBS self time]]/Tabelle736796197197598551[[#This Row],[Total time]]</f>
        <v>0.98124015457477121</v>
      </c>
    </row>
    <row r="22" spans="1:13">
      <c r="I22" t="s">
        <v>192</v>
      </c>
      <c r="J22" s="15">
        <v>0.8</v>
      </c>
      <c r="K22" s="2">
        <v>8.9388505965240466</v>
      </c>
      <c r="L22" s="2">
        <f>SUM(TimeEntries96097097498450[Time delta in h])</f>
        <v>7.0750000000116415</v>
      </c>
      <c r="M22" s="16">
        <f>Tabelle736796197197598551[[#This Row],[EBS self time]]/Tabelle736796197197598551[[#This Row],[Total time]]</f>
        <v>1.2634417804253482</v>
      </c>
    </row>
    <row r="23" spans="1:13">
      <c r="I23" t="s">
        <v>193</v>
      </c>
      <c r="J23" s="15">
        <v>0.95</v>
      </c>
      <c r="K23" s="2">
        <v>26.908039122588875</v>
      </c>
      <c r="L23" s="2">
        <f>SUM(TimeEntries96097097498450[Time delta in h])</f>
        <v>7.0750000000116415</v>
      </c>
      <c r="M23" s="16">
        <f>Tabelle736796197197598551[[#This Row],[EBS self time]]/Tabelle736796197197598551[[#This Row],[Total time]]</f>
        <v>3.8032564130805087</v>
      </c>
    </row>
  </sheetData>
  <dataConsolidate/>
  <hyperlinks>
    <hyperlink ref="A1" location="Planning!A1" display="Go back to 'Planning' sheet" xr:uid="{6A10A1D3-8B8F-449F-AB0D-46D54F00A25C}"/>
    <hyperlink ref="F17" location="$F$17" display="$F$17" xr:uid="{3076C766-0200-45D7-96FF-8F79BFAB62A0}"/>
    <hyperlink ref="G17" location="$G$17" display="$G$17" xr:uid="{398CBC17-8DAF-44BD-9FB0-27E57F16F735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D9F0A-F819-406A-A5BB-2EC1D34A644A}">
  <sheetPr codeName="TaskSheetTemplate3"/>
  <dimension ref="A1:M23"/>
  <sheetViews>
    <sheetView workbookViewId="0"/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135</v>
      </c>
      <c r="J1" t="s">
        <v>136</v>
      </c>
    </row>
    <row r="2" spans="1:13">
      <c r="A2" t="s">
        <v>3</v>
      </c>
      <c r="B2" t="s">
        <v>716</v>
      </c>
    </row>
    <row r="3" spans="1:13">
      <c r="A3" t="s">
        <v>77</v>
      </c>
      <c r="B3" s="2">
        <v>3.3958349227905273</v>
      </c>
      <c r="C3" t="s">
        <v>4</v>
      </c>
    </row>
    <row r="4" spans="1:13">
      <c r="A4" t="s">
        <v>0</v>
      </c>
      <c r="B4" s="2">
        <f>SUM(TimeEntries95896854[Time delta in h])</f>
        <v>24.84111111110542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131</v>
      </c>
    </row>
    <row r="8" spans="1:13">
      <c r="A8" t="s">
        <v>15</v>
      </c>
      <c r="B8" s="5">
        <v>44161.95585648148</v>
      </c>
    </row>
    <row r="9" spans="1:13">
      <c r="A9" t="s">
        <v>2</v>
      </c>
    </row>
    <row r="10" spans="1:13">
      <c r="A10" t="s">
        <v>46</v>
      </c>
      <c r="B10" t="s">
        <v>714</v>
      </c>
    </row>
    <row r="11" spans="1:13">
      <c r="A11" t="s">
        <v>5</v>
      </c>
      <c r="B11" s="2">
        <f>B3/SUM(TimeEntries95896854[Time delta in h])</f>
        <v>0.13670221543642594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s="1">
        <v>44161.95584490741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134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1:13">
      <c r="A17" t="s">
        <v>126</v>
      </c>
      <c r="B17" s="1">
        <v>44160.920810185184</v>
      </c>
      <c r="C17" s="1">
        <v>44161.95585648148</v>
      </c>
      <c r="D17" s="2">
        <f>MAX((TimeEntries95896854[[#This Row],[End time]]-TimeEntries95896854[[#This Row],[Start time]])*24,0)</f>
        <v>24.84111111110542</v>
      </c>
      <c r="F17" s="54" t="s">
        <v>184</v>
      </c>
      <c r="G17" s="22" t="s">
        <v>185</v>
      </c>
      <c r="I17" t="s">
        <v>126</v>
      </c>
      <c r="J17" s="15">
        <v>0.05</v>
      </c>
      <c r="K17" s="2">
        <v>1.6979174613952637</v>
      </c>
      <c r="L17" s="2">
        <f>SUM(TimeEntries95896854[Time delta in h])</f>
        <v>24.84111111110542</v>
      </c>
      <c r="M17" s="16">
        <f>Tabelle736795996956[[#This Row],[EBS self time]]/Tabelle736795996956[[#This Row],[Total time]]</f>
        <v>6.8351107718212969E-2</v>
      </c>
    </row>
    <row r="18" spans="1:13">
      <c r="B18" s="1"/>
      <c r="C18" s="1"/>
      <c r="D18" s="2"/>
      <c r="I18" t="s">
        <v>127</v>
      </c>
      <c r="J18" s="15">
        <v>0.2</v>
      </c>
      <c r="K18" s="2">
        <v>1.6979174613952637</v>
      </c>
      <c r="L18" s="2">
        <f>SUM(TimeEntries95896854[Time delta in h])</f>
        <v>24.84111111110542</v>
      </c>
      <c r="M18" s="16">
        <f>Tabelle736795996956[[#This Row],[EBS self time]]/Tabelle736795996956[[#This Row],[Total time]]</f>
        <v>6.8351107718212969E-2</v>
      </c>
    </row>
    <row r="19" spans="1:13">
      <c r="I19" t="s">
        <v>169</v>
      </c>
      <c r="J19" s="15">
        <v>0.35</v>
      </c>
      <c r="K19" s="2">
        <v>1.6979174613952637</v>
      </c>
      <c r="L19" s="2">
        <f>SUM(TimeEntries95896854[Time delta in h])</f>
        <v>24.84111111110542</v>
      </c>
      <c r="M19" s="16">
        <f>Tabelle736795996956[[#This Row],[EBS self time]]/Tabelle736795996956[[#This Row],[Total time]]</f>
        <v>6.8351107718212969E-2</v>
      </c>
    </row>
    <row r="20" spans="1:13">
      <c r="I20" t="s">
        <v>172</v>
      </c>
      <c r="J20" s="15">
        <v>0.5</v>
      </c>
      <c r="K20" s="2">
        <v>1.6979174613952637</v>
      </c>
      <c r="L20" s="2">
        <f>SUM(TimeEntries95896854[Time delta in h])</f>
        <v>24.84111111110542</v>
      </c>
      <c r="M20" s="16">
        <f>Tabelle736795996956[[#This Row],[EBS self time]]/Tabelle736795996956[[#This Row],[Total time]]</f>
        <v>6.8351107718212969E-2</v>
      </c>
    </row>
    <row r="21" spans="1:13">
      <c r="I21" t="s">
        <v>187</v>
      </c>
      <c r="J21" s="15">
        <v>0.65</v>
      </c>
      <c r="K21" s="2">
        <v>6.5810754317645879</v>
      </c>
      <c r="L21" s="2">
        <f>SUM(TimeEntries95896854[Time delta in h])</f>
        <v>24.84111111110542</v>
      </c>
      <c r="M21" s="16">
        <f>Tabelle736795996956[[#This Row],[EBS self time]]/Tabelle736795996956[[#This Row],[Total time]]</f>
        <v>0.26492677410160065</v>
      </c>
    </row>
    <row r="22" spans="1:13">
      <c r="I22" t="s">
        <v>192</v>
      </c>
      <c r="J22" s="15">
        <v>0.8</v>
      </c>
      <c r="K22" s="2">
        <v>6.5810754317645879</v>
      </c>
      <c r="L22" s="2">
        <f>SUM(TimeEntries95896854[Time delta in h])</f>
        <v>24.84111111110542</v>
      </c>
      <c r="M22" s="16">
        <f>Tabelle736795996956[[#This Row],[EBS self time]]/Tabelle736795996956[[#This Row],[Total time]]</f>
        <v>0.26492677410160065</v>
      </c>
    </row>
    <row r="23" spans="1:13">
      <c r="I23" t="s">
        <v>193</v>
      </c>
      <c r="J23" s="15">
        <v>0.95</v>
      </c>
      <c r="K23" s="2">
        <v>6.5810754317645879</v>
      </c>
      <c r="L23" s="2">
        <f>SUM(TimeEntries95896854[Time delta in h])</f>
        <v>24.84111111110542</v>
      </c>
      <c r="M23" s="16">
        <f>Tabelle736795996956[[#This Row],[EBS self time]]/Tabelle736795996956[[#This Row],[Total time]]</f>
        <v>0.26492677410160065</v>
      </c>
    </row>
  </sheetData>
  <dataConsolidate/>
  <hyperlinks>
    <hyperlink ref="A1" location="Planning!A1" display="Go back to 'Planning' sheet" xr:uid="{A9B39A61-1CAC-4DE5-A5D7-4017FB9788E1}"/>
    <hyperlink ref="F17" location="$F$17" display="$F$17" xr:uid="{A1C77121-2574-4804-B5D8-53223F885C04}"/>
    <hyperlink ref="G17" location="$G$17" display="$G$17" xr:uid="{CAE596DA-853E-4A69-89D8-56F20DD9A6A7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DD238-2F23-40C3-95AF-C4DBFF29998F}">
  <sheetPr codeName="EbsSheetTemplate1"/>
  <dimension ref="A15:T121"/>
  <sheetViews>
    <sheetView workbookViewId="0">
      <selection activeCell="C22" sqref="C22"/>
    </sheetView>
  </sheetViews>
  <sheetFormatPr defaultColWidth="11.5546875" defaultRowHeight="14.4"/>
  <cols>
    <col min="1" max="1" width="14.6640625" customWidth="1"/>
    <col min="2" max="2" width="17.33203125" bestFit="1" customWidth="1"/>
    <col min="3" max="3" width="40.109375" customWidth="1"/>
    <col min="4" max="4" width="13.5546875" bestFit="1" customWidth="1"/>
    <col min="5" max="5" width="27.6640625" customWidth="1"/>
    <col min="6" max="6" width="25" bestFit="1" customWidth="1"/>
    <col min="7" max="7" width="24.88671875" bestFit="1" customWidth="1"/>
    <col min="8" max="8" width="14.6640625" customWidth="1"/>
    <col min="9" max="9" width="2.88671875" customWidth="1"/>
    <col min="10" max="10" width="22.109375" bestFit="1" customWidth="1"/>
    <col min="11" max="11" width="22.109375" customWidth="1"/>
    <col min="12" max="12" width="16.5546875" bestFit="1" customWidth="1"/>
    <col min="13" max="13" width="19" bestFit="1" customWidth="1"/>
    <col min="14" max="14" width="20.44140625" bestFit="1" customWidth="1"/>
    <col min="15" max="15" width="28.88671875" bestFit="1" customWidth="1"/>
    <col min="16" max="16" width="23.33203125" bestFit="1" customWidth="1"/>
    <col min="17" max="17" width="25.5546875" bestFit="1" customWidth="1"/>
    <col min="18" max="18" width="28" bestFit="1" customWidth="1"/>
    <col min="19" max="19" width="30" bestFit="1" customWidth="1"/>
    <col min="20" max="20" width="29.88671875" bestFit="1" customWidth="1"/>
  </cols>
  <sheetData>
    <row r="15" spans="5:8">
      <c r="E15" s="14" t="s">
        <v>74</v>
      </c>
      <c r="F15" s="56" t="s">
        <v>75</v>
      </c>
      <c r="G15" s="57"/>
      <c r="H15" s="57"/>
    </row>
    <row r="16" spans="5:8">
      <c r="E16" s="14" t="s">
        <v>73</v>
      </c>
      <c r="F16" s="56" t="s">
        <v>36</v>
      </c>
      <c r="G16" s="57"/>
      <c r="H16" s="57"/>
    </row>
    <row r="17" spans="1:20">
      <c r="J17" s="10" t="s">
        <v>43</v>
      </c>
      <c r="K17" s="10"/>
    </row>
    <row r="18" spans="1:20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>
      <c r="A19" t="s">
        <v>126</v>
      </c>
      <c r="B19" s="17">
        <v>44161.966550925928</v>
      </c>
      <c r="C19" t="s">
        <v>805</v>
      </c>
      <c r="D19" t="s">
        <v>26</v>
      </c>
      <c r="E19" t="s">
        <v>199</v>
      </c>
      <c r="F19" t="s">
        <v>802</v>
      </c>
      <c r="G19" t="s">
        <v>803</v>
      </c>
      <c r="H19" t="s">
        <v>804</v>
      </c>
      <c r="J19" t="s">
        <v>126</v>
      </c>
      <c r="K19" t="s">
        <v>771</v>
      </c>
      <c r="L19">
        <v>7</v>
      </c>
      <c r="M19" s="2">
        <v>17.389166666718701</v>
      </c>
      <c r="N19" s="2">
        <v>6.4262514114379901</v>
      </c>
      <c r="O19" t="s">
        <v>806</v>
      </c>
      <c r="P19" t="s">
        <v>807</v>
      </c>
      <c r="Q19" t="s">
        <v>807</v>
      </c>
      <c r="R19" t="s">
        <v>199</v>
      </c>
      <c r="S19" t="s">
        <v>808</v>
      </c>
      <c r="T19" t="s">
        <v>809</v>
      </c>
    </row>
    <row r="20" spans="1:20">
      <c r="A20" t="s">
        <v>127</v>
      </c>
      <c r="B20" s="17">
        <v>44167.907002314816</v>
      </c>
      <c r="C20" t="s">
        <v>1273</v>
      </c>
      <c r="D20" t="s">
        <v>26</v>
      </c>
      <c r="E20" t="s">
        <v>199</v>
      </c>
      <c r="F20" t="s">
        <v>1270</v>
      </c>
      <c r="G20" t="s">
        <v>1271</v>
      </c>
      <c r="H20" t="s">
        <v>1272</v>
      </c>
      <c r="J20" t="s">
        <v>127</v>
      </c>
      <c r="K20" t="s">
        <v>762</v>
      </c>
      <c r="L20">
        <v>9</v>
      </c>
      <c r="M20" s="2">
        <v>23.994444444368099</v>
      </c>
      <c r="N20" s="2">
        <v>14.5643110275269</v>
      </c>
      <c r="O20" t="s">
        <v>810</v>
      </c>
      <c r="P20" t="s">
        <v>811</v>
      </c>
      <c r="Q20" t="s">
        <v>812</v>
      </c>
      <c r="R20" t="s">
        <v>199</v>
      </c>
      <c r="S20" t="s">
        <v>813</v>
      </c>
      <c r="T20" t="s">
        <v>814</v>
      </c>
    </row>
    <row r="21" spans="1:20">
      <c r="B21" s="17"/>
      <c r="J21" t="s">
        <v>169</v>
      </c>
      <c r="K21" t="s">
        <v>759</v>
      </c>
      <c r="L21">
        <v>10</v>
      </c>
      <c r="M21" s="2">
        <v>23.334444444451901</v>
      </c>
      <c r="N21" s="2">
        <v>14.8875217437744</v>
      </c>
      <c r="O21" t="s">
        <v>815</v>
      </c>
      <c r="P21" t="s">
        <v>816</v>
      </c>
      <c r="Q21" t="s">
        <v>817</v>
      </c>
      <c r="R21" t="s">
        <v>199</v>
      </c>
      <c r="S21" t="s">
        <v>818</v>
      </c>
      <c r="T21" t="s">
        <v>819</v>
      </c>
    </row>
    <row r="22" spans="1:20">
      <c r="B22" s="17"/>
      <c r="J22" t="s">
        <v>172</v>
      </c>
      <c r="K22" t="s">
        <v>729</v>
      </c>
      <c r="L22">
        <v>13</v>
      </c>
      <c r="M22" s="2">
        <v>21.007500000006999</v>
      </c>
      <c r="N22" s="2">
        <v>2.3993444442749001</v>
      </c>
      <c r="O22" t="s">
        <v>820</v>
      </c>
      <c r="P22" t="s">
        <v>821</v>
      </c>
      <c r="Q22" t="s">
        <v>822</v>
      </c>
      <c r="R22" t="s">
        <v>199</v>
      </c>
      <c r="S22" t="s">
        <v>823</v>
      </c>
      <c r="T22" t="s">
        <v>824</v>
      </c>
    </row>
    <row r="23" spans="1:20">
      <c r="B23" s="17"/>
      <c r="J23" t="s">
        <v>187</v>
      </c>
      <c r="K23" t="s">
        <v>723</v>
      </c>
      <c r="L23">
        <v>14</v>
      </c>
      <c r="M23" s="2">
        <v>11.484999999927799</v>
      </c>
      <c r="N23" s="2">
        <v>3.83086490631104</v>
      </c>
      <c r="O23" t="s">
        <v>825</v>
      </c>
      <c r="P23" t="s">
        <v>826</v>
      </c>
      <c r="Q23" t="s">
        <v>827</v>
      </c>
      <c r="R23" t="s">
        <v>199</v>
      </c>
      <c r="S23" t="s">
        <v>828</v>
      </c>
      <c r="T23" t="s">
        <v>829</v>
      </c>
    </row>
    <row r="24" spans="1:20">
      <c r="B24" s="17"/>
      <c r="J24" t="s">
        <v>192</v>
      </c>
      <c r="K24" t="s">
        <v>711</v>
      </c>
      <c r="L24">
        <v>16</v>
      </c>
      <c r="M24" s="2">
        <v>29.9100000000908</v>
      </c>
      <c r="N24" s="2">
        <v>3.1652889251709002</v>
      </c>
      <c r="O24" t="s">
        <v>830</v>
      </c>
      <c r="P24" t="s">
        <v>831</v>
      </c>
      <c r="Q24" t="s">
        <v>832</v>
      </c>
      <c r="R24" t="s">
        <v>199</v>
      </c>
      <c r="S24" t="s">
        <v>833</v>
      </c>
      <c r="T24" t="s">
        <v>834</v>
      </c>
    </row>
    <row r="25" spans="1:20">
      <c r="B25" s="17"/>
      <c r="J25" t="s">
        <v>193</v>
      </c>
      <c r="K25" t="s">
        <v>708</v>
      </c>
      <c r="L25">
        <v>17</v>
      </c>
      <c r="M25" s="2">
        <v>12.2574999999488</v>
      </c>
      <c r="N25" s="2">
        <v>3.9208612442016602</v>
      </c>
      <c r="O25" t="s">
        <v>835</v>
      </c>
      <c r="P25" t="s">
        <v>836</v>
      </c>
      <c r="Q25" t="s">
        <v>837</v>
      </c>
      <c r="R25" t="s">
        <v>199</v>
      </c>
      <c r="S25" t="s">
        <v>838</v>
      </c>
      <c r="T25" t="s">
        <v>839</v>
      </c>
    </row>
    <row r="26" spans="1:20">
      <c r="B26" s="17"/>
      <c r="J26" t="s">
        <v>200</v>
      </c>
      <c r="K26" t="s">
        <v>705</v>
      </c>
      <c r="L26">
        <v>18</v>
      </c>
      <c r="M26" s="2">
        <v>15.9475000000675</v>
      </c>
      <c r="N26" s="2">
        <v>3.14666748046875</v>
      </c>
      <c r="O26" t="s">
        <v>840</v>
      </c>
      <c r="P26" t="s">
        <v>841</v>
      </c>
      <c r="Q26" t="s">
        <v>842</v>
      </c>
      <c r="R26" t="s">
        <v>199</v>
      </c>
      <c r="S26" t="s">
        <v>843</v>
      </c>
      <c r="T26" t="s">
        <v>844</v>
      </c>
    </row>
    <row r="27" spans="1:20">
      <c r="B27" s="17"/>
      <c r="J27" t="s">
        <v>205</v>
      </c>
      <c r="K27" t="s">
        <v>702</v>
      </c>
      <c r="L27">
        <v>19</v>
      </c>
      <c r="M27" s="2">
        <v>12.525277777807799</v>
      </c>
      <c r="N27" s="2">
        <v>1.6008100509643599</v>
      </c>
      <c r="O27" t="s">
        <v>845</v>
      </c>
      <c r="P27" t="s">
        <v>846</v>
      </c>
      <c r="Q27" t="s">
        <v>847</v>
      </c>
      <c r="R27" t="s">
        <v>199</v>
      </c>
      <c r="S27" t="s">
        <v>848</v>
      </c>
      <c r="T27" t="s">
        <v>849</v>
      </c>
    </row>
    <row r="28" spans="1:20">
      <c r="B28" s="17"/>
      <c r="J28" t="s">
        <v>208</v>
      </c>
      <c r="K28" t="s">
        <v>696</v>
      </c>
      <c r="L28">
        <v>20</v>
      </c>
      <c r="M28" s="2">
        <v>18.451944444445001</v>
      </c>
      <c r="N28" s="2">
        <v>12.418737411499</v>
      </c>
      <c r="O28" t="s">
        <v>850</v>
      </c>
      <c r="P28" t="s">
        <v>851</v>
      </c>
      <c r="Q28" t="s">
        <v>852</v>
      </c>
      <c r="R28" t="s">
        <v>199</v>
      </c>
      <c r="S28" t="s">
        <v>853</v>
      </c>
      <c r="T28" t="s">
        <v>854</v>
      </c>
    </row>
    <row r="29" spans="1:20">
      <c r="B29" s="17"/>
      <c r="J29" t="s">
        <v>211</v>
      </c>
      <c r="K29" t="s">
        <v>690</v>
      </c>
      <c r="L29">
        <v>22</v>
      </c>
      <c r="M29" s="2">
        <v>11.299999999988399</v>
      </c>
      <c r="N29" s="2">
        <v>5.7510118484497097</v>
      </c>
      <c r="O29" t="s">
        <v>855</v>
      </c>
      <c r="P29" t="s">
        <v>856</v>
      </c>
      <c r="Q29" t="s">
        <v>857</v>
      </c>
      <c r="R29" t="s">
        <v>199</v>
      </c>
      <c r="S29" t="s">
        <v>858</v>
      </c>
      <c r="T29" t="s">
        <v>859</v>
      </c>
    </row>
    <row r="30" spans="1:20">
      <c r="B30" s="17"/>
      <c r="J30" t="s">
        <v>214</v>
      </c>
      <c r="K30" t="s">
        <v>687</v>
      </c>
      <c r="L30">
        <v>23</v>
      </c>
      <c r="M30" s="2">
        <v>19.571111111145001</v>
      </c>
      <c r="N30" s="2">
        <v>13.2393455505371</v>
      </c>
      <c r="O30" t="s">
        <v>860</v>
      </c>
      <c r="P30" t="s">
        <v>861</v>
      </c>
      <c r="Q30" t="s">
        <v>862</v>
      </c>
      <c r="R30" t="s">
        <v>199</v>
      </c>
      <c r="S30" t="s">
        <v>863</v>
      </c>
      <c r="T30" t="s">
        <v>864</v>
      </c>
    </row>
    <row r="31" spans="1:20">
      <c r="B31" s="17"/>
      <c r="J31" t="s">
        <v>217</v>
      </c>
      <c r="K31" t="s">
        <v>684</v>
      </c>
      <c r="L31">
        <v>24</v>
      </c>
      <c r="M31" s="2">
        <v>10.703611111035601</v>
      </c>
      <c r="N31" s="2">
        <v>15.6895971298218</v>
      </c>
      <c r="O31" t="s">
        <v>865</v>
      </c>
      <c r="P31" t="s">
        <v>866</v>
      </c>
      <c r="Q31" t="s">
        <v>867</v>
      </c>
      <c r="R31" t="s">
        <v>199</v>
      </c>
      <c r="S31" t="s">
        <v>868</v>
      </c>
      <c r="T31" t="s">
        <v>869</v>
      </c>
    </row>
    <row r="32" spans="1:20">
      <c r="B32" s="17"/>
      <c r="J32" t="s">
        <v>220</v>
      </c>
      <c r="K32" t="s">
        <v>678</v>
      </c>
      <c r="L32">
        <v>26</v>
      </c>
      <c r="M32" s="2">
        <v>25.2724999999045</v>
      </c>
      <c r="N32" s="2">
        <v>12.488985061645501</v>
      </c>
      <c r="O32" t="s">
        <v>870</v>
      </c>
      <c r="P32" t="s">
        <v>871</v>
      </c>
      <c r="Q32" t="s">
        <v>872</v>
      </c>
      <c r="R32" t="s">
        <v>199</v>
      </c>
      <c r="S32" t="s">
        <v>873</v>
      </c>
      <c r="T32" t="s">
        <v>874</v>
      </c>
    </row>
    <row r="33" spans="2:20">
      <c r="B33" s="17"/>
      <c r="J33" t="s">
        <v>223</v>
      </c>
      <c r="K33" t="s">
        <v>669</v>
      </c>
      <c r="L33">
        <v>28</v>
      </c>
      <c r="M33" s="2">
        <v>17.463055555592302</v>
      </c>
      <c r="N33" s="2">
        <v>9.8081588745117205</v>
      </c>
      <c r="O33" t="s">
        <v>875</v>
      </c>
      <c r="P33" t="s">
        <v>876</v>
      </c>
      <c r="Q33" t="s">
        <v>877</v>
      </c>
      <c r="R33" t="s">
        <v>199</v>
      </c>
      <c r="S33" t="s">
        <v>878</v>
      </c>
      <c r="T33" t="s">
        <v>879</v>
      </c>
    </row>
    <row r="34" spans="2:20">
      <c r="B34" s="17"/>
      <c r="J34" t="s">
        <v>226</v>
      </c>
      <c r="K34" t="s">
        <v>666</v>
      </c>
      <c r="L34">
        <v>29</v>
      </c>
      <c r="M34" s="2">
        <v>23.482500000041899</v>
      </c>
      <c r="N34" s="2">
        <v>5.9490995407104501</v>
      </c>
      <c r="O34" t="s">
        <v>880</v>
      </c>
      <c r="P34" t="s">
        <v>881</v>
      </c>
      <c r="Q34" t="s">
        <v>882</v>
      </c>
      <c r="R34" t="s">
        <v>199</v>
      </c>
      <c r="S34" t="s">
        <v>883</v>
      </c>
      <c r="T34" t="s">
        <v>884</v>
      </c>
    </row>
    <row r="35" spans="2:20">
      <c r="B35" s="17"/>
      <c r="J35" t="s">
        <v>229</v>
      </c>
      <c r="K35" t="s">
        <v>660</v>
      </c>
      <c r="L35">
        <v>31</v>
      </c>
      <c r="M35" s="2">
        <v>13.1255555555108</v>
      </c>
      <c r="N35" s="2">
        <v>5.3246746063232404</v>
      </c>
      <c r="O35" t="s">
        <v>885</v>
      </c>
      <c r="P35" t="s">
        <v>886</v>
      </c>
      <c r="Q35" t="s">
        <v>887</v>
      </c>
      <c r="R35" t="s">
        <v>199</v>
      </c>
      <c r="S35" t="s">
        <v>888</v>
      </c>
      <c r="T35" t="s">
        <v>889</v>
      </c>
    </row>
    <row r="36" spans="2:20">
      <c r="B36" s="17"/>
      <c r="J36" t="s">
        <v>232</v>
      </c>
      <c r="K36" t="s">
        <v>657</v>
      </c>
      <c r="L36">
        <v>32</v>
      </c>
      <c r="M36" s="2">
        <v>19.649722222122399</v>
      </c>
      <c r="N36" s="2">
        <v>0.60286045074462902</v>
      </c>
      <c r="O36" t="s">
        <v>890</v>
      </c>
      <c r="P36" t="s">
        <v>801</v>
      </c>
      <c r="Q36" t="s">
        <v>887</v>
      </c>
      <c r="R36" t="s">
        <v>199</v>
      </c>
      <c r="S36" t="s">
        <v>888</v>
      </c>
      <c r="T36" t="s">
        <v>889</v>
      </c>
    </row>
    <row r="37" spans="2:20">
      <c r="B37" s="17"/>
      <c r="J37" t="s">
        <v>235</v>
      </c>
      <c r="K37" t="s">
        <v>645</v>
      </c>
      <c r="L37">
        <v>34</v>
      </c>
      <c r="M37" s="2">
        <v>27.851388889015698</v>
      </c>
      <c r="N37" s="2">
        <v>9.9641094207763707</v>
      </c>
      <c r="O37" t="s">
        <v>891</v>
      </c>
      <c r="P37" t="s">
        <v>892</v>
      </c>
      <c r="Q37" t="s">
        <v>893</v>
      </c>
      <c r="R37" t="s">
        <v>199</v>
      </c>
      <c r="S37" t="s">
        <v>894</v>
      </c>
      <c r="T37" t="s">
        <v>895</v>
      </c>
    </row>
    <row r="38" spans="2:20">
      <c r="B38" s="17"/>
      <c r="J38" t="s">
        <v>238</v>
      </c>
      <c r="K38" t="s">
        <v>642</v>
      </c>
      <c r="L38">
        <v>35</v>
      </c>
      <c r="M38" s="2">
        <v>12.5066666665371</v>
      </c>
      <c r="N38" s="2">
        <v>2.0954446792602499</v>
      </c>
      <c r="O38" t="s">
        <v>896</v>
      </c>
      <c r="P38" t="s">
        <v>897</v>
      </c>
      <c r="Q38" t="s">
        <v>898</v>
      </c>
      <c r="R38" t="s">
        <v>199</v>
      </c>
      <c r="S38" t="s">
        <v>899</v>
      </c>
      <c r="T38" t="s">
        <v>900</v>
      </c>
    </row>
    <row r="39" spans="2:20">
      <c r="B39" s="17"/>
      <c r="J39" t="s">
        <v>241</v>
      </c>
      <c r="K39" t="s">
        <v>639</v>
      </c>
      <c r="L39">
        <v>36</v>
      </c>
      <c r="M39" s="2">
        <v>13.8361111111008</v>
      </c>
      <c r="N39" s="2">
        <v>8.1834640502929705</v>
      </c>
      <c r="O39" t="s">
        <v>901</v>
      </c>
      <c r="P39" t="s">
        <v>902</v>
      </c>
      <c r="Q39" t="s">
        <v>903</v>
      </c>
      <c r="R39" t="s">
        <v>199</v>
      </c>
      <c r="S39" t="s">
        <v>904</v>
      </c>
      <c r="T39" t="s">
        <v>905</v>
      </c>
    </row>
    <row r="40" spans="2:20">
      <c r="B40" s="17"/>
      <c r="J40" t="s">
        <v>244</v>
      </c>
      <c r="K40" t="s">
        <v>636</v>
      </c>
      <c r="L40">
        <v>37</v>
      </c>
      <c r="M40" s="2">
        <v>29.6111111111823</v>
      </c>
      <c r="N40" s="2">
        <v>4.6151762008667001</v>
      </c>
      <c r="O40" t="s">
        <v>906</v>
      </c>
      <c r="P40" t="s">
        <v>907</v>
      </c>
      <c r="Q40" t="s">
        <v>908</v>
      </c>
      <c r="R40" t="s">
        <v>199</v>
      </c>
      <c r="S40" t="s">
        <v>909</v>
      </c>
      <c r="T40" t="s">
        <v>910</v>
      </c>
    </row>
    <row r="41" spans="2:20">
      <c r="B41" s="17"/>
      <c r="J41" t="s">
        <v>247</v>
      </c>
      <c r="K41" t="s">
        <v>633</v>
      </c>
      <c r="L41">
        <v>38</v>
      </c>
      <c r="M41" s="2">
        <v>19.534166666620902</v>
      </c>
      <c r="N41" s="2">
        <v>15.726625442504901</v>
      </c>
      <c r="O41" t="s">
        <v>911</v>
      </c>
      <c r="P41" t="s">
        <v>912</v>
      </c>
      <c r="Q41" t="s">
        <v>913</v>
      </c>
      <c r="R41" t="s">
        <v>199</v>
      </c>
      <c r="S41" t="s">
        <v>914</v>
      </c>
      <c r="T41" t="s">
        <v>915</v>
      </c>
    </row>
    <row r="42" spans="2:20">
      <c r="B42" s="17"/>
      <c r="J42" t="s">
        <v>250</v>
      </c>
      <c r="K42" t="s">
        <v>630</v>
      </c>
      <c r="L42">
        <v>39</v>
      </c>
      <c r="M42" s="2">
        <v>28.1111111111823</v>
      </c>
      <c r="N42" s="2">
        <v>8.5741319656372106</v>
      </c>
      <c r="O42" t="s">
        <v>916</v>
      </c>
      <c r="P42" t="s">
        <v>917</v>
      </c>
      <c r="Q42" t="s">
        <v>918</v>
      </c>
      <c r="R42" t="s">
        <v>199</v>
      </c>
      <c r="S42" t="s">
        <v>919</v>
      </c>
      <c r="T42" t="s">
        <v>920</v>
      </c>
    </row>
    <row r="43" spans="2:20">
      <c r="B43" s="17"/>
      <c r="J43" t="s">
        <v>253</v>
      </c>
      <c r="K43" t="s">
        <v>621</v>
      </c>
      <c r="L43">
        <v>41</v>
      </c>
      <c r="M43" s="2">
        <v>31.6975000000675</v>
      </c>
      <c r="N43" s="2">
        <v>13.736178398132299</v>
      </c>
      <c r="O43" t="s">
        <v>921</v>
      </c>
      <c r="P43" t="s">
        <v>922</v>
      </c>
      <c r="Q43" t="s">
        <v>923</v>
      </c>
      <c r="R43" t="s">
        <v>199</v>
      </c>
      <c r="S43" t="s">
        <v>924</v>
      </c>
      <c r="T43" t="s">
        <v>925</v>
      </c>
    </row>
    <row r="44" spans="2:20">
      <c r="B44" s="17"/>
      <c r="J44" t="s">
        <v>256</v>
      </c>
      <c r="K44" t="s">
        <v>615</v>
      </c>
      <c r="L44">
        <v>43</v>
      </c>
      <c r="M44" s="2">
        <v>10.064999999944099</v>
      </c>
      <c r="N44" s="2">
        <v>5.1160259246826199</v>
      </c>
      <c r="O44" t="s">
        <v>926</v>
      </c>
      <c r="P44" t="s">
        <v>927</v>
      </c>
      <c r="Q44" t="s">
        <v>928</v>
      </c>
      <c r="R44" t="s">
        <v>199</v>
      </c>
      <c r="S44" t="s">
        <v>929</v>
      </c>
      <c r="T44" t="s">
        <v>930</v>
      </c>
    </row>
    <row r="45" spans="2:20">
      <c r="B45" s="17"/>
      <c r="J45" t="s">
        <v>259</v>
      </c>
      <c r="K45" t="s">
        <v>612</v>
      </c>
      <c r="L45">
        <v>44</v>
      </c>
      <c r="M45" s="2">
        <v>18.457222222234101</v>
      </c>
      <c r="N45" s="2">
        <v>11.3745584487915</v>
      </c>
      <c r="O45" t="s">
        <v>931</v>
      </c>
      <c r="P45" t="s">
        <v>932</v>
      </c>
      <c r="Q45" t="s">
        <v>933</v>
      </c>
      <c r="R45" t="s">
        <v>199</v>
      </c>
      <c r="S45" t="s">
        <v>934</v>
      </c>
      <c r="T45" t="s">
        <v>935</v>
      </c>
    </row>
    <row r="46" spans="2:20">
      <c r="B46" s="17"/>
      <c r="J46" t="s">
        <v>262</v>
      </c>
      <c r="K46" t="s">
        <v>606</v>
      </c>
      <c r="L46">
        <v>45</v>
      </c>
      <c r="M46" s="2">
        <v>14.231388888903901</v>
      </c>
      <c r="N46" s="2">
        <v>13.115969657897899</v>
      </c>
      <c r="O46" t="s">
        <v>936</v>
      </c>
      <c r="P46" t="s">
        <v>937</v>
      </c>
      <c r="Q46" t="s">
        <v>938</v>
      </c>
      <c r="R46" t="s">
        <v>199</v>
      </c>
      <c r="S46" t="s">
        <v>939</v>
      </c>
      <c r="T46" t="s">
        <v>940</v>
      </c>
    </row>
    <row r="47" spans="2:20">
      <c r="B47" s="17"/>
      <c r="J47" t="s">
        <v>265</v>
      </c>
      <c r="K47" t="s">
        <v>600</v>
      </c>
      <c r="L47">
        <v>47</v>
      </c>
      <c r="M47" s="2">
        <v>27.984722222259698</v>
      </c>
      <c r="N47" s="2">
        <v>1.30648612976074</v>
      </c>
      <c r="O47" t="s">
        <v>941</v>
      </c>
      <c r="P47" t="s">
        <v>801</v>
      </c>
      <c r="Q47" t="s">
        <v>938</v>
      </c>
      <c r="R47" t="s">
        <v>199</v>
      </c>
      <c r="S47" t="s">
        <v>939</v>
      </c>
      <c r="T47" t="s">
        <v>940</v>
      </c>
    </row>
    <row r="48" spans="2:20">
      <c r="B48" s="17"/>
      <c r="J48" t="s">
        <v>268</v>
      </c>
      <c r="K48" t="s">
        <v>582</v>
      </c>
      <c r="L48">
        <v>51</v>
      </c>
      <c r="M48" s="2">
        <v>17.298611111124</v>
      </c>
      <c r="N48" s="2">
        <v>15.210211753845201</v>
      </c>
      <c r="O48" t="s">
        <v>942</v>
      </c>
      <c r="P48" t="s">
        <v>943</v>
      </c>
      <c r="Q48" t="s">
        <v>944</v>
      </c>
      <c r="R48" t="s">
        <v>199</v>
      </c>
      <c r="S48" t="s">
        <v>945</v>
      </c>
      <c r="T48" t="s">
        <v>946</v>
      </c>
    </row>
    <row r="49" spans="2:20">
      <c r="B49" s="17"/>
      <c r="J49" t="s">
        <v>271</v>
      </c>
      <c r="K49" t="s">
        <v>579</v>
      </c>
      <c r="L49">
        <v>52</v>
      </c>
      <c r="M49" s="2">
        <v>12.9047222222434</v>
      </c>
      <c r="N49" s="2">
        <v>10.3276271820068</v>
      </c>
      <c r="O49" t="s">
        <v>947</v>
      </c>
      <c r="P49" t="s">
        <v>948</v>
      </c>
      <c r="Q49" t="s">
        <v>949</v>
      </c>
      <c r="R49" t="s">
        <v>199</v>
      </c>
      <c r="S49" t="s">
        <v>950</v>
      </c>
      <c r="T49" t="s">
        <v>951</v>
      </c>
    </row>
    <row r="50" spans="2:20">
      <c r="B50" s="17"/>
      <c r="J50" t="s">
        <v>274</v>
      </c>
      <c r="K50" t="s">
        <v>570</v>
      </c>
      <c r="L50">
        <v>55</v>
      </c>
      <c r="M50" s="2">
        <v>21.672777777712302</v>
      </c>
      <c r="N50" s="2">
        <v>15.708405494689901</v>
      </c>
      <c r="O50" t="s">
        <v>952</v>
      </c>
      <c r="P50" t="s">
        <v>953</v>
      </c>
      <c r="Q50" t="s">
        <v>954</v>
      </c>
      <c r="R50" t="s">
        <v>199</v>
      </c>
      <c r="S50" t="s">
        <v>955</v>
      </c>
      <c r="T50" t="s">
        <v>956</v>
      </c>
    </row>
    <row r="51" spans="2:20">
      <c r="B51" s="17"/>
      <c r="J51" t="s">
        <v>277</v>
      </c>
      <c r="K51" t="s">
        <v>558</v>
      </c>
      <c r="L51">
        <v>57</v>
      </c>
      <c r="M51" s="2">
        <v>20.764166666718701</v>
      </c>
      <c r="N51" s="2">
        <v>6.5255260467529297</v>
      </c>
      <c r="O51" t="s">
        <v>957</v>
      </c>
      <c r="P51" t="s">
        <v>958</v>
      </c>
      <c r="Q51" t="s">
        <v>959</v>
      </c>
      <c r="R51" t="s">
        <v>199</v>
      </c>
      <c r="S51" t="s">
        <v>960</v>
      </c>
      <c r="T51" t="s">
        <v>961</v>
      </c>
    </row>
    <row r="52" spans="2:20">
      <c r="B52" s="17"/>
      <c r="J52" t="s">
        <v>280</v>
      </c>
      <c r="K52" t="s">
        <v>555</v>
      </c>
      <c r="L52">
        <v>58</v>
      </c>
      <c r="M52" s="2">
        <v>30.662499999976699</v>
      </c>
      <c r="N52" s="2">
        <v>15.8455209732056</v>
      </c>
      <c r="O52" t="s">
        <v>962</v>
      </c>
      <c r="P52" t="s">
        <v>963</v>
      </c>
      <c r="Q52" t="s">
        <v>964</v>
      </c>
      <c r="R52" t="s">
        <v>199</v>
      </c>
      <c r="S52" t="s">
        <v>965</v>
      </c>
      <c r="T52" t="s">
        <v>966</v>
      </c>
    </row>
    <row r="53" spans="2:20">
      <c r="B53" s="17"/>
      <c r="J53" t="s">
        <v>283</v>
      </c>
      <c r="K53" t="s">
        <v>552</v>
      </c>
      <c r="L53">
        <v>59</v>
      </c>
      <c r="M53" s="2">
        <v>27.3305555556435</v>
      </c>
      <c r="N53" s="2">
        <v>8.4395828247070295</v>
      </c>
      <c r="O53" t="s">
        <v>967</v>
      </c>
      <c r="P53" t="s">
        <v>968</v>
      </c>
      <c r="Q53" t="s">
        <v>969</v>
      </c>
      <c r="R53" t="s">
        <v>199</v>
      </c>
      <c r="S53" t="s">
        <v>970</v>
      </c>
      <c r="T53" t="s">
        <v>971</v>
      </c>
    </row>
    <row r="54" spans="2:20">
      <c r="B54" s="17"/>
      <c r="J54" t="s">
        <v>286</v>
      </c>
      <c r="K54" t="s">
        <v>537</v>
      </c>
      <c r="L54">
        <v>64</v>
      </c>
      <c r="M54" s="2">
        <v>10.0952777778148</v>
      </c>
      <c r="N54" s="2">
        <v>11.659487724304199</v>
      </c>
      <c r="O54" t="s">
        <v>972</v>
      </c>
      <c r="P54" t="s">
        <v>973</v>
      </c>
      <c r="Q54" t="s">
        <v>974</v>
      </c>
      <c r="R54" t="s">
        <v>199</v>
      </c>
      <c r="S54" t="s">
        <v>975</v>
      </c>
      <c r="T54" t="s">
        <v>976</v>
      </c>
    </row>
    <row r="55" spans="2:20">
      <c r="B55" s="17"/>
      <c r="J55" t="s">
        <v>289</v>
      </c>
      <c r="K55" t="s">
        <v>519</v>
      </c>
      <c r="L55">
        <v>67</v>
      </c>
      <c r="M55" s="2">
        <v>7.1736111111240497</v>
      </c>
      <c r="N55" s="2">
        <v>13.5376787185669</v>
      </c>
      <c r="O55" t="s">
        <v>977</v>
      </c>
      <c r="P55" t="s">
        <v>978</v>
      </c>
      <c r="Q55" t="s">
        <v>979</v>
      </c>
      <c r="R55" t="s">
        <v>199</v>
      </c>
      <c r="S55" t="s">
        <v>980</v>
      </c>
      <c r="T55" t="s">
        <v>981</v>
      </c>
    </row>
    <row r="56" spans="2:20">
      <c r="B56" s="17"/>
      <c r="J56" t="s">
        <v>292</v>
      </c>
      <c r="K56" t="s">
        <v>510</v>
      </c>
      <c r="L56">
        <v>70</v>
      </c>
      <c r="M56" s="2">
        <v>28.807777777779801</v>
      </c>
      <c r="N56" s="2">
        <v>14.171268463134799</v>
      </c>
      <c r="O56" t="s">
        <v>982</v>
      </c>
      <c r="P56" t="s">
        <v>983</v>
      </c>
      <c r="Q56" t="s">
        <v>984</v>
      </c>
      <c r="R56" t="s">
        <v>199</v>
      </c>
      <c r="S56" t="s">
        <v>985</v>
      </c>
      <c r="T56" t="s">
        <v>986</v>
      </c>
    </row>
    <row r="57" spans="2:20">
      <c r="B57" s="17"/>
      <c r="J57" t="s">
        <v>295</v>
      </c>
      <c r="K57" t="s">
        <v>507</v>
      </c>
      <c r="L57">
        <v>71</v>
      </c>
      <c r="M57" s="2">
        <v>17.843888888892302</v>
      </c>
      <c r="N57" s="2">
        <v>9.8354787826538104</v>
      </c>
      <c r="O57" t="s">
        <v>987</v>
      </c>
      <c r="P57" t="s">
        <v>988</v>
      </c>
      <c r="Q57" t="s">
        <v>989</v>
      </c>
      <c r="R57" t="s">
        <v>199</v>
      </c>
      <c r="S57" t="s">
        <v>990</v>
      </c>
      <c r="T57" t="s">
        <v>991</v>
      </c>
    </row>
    <row r="58" spans="2:20">
      <c r="B58" s="17"/>
      <c r="J58" t="s">
        <v>298</v>
      </c>
      <c r="K58" t="s">
        <v>501</v>
      </c>
      <c r="L58">
        <v>72</v>
      </c>
      <c r="M58" s="2">
        <v>20.3363888890017</v>
      </c>
      <c r="N58" s="2">
        <v>13.6186227798462</v>
      </c>
      <c r="O58" t="s">
        <v>992</v>
      </c>
      <c r="P58" t="s">
        <v>993</v>
      </c>
      <c r="Q58" t="s">
        <v>994</v>
      </c>
      <c r="R58" t="s">
        <v>199</v>
      </c>
      <c r="S58" t="s">
        <v>995</v>
      </c>
      <c r="T58" t="s">
        <v>996</v>
      </c>
    </row>
    <row r="59" spans="2:20">
      <c r="B59" s="17"/>
      <c r="J59" t="s">
        <v>301</v>
      </c>
      <c r="K59" t="s">
        <v>495</v>
      </c>
      <c r="L59">
        <v>74</v>
      </c>
      <c r="M59" s="2">
        <v>10.587777777866</v>
      </c>
      <c r="N59" s="2">
        <v>14.5516700744629</v>
      </c>
      <c r="O59" t="s">
        <v>997</v>
      </c>
      <c r="P59" t="s">
        <v>998</v>
      </c>
      <c r="Q59" t="s">
        <v>999</v>
      </c>
      <c r="R59" t="s">
        <v>199</v>
      </c>
      <c r="S59" t="s">
        <v>1000</v>
      </c>
      <c r="T59" t="s">
        <v>1001</v>
      </c>
    </row>
    <row r="60" spans="2:20">
      <c r="B60" s="17"/>
      <c r="J60" t="s">
        <v>304</v>
      </c>
      <c r="K60" t="s">
        <v>489</v>
      </c>
      <c r="L60">
        <v>75</v>
      </c>
      <c r="M60" s="2">
        <v>7.3322222222923301</v>
      </c>
      <c r="N60" s="2">
        <v>10.118360519409199</v>
      </c>
      <c r="O60" t="s">
        <v>1002</v>
      </c>
      <c r="P60" t="s">
        <v>1003</v>
      </c>
      <c r="Q60" t="s">
        <v>1004</v>
      </c>
      <c r="R60" t="s">
        <v>199</v>
      </c>
      <c r="S60" t="s">
        <v>1005</v>
      </c>
      <c r="T60" t="s">
        <v>1006</v>
      </c>
    </row>
    <row r="61" spans="2:20">
      <c r="B61" s="17"/>
      <c r="J61" t="s">
        <v>307</v>
      </c>
      <c r="K61" t="s">
        <v>483</v>
      </c>
      <c r="L61">
        <v>77</v>
      </c>
      <c r="M61" s="2">
        <v>0.26416666660225002</v>
      </c>
      <c r="N61" s="2">
        <v>9.8429384231567401</v>
      </c>
      <c r="O61" t="s">
        <v>1007</v>
      </c>
      <c r="P61" t="s">
        <v>1008</v>
      </c>
      <c r="Q61" t="s">
        <v>1009</v>
      </c>
      <c r="R61" t="s">
        <v>199</v>
      </c>
      <c r="S61" t="s">
        <v>1010</v>
      </c>
      <c r="T61" t="s">
        <v>1011</v>
      </c>
    </row>
    <row r="62" spans="2:20">
      <c r="B62" s="17"/>
      <c r="J62" t="s">
        <v>310</v>
      </c>
      <c r="K62" t="s">
        <v>474</v>
      </c>
      <c r="L62">
        <v>78</v>
      </c>
      <c r="M62" s="2">
        <v>7.0019444444915298</v>
      </c>
      <c r="N62" s="2">
        <v>8.6255292892456108</v>
      </c>
      <c r="O62" t="s">
        <v>1012</v>
      </c>
      <c r="P62" t="s">
        <v>1013</v>
      </c>
      <c r="Q62" t="s">
        <v>1014</v>
      </c>
      <c r="R62" t="s">
        <v>199</v>
      </c>
      <c r="S62" t="s">
        <v>1015</v>
      </c>
      <c r="T62" t="s">
        <v>1016</v>
      </c>
    </row>
    <row r="63" spans="2:20">
      <c r="B63" s="17"/>
      <c r="J63" t="s">
        <v>313</v>
      </c>
      <c r="K63" t="s">
        <v>468</v>
      </c>
      <c r="L63">
        <v>80</v>
      </c>
      <c r="M63" s="2">
        <v>14.210833333258099</v>
      </c>
      <c r="N63" s="2">
        <v>4.0630855560302699</v>
      </c>
      <c r="O63" t="s">
        <v>1017</v>
      </c>
      <c r="P63" t="s">
        <v>1018</v>
      </c>
      <c r="Q63" t="s">
        <v>1019</v>
      </c>
      <c r="R63" t="s">
        <v>199</v>
      </c>
      <c r="S63" t="s">
        <v>1020</v>
      </c>
      <c r="T63" t="s">
        <v>1021</v>
      </c>
    </row>
    <row r="64" spans="2:20">
      <c r="J64" t="s">
        <v>316</v>
      </c>
      <c r="K64" t="s">
        <v>465</v>
      </c>
      <c r="L64">
        <v>81</v>
      </c>
      <c r="M64" s="2">
        <v>12.13638888899</v>
      </c>
      <c r="N64" s="2">
        <v>14.4305963516235</v>
      </c>
      <c r="O64" t="s">
        <v>1022</v>
      </c>
      <c r="P64" t="s">
        <v>1023</v>
      </c>
      <c r="Q64" t="s">
        <v>1024</v>
      </c>
      <c r="R64" t="s">
        <v>199</v>
      </c>
      <c r="S64" t="s">
        <v>1025</v>
      </c>
      <c r="T64" t="s">
        <v>1026</v>
      </c>
    </row>
    <row r="65" spans="2:20">
      <c r="J65" t="s">
        <v>319</v>
      </c>
      <c r="K65" t="s">
        <v>453</v>
      </c>
      <c r="L65">
        <v>85</v>
      </c>
      <c r="M65" s="2">
        <v>21.859166666690701</v>
      </c>
      <c r="N65" s="2">
        <v>11.147052764892599</v>
      </c>
      <c r="O65" t="s">
        <v>1027</v>
      </c>
      <c r="P65" t="s">
        <v>1028</v>
      </c>
      <c r="Q65" t="s">
        <v>1029</v>
      </c>
      <c r="R65" t="s">
        <v>199</v>
      </c>
      <c r="S65" t="s">
        <v>1030</v>
      </c>
      <c r="T65" t="s">
        <v>1031</v>
      </c>
    </row>
    <row r="66" spans="2:20">
      <c r="B66" s="17"/>
      <c r="J66" t="s">
        <v>322</v>
      </c>
      <c r="K66" t="s">
        <v>450</v>
      </c>
      <c r="L66">
        <v>86</v>
      </c>
      <c r="M66" s="2">
        <v>29.444166666653501</v>
      </c>
      <c r="N66" s="2">
        <v>8.6156454086303693</v>
      </c>
      <c r="O66" t="s">
        <v>1032</v>
      </c>
      <c r="P66" t="s">
        <v>1033</v>
      </c>
      <c r="Q66" t="s">
        <v>1034</v>
      </c>
      <c r="R66" t="s">
        <v>199</v>
      </c>
      <c r="S66" t="s">
        <v>1035</v>
      </c>
      <c r="T66" t="s">
        <v>1036</v>
      </c>
    </row>
    <row r="67" spans="2:20">
      <c r="B67" s="17"/>
      <c r="J67" t="s">
        <v>325</v>
      </c>
      <c r="K67" t="s">
        <v>444</v>
      </c>
      <c r="L67">
        <v>87</v>
      </c>
      <c r="M67" s="2">
        <v>26.600833333272</v>
      </c>
      <c r="N67" s="2">
        <v>1.4941654205322299</v>
      </c>
      <c r="O67" t="s">
        <v>1037</v>
      </c>
      <c r="P67" t="s">
        <v>1038</v>
      </c>
      <c r="Q67" t="s">
        <v>1039</v>
      </c>
      <c r="R67" t="s">
        <v>199</v>
      </c>
      <c r="S67" t="s">
        <v>1035</v>
      </c>
      <c r="T67" t="s">
        <v>1036</v>
      </c>
    </row>
    <row r="68" spans="2:20">
      <c r="B68" s="17"/>
      <c r="J68" t="s">
        <v>328</v>
      </c>
      <c r="K68" t="s">
        <v>441</v>
      </c>
      <c r="L68">
        <v>88</v>
      </c>
      <c r="M68" s="2">
        <v>23.205277777800799</v>
      </c>
      <c r="N68" s="2">
        <v>11.389187812805201</v>
      </c>
      <c r="O68" t="s">
        <v>1040</v>
      </c>
      <c r="P68" t="s">
        <v>1041</v>
      </c>
      <c r="Q68" t="s">
        <v>1042</v>
      </c>
      <c r="R68" t="s">
        <v>199</v>
      </c>
      <c r="S68" t="s">
        <v>1043</v>
      </c>
      <c r="T68" t="s">
        <v>1044</v>
      </c>
    </row>
    <row r="69" spans="2:20">
      <c r="J69" t="s">
        <v>331</v>
      </c>
      <c r="K69" t="s">
        <v>438</v>
      </c>
      <c r="L69">
        <v>89</v>
      </c>
      <c r="M69" s="2">
        <v>12.648611111158999</v>
      </c>
      <c r="N69" s="2">
        <v>4.6092414855956996</v>
      </c>
      <c r="O69" t="s">
        <v>1045</v>
      </c>
      <c r="P69" t="s">
        <v>1046</v>
      </c>
      <c r="Q69" t="s">
        <v>1047</v>
      </c>
      <c r="R69" t="s">
        <v>199</v>
      </c>
      <c r="S69" t="s">
        <v>1048</v>
      </c>
      <c r="T69" t="s">
        <v>1049</v>
      </c>
    </row>
    <row r="70" spans="2:20">
      <c r="J70" t="s">
        <v>334</v>
      </c>
      <c r="K70" t="s">
        <v>435</v>
      </c>
      <c r="L70">
        <v>90</v>
      </c>
      <c r="M70" s="2">
        <v>13.051111111126399</v>
      </c>
      <c r="N70" s="2">
        <v>0.98322963714599598</v>
      </c>
      <c r="O70" t="s">
        <v>1050</v>
      </c>
      <c r="P70" t="s">
        <v>1051</v>
      </c>
      <c r="Q70" t="s">
        <v>1052</v>
      </c>
      <c r="R70" t="s">
        <v>199</v>
      </c>
      <c r="S70" t="s">
        <v>1048</v>
      </c>
      <c r="T70" t="s">
        <v>1049</v>
      </c>
    </row>
    <row r="71" spans="2:20">
      <c r="J71" t="s">
        <v>337</v>
      </c>
      <c r="K71" t="s">
        <v>432</v>
      </c>
      <c r="L71">
        <v>91</v>
      </c>
      <c r="M71" s="2">
        <v>23.258888888871301</v>
      </c>
      <c r="N71" s="2">
        <v>12.823270797729499</v>
      </c>
      <c r="O71" t="s">
        <v>1053</v>
      </c>
      <c r="P71" t="s">
        <v>1054</v>
      </c>
      <c r="Q71" t="s">
        <v>1055</v>
      </c>
      <c r="R71" t="s">
        <v>199</v>
      </c>
      <c r="S71" t="s">
        <v>1056</v>
      </c>
      <c r="T71" t="s">
        <v>1057</v>
      </c>
    </row>
    <row r="72" spans="2:20">
      <c r="J72" t="s">
        <v>340</v>
      </c>
      <c r="K72" t="s">
        <v>423</v>
      </c>
      <c r="L72">
        <v>93</v>
      </c>
      <c r="M72" s="2">
        <v>15.6161111110705</v>
      </c>
      <c r="N72" s="2">
        <v>1.4583930969238299</v>
      </c>
      <c r="O72" t="s">
        <v>1058</v>
      </c>
      <c r="P72" t="s">
        <v>1059</v>
      </c>
      <c r="Q72" t="s">
        <v>1060</v>
      </c>
      <c r="R72" t="s">
        <v>199</v>
      </c>
      <c r="S72" t="s">
        <v>1056</v>
      </c>
      <c r="T72" t="s">
        <v>1057</v>
      </c>
    </row>
    <row r="73" spans="2:20">
      <c r="J73" t="s">
        <v>343</v>
      </c>
      <c r="K73" t="s">
        <v>420</v>
      </c>
      <c r="L73">
        <v>94</v>
      </c>
      <c r="M73" s="2">
        <v>0.16944444458931701</v>
      </c>
      <c r="N73" s="2">
        <v>5.0156087875366202</v>
      </c>
      <c r="O73" t="s">
        <v>1061</v>
      </c>
      <c r="P73" t="s">
        <v>1062</v>
      </c>
      <c r="Q73" t="s">
        <v>1063</v>
      </c>
      <c r="R73" t="s">
        <v>199</v>
      </c>
      <c r="S73" t="s">
        <v>1064</v>
      </c>
      <c r="T73" t="s">
        <v>1065</v>
      </c>
    </row>
    <row r="74" spans="2:20">
      <c r="J74" t="s">
        <v>346</v>
      </c>
      <c r="K74" t="s">
        <v>414</v>
      </c>
      <c r="L74">
        <v>95</v>
      </c>
      <c r="M74" s="2">
        <v>20.2399999999325</v>
      </c>
      <c r="N74" s="2">
        <v>0.74178504943847701</v>
      </c>
      <c r="O74" t="s">
        <v>1066</v>
      </c>
      <c r="P74" t="s">
        <v>801</v>
      </c>
      <c r="Q74" t="s">
        <v>1063</v>
      </c>
      <c r="R74" t="s">
        <v>199</v>
      </c>
      <c r="S74" t="s">
        <v>1064</v>
      </c>
      <c r="T74" t="s">
        <v>1065</v>
      </c>
    </row>
    <row r="75" spans="2:20">
      <c r="J75" t="s">
        <v>349</v>
      </c>
      <c r="K75" t="s">
        <v>408</v>
      </c>
      <c r="L75">
        <v>97</v>
      </c>
      <c r="M75" s="2">
        <v>23.008055555576</v>
      </c>
      <c r="N75" s="2">
        <v>11.457222938537599</v>
      </c>
      <c r="O75" t="s">
        <v>1067</v>
      </c>
      <c r="P75" t="s">
        <v>1068</v>
      </c>
      <c r="Q75" t="s">
        <v>1069</v>
      </c>
      <c r="R75" t="s">
        <v>199</v>
      </c>
      <c r="S75" t="s">
        <v>1070</v>
      </c>
      <c r="T75" t="s">
        <v>1071</v>
      </c>
    </row>
    <row r="76" spans="2:20">
      <c r="J76" t="s">
        <v>352</v>
      </c>
      <c r="K76" t="s">
        <v>399</v>
      </c>
      <c r="L76">
        <v>99</v>
      </c>
      <c r="M76" s="2">
        <v>13.7033333333675</v>
      </c>
      <c r="N76" s="2">
        <v>14.840674400329601</v>
      </c>
      <c r="O76" t="s">
        <v>1072</v>
      </c>
      <c r="P76" t="s">
        <v>1073</v>
      </c>
      <c r="Q76" t="s">
        <v>1074</v>
      </c>
      <c r="R76" t="s">
        <v>199</v>
      </c>
      <c r="S76" t="s">
        <v>1075</v>
      </c>
      <c r="T76" t="s">
        <v>1076</v>
      </c>
    </row>
    <row r="77" spans="2:20">
      <c r="J77" t="s">
        <v>355</v>
      </c>
      <c r="K77" t="s">
        <v>390</v>
      </c>
      <c r="L77">
        <v>100</v>
      </c>
      <c r="M77" s="2">
        <v>15.8791666666511</v>
      </c>
      <c r="N77" s="2">
        <v>12.6840972900391</v>
      </c>
      <c r="O77" t="s">
        <v>1077</v>
      </c>
      <c r="P77" t="s">
        <v>1078</v>
      </c>
      <c r="Q77" t="s">
        <v>1079</v>
      </c>
      <c r="R77" t="s">
        <v>199</v>
      </c>
      <c r="S77" t="s">
        <v>1080</v>
      </c>
      <c r="T77" t="s">
        <v>1081</v>
      </c>
    </row>
    <row r="78" spans="2:20">
      <c r="J78" t="s">
        <v>358</v>
      </c>
      <c r="K78" t="s">
        <v>387</v>
      </c>
      <c r="L78">
        <v>101</v>
      </c>
      <c r="M78" s="2">
        <v>21.863611111126399</v>
      </c>
      <c r="N78" s="2">
        <v>13.2163038253784</v>
      </c>
      <c r="O78" t="s">
        <v>1082</v>
      </c>
      <c r="P78" t="s">
        <v>1083</v>
      </c>
      <c r="Q78" t="s">
        <v>1084</v>
      </c>
      <c r="R78" t="s">
        <v>199</v>
      </c>
      <c r="S78" t="s">
        <v>1085</v>
      </c>
      <c r="T78" t="s">
        <v>1086</v>
      </c>
    </row>
    <row r="79" spans="2:20">
      <c r="J79" t="s">
        <v>361</v>
      </c>
      <c r="K79" t="s">
        <v>381</v>
      </c>
      <c r="L79">
        <v>102</v>
      </c>
      <c r="M79" s="2">
        <v>31.747500000055901</v>
      </c>
      <c r="N79" s="2">
        <v>7.3404817581176802</v>
      </c>
      <c r="O79" t="s">
        <v>1087</v>
      </c>
      <c r="P79" t="s">
        <v>1088</v>
      </c>
      <c r="Q79" t="s">
        <v>1089</v>
      </c>
      <c r="R79" t="s">
        <v>199</v>
      </c>
      <c r="S79" t="s">
        <v>1090</v>
      </c>
      <c r="T79" t="s">
        <v>1091</v>
      </c>
    </row>
    <row r="80" spans="2:20">
      <c r="J80" t="s">
        <v>364</v>
      </c>
      <c r="K80" t="s">
        <v>378</v>
      </c>
      <c r="L80">
        <v>103</v>
      </c>
      <c r="M80" s="2">
        <v>1.7005555556388601</v>
      </c>
      <c r="N80" s="2">
        <v>1.4755744934082</v>
      </c>
      <c r="O80" t="s">
        <v>1092</v>
      </c>
      <c r="P80" t="s">
        <v>1093</v>
      </c>
      <c r="Q80" t="s">
        <v>1094</v>
      </c>
      <c r="R80" t="s">
        <v>199</v>
      </c>
      <c r="S80" t="s">
        <v>1095</v>
      </c>
      <c r="T80" t="s">
        <v>1096</v>
      </c>
    </row>
    <row r="81" spans="10:20">
      <c r="J81" t="s">
        <v>367</v>
      </c>
      <c r="K81" t="s">
        <v>375</v>
      </c>
      <c r="L81">
        <v>104</v>
      </c>
      <c r="M81" s="2">
        <v>17.730277777940501</v>
      </c>
      <c r="N81" s="2">
        <v>2.2450704574585001</v>
      </c>
      <c r="O81" t="s">
        <v>1097</v>
      </c>
      <c r="P81" t="s">
        <v>1098</v>
      </c>
      <c r="Q81" t="s">
        <v>1099</v>
      </c>
      <c r="R81" t="s">
        <v>199</v>
      </c>
      <c r="S81" t="s">
        <v>1100</v>
      </c>
      <c r="T81" t="s">
        <v>1101</v>
      </c>
    </row>
    <row r="82" spans="10:20">
      <c r="J82" t="s">
        <v>370</v>
      </c>
      <c r="K82" t="s">
        <v>372</v>
      </c>
      <c r="L82">
        <v>105</v>
      </c>
      <c r="M82" s="2">
        <v>4.6405555555829796</v>
      </c>
      <c r="N82" s="2">
        <v>6.8846721649169904</v>
      </c>
      <c r="O82" t="s">
        <v>1102</v>
      </c>
      <c r="P82" t="s">
        <v>1103</v>
      </c>
      <c r="Q82" t="s">
        <v>1104</v>
      </c>
      <c r="R82" t="s">
        <v>199</v>
      </c>
      <c r="S82" t="s">
        <v>1105</v>
      </c>
      <c r="T82" t="s">
        <v>1106</v>
      </c>
    </row>
    <row r="83" spans="10:20">
      <c r="J83" t="s">
        <v>373</v>
      </c>
      <c r="K83" t="s">
        <v>366</v>
      </c>
      <c r="L83">
        <v>106</v>
      </c>
      <c r="M83" s="2">
        <v>12.0988888887805</v>
      </c>
      <c r="N83" s="2">
        <v>0.35842132568359403</v>
      </c>
      <c r="O83" t="s">
        <v>1107</v>
      </c>
      <c r="P83" t="s">
        <v>801</v>
      </c>
      <c r="Q83" t="s">
        <v>1104</v>
      </c>
      <c r="R83" t="s">
        <v>199</v>
      </c>
      <c r="S83" t="s">
        <v>1105</v>
      </c>
      <c r="T83" t="s">
        <v>1106</v>
      </c>
    </row>
    <row r="84" spans="10:20">
      <c r="J84" t="s">
        <v>376</v>
      </c>
      <c r="K84" t="s">
        <v>363</v>
      </c>
      <c r="L84">
        <v>107</v>
      </c>
      <c r="M84" s="2">
        <v>23.9619444444543</v>
      </c>
      <c r="N84" s="2">
        <v>7.3171110153198198</v>
      </c>
      <c r="O84" t="s">
        <v>1108</v>
      </c>
      <c r="P84" t="s">
        <v>1109</v>
      </c>
      <c r="Q84" t="s">
        <v>1110</v>
      </c>
      <c r="R84" t="s">
        <v>199</v>
      </c>
      <c r="S84" t="s">
        <v>1111</v>
      </c>
      <c r="T84" t="s">
        <v>1112</v>
      </c>
    </row>
    <row r="85" spans="10:20">
      <c r="J85" t="s">
        <v>379</v>
      </c>
      <c r="K85" t="s">
        <v>354</v>
      </c>
      <c r="L85">
        <v>110</v>
      </c>
      <c r="M85" s="2">
        <v>4.6266666667652299</v>
      </c>
      <c r="N85" s="2">
        <v>9.1357059478759801</v>
      </c>
      <c r="O85" t="s">
        <v>1113</v>
      </c>
      <c r="P85" t="s">
        <v>1114</v>
      </c>
      <c r="Q85" t="s">
        <v>1115</v>
      </c>
      <c r="R85" t="s">
        <v>199</v>
      </c>
      <c r="S85" t="s">
        <v>1116</v>
      </c>
      <c r="T85" t="s">
        <v>1117</v>
      </c>
    </row>
    <row r="86" spans="10:20">
      <c r="J86" t="s">
        <v>382</v>
      </c>
      <c r="K86" t="s">
        <v>345</v>
      </c>
      <c r="L86">
        <v>112</v>
      </c>
      <c r="M86" s="2">
        <v>17.928055555501501</v>
      </c>
      <c r="N86" s="2">
        <v>3.6238861083984402</v>
      </c>
      <c r="O86" t="s">
        <v>1118</v>
      </c>
      <c r="P86" t="s">
        <v>1119</v>
      </c>
      <c r="Q86" t="s">
        <v>1120</v>
      </c>
      <c r="R86" t="s">
        <v>199</v>
      </c>
      <c r="S86" t="s">
        <v>1121</v>
      </c>
      <c r="T86" t="s">
        <v>1122</v>
      </c>
    </row>
    <row r="87" spans="10:20">
      <c r="J87" t="s">
        <v>385</v>
      </c>
      <c r="K87" t="s">
        <v>342</v>
      </c>
      <c r="L87">
        <v>113</v>
      </c>
      <c r="M87" s="2">
        <v>15.391111111210201</v>
      </c>
      <c r="N87" s="2">
        <v>12.7846326828003</v>
      </c>
      <c r="O87" t="s">
        <v>1123</v>
      </c>
      <c r="P87" t="s">
        <v>1124</v>
      </c>
      <c r="Q87" t="s">
        <v>1125</v>
      </c>
      <c r="R87" t="s">
        <v>199</v>
      </c>
      <c r="S87" t="s">
        <v>1126</v>
      </c>
      <c r="T87" t="s">
        <v>1127</v>
      </c>
    </row>
    <row r="88" spans="10:20">
      <c r="J88" t="s">
        <v>388</v>
      </c>
      <c r="K88" t="s">
        <v>339</v>
      </c>
      <c r="L88">
        <v>114</v>
      </c>
      <c r="M88" s="2">
        <v>4.9619444445124801</v>
      </c>
      <c r="N88" s="2">
        <v>8.1735782623290998</v>
      </c>
      <c r="O88" t="s">
        <v>1128</v>
      </c>
      <c r="P88" t="s">
        <v>1129</v>
      </c>
      <c r="Q88" t="s">
        <v>1130</v>
      </c>
      <c r="R88" t="s">
        <v>199</v>
      </c>
      <c r="S88" t="s">
        <v>1131</v>
      </c>
      <c r="T88" t="s">
        <v>1132</v>
      </c>
    </row>
    <row r="89" spans="10:20">
      <c r="J89" t="s">
        <v>391</v>
      </c>
      <c r="K89" t="s">
        <v>327</v>
      </c>
      <c r="L89">
        <v>117</v>
      </c>
      <c r="M89" s="2">
        <v>20.743333333404699</v>
      </c>
      <c r="N89" s="2">
        <v>8.35290622711182</v>
      </c>
      <c r="O89" t="s">
        <v>1133</v>
      </c>
      <c r="P89" t="s">
        <v>1134</v>
      </c>
      <c r="Q89" t="s">
        <v>1135</v>
      </c>
      <c r="R89" t="s">
        <v>199</v>
      </c>
      <c r="S89" t="s">
        <v>1136</v>
      </c>
      <c r="T89" t="s">
        <v>1137</v>
      </c>
    </row>
    <row r="90" spans="10:20">
      <c r="J90" t="s">
        <v>394</v>
      </c>
      <c r="K90" t="s">
        <v>321</v>
      </c>
      <c r="L90">
        <v>119</v>
      </c>
      <c r="M90" s="2">
        <v>25.464166666497501</v>
      </c>
      <c r="N90" s="2">
        <v>8.8327064514160192</v>
      </c>
      <c r="O90" t="s">
        <v>1138</v>
      </c>
      <c r="P90" t="s">
        <v>1139</v>
      </c>
      <c r="Q90" t="s">
        <v>1140</v>
      </c>
      <c r="R90" t="s">
        <v>199</v>
      </c>
      <c r="S90" t="s">
        <v>1141</v>
      </c>
      <c r="T90" t="s">
        <v>1142</v>
      </c>
    </row>
    <row r="91" spans="10:20">
      <c r="J91" t="s">
        <v>397</v>
      </c>
      <c r="K91" t="s">
        <v>318</v>
      </c>
      <c r="L91">
        <v>120</v>
      </c>
      <c r="M91" s="2">
        <v>3.4827777776517901</v>
      </c>
      <c r="N91" s="2">
        <v>1.9998464584350599</v>
      </c>
      <c r="O91" t="s">
        <v>1143</v>
      </c>
      <c r="P91" t="s">
        <v>1144</v>
      </c>
      <c r="Q91" t="s">
        <v>1145</v>
      </c>
      <c r="R91" t="s">
        <v>199</v>
      </c>
      <c r="S91" t="s">
        <v>1146</v>
      </c>
      <c r="T91" t="s">
        <v>1147</v>
      </c>
    </row>
    <row r="92" spans="10:20">
      <c r="J92" t="s">
        <v>400</v>
      </c>
      <c r="K92" t="s">
        <v>309</v>
      </c>
      <c r="L92">
        <v>122</v>
      </c>
      <c r="M92" s="2">
        <v>9.8788888888084294</v>
      </c>
      <c r="N92" s="2">
        <v>4.5425539016723597</v>
      </c>
      <c r="O92" t="s">
        <v>1148</v>
      </c>
      <c r="P92" t="s">
        <v>1149</v>
      </c>
      <c r="Q92" t="s">
        <v>1150</v>
      </c>
      <c r="R92" t="s">
        <v>199</v>
      </c>
      <c r="S92" t="s">
        <v>1151</v>
      </c>
      <c r="T92" t="s">
        <v>1152</v>
      </c>
    </row>
    <row r="93" spans="10:20">
      <c r="J93" t="s">
        <v>403</v>
      </c>
      <c r="K93" t="s">
        <v>303</v>
      </c>
      <c r="L93">
        <v>124</v>
      </c>
      <c r="M93" s="2">
        <v>30.4811111111194</v>
      </c>
      <c r="N93" s="2">
        <v>13.7556457519531</v>
      </c>
      <c r="O93" t="s">
        <v>1153</v>
      </c>
      <c r="P93" t="s">
        <v>1154</v>
      </c>
      <c r="Q93" t="s">
        <v>1155</v>
      </c>
      <c r="R93" t="s">
        <v>199</v>
      </c>
      <c r="S93" t="s">
        <v>1156</v>
      </c>
      <c r="T93" t="s">
        <v>1157</v>
      </c>
    </row>
    <row r="94" spans="10:20">
      <c r="J94" t="s">
        <v>406</v>
      </c>
      <c r="K94" t="s">
        <v>300</v>
      </c>
      <c r="L94">
        <v>125</v>
      </c>
      <c r="M94" s="2">
        <v>14.9044444444589</v>
      </c>
      <c r="N94" s="2">
        <v>6.3605451583862296</v>
      </c>
      <c r="O94" t="s">
        <v>1158</v>
      </c>
      <c r="P94" t="s">
        <v>1159</v>
      </c>
      <c r="Q94" t="s">
        <v>1160</v>
      </c>
      <c r="R94" t="s">
        <v>199</v>
      </c>
      <c r="S94" t="s">
        <v>1161</v>
      </c>
      <c r="T94" t="s">
        <v>1162</v>
      </c>
    </row>
    <row r="95" spans="10:20">
      <c r="J95" t="s">
        <v>409</v>
      </c>
      <c r="K95" t="s">
        <v>297</v>
      </c>
      <c r="L95">
        <v>126</v>
      </c>
      <c r="M95" s="2">
        <v>22.535833333327901</v>
      </c>
      <c r="N95" s="2">
        <v>1.84354591369629</v>
      </c>
      <c r="O95" t="s">
        <v>1163</v>
      </c>
      <c r="P95" t="s">
        <v>1164</v>
      </c>
      <c r="Q95" t="s">
        <v>1165</v>
      </c>
      <c r="R95" t="s">
        <v>199</v>
      </c>
      <c r="S95" t="s">
        <v>1166</v>
      </c>
      <c r="T95" t="s">
        <v>1167</v>
      </c>
    </row>
    <row r="96" spans="10:20">
      <c r="J96" t="s">
        <v>412</v>
      </c>
      <c r="K96" t="s">
        <v>294</v>
      </c>
      <c r="L96">
        <v>127</v>
      </c>
      <c r="M96" s="2">
        <v>3.7011111112078701</v>
      </c>
      <c r="N96" s="2">
        <v>5.6242494583129901</v>
      </c>
      <c r="O96" t="s">
        <v>1168</v>
      </c>
      <c r="P96" t="s">
        <v>1169</v>
      </c>
      <c r="Q96" t="s">
        <v>1170</v>
      </c>
      <c r="R96" t="s">
        <v>199</v>
      </c>
      <c r="S96" t="s">
        <v>1171</v>
      </c>
      <c r="T96" t="s">
        <v>1172</v>
      </c>
    </row>
    <row r="97" spans="10:20">
      <c r="J97" t="s">
        <v>415</v>
      </c>
      <c r="K97" t="s">
        <v>288</v>
      </c>
      <c r="L97">
        <v>128</v>
      </c>
      <c r="M97" s="2">
        <v>5.9252777777728598</v>
      </c>
      <c r="N97" s="2">
        <v>5.85870361328125</v>
      </c>
      <c r="O97" t="s">
        <v>1173</v>
      </c>
      <c r="P97" t="s">
        <v>1174</v>
      </c>
      <c r="Q97" t="s">
        <v>1175</v>
      </c>
      <c r="R97" t="s">
        <v>199</v>
      </c>
      <c r="S97" t="s">
        <v>1176</v>
      </c>
      <c r="T97" t="s">
        <v>1177</v>
      </c>
    </row>
    <row r="98" spans="10:20">
      <c r="J98" t="s">
        <v>418</v>
      </c>
      <c r="K98" t="s">
        <v>282</v>
      </c>
      <c r="L98">
        <v>130</v>
      </c>
      <c r="M98" s="2">
        <v>16.8180555555155</v>
      </c>
      <c r="N98" s="2">
        <v>7.3267736434936497</v>
      </c>
      <c r="O98" t="s">
        <v>1178</v>
      </c>
      <c r="P98" t="s">
        <v>1179</v>
      </c>
      <c r="Q98" t="s">
        <v>1180</v>
      </c>
      <c r="R98" t="s">
        <v>199</v>
      </c>
      <c r="S98" t="s">
        <v>1181</v>
      </c>
      <c r="T98" t="s">
        <v>1182</v>
      </c>
    </row>
    <row r="99" spans="10:20">
      <c r="J99" t="s">
        <v>421</v>
      </c>
      <c r="K99" t="s">
        <v>276</v>
      </c>
      <c r="L99">
        <v>131</v>
      </c>
      <c r="M99" s="2">
        <v>0.67777777783339799</v>
      </c>
      <c r="N99" s="2">
        <v>13.444573402404799</v>
      </c>
      <c r="O99" t="s">
        <v>1183</v>
      </c>
      <c r="P99" t="s">
        <v>1184</v>
      </c>
      <c r="Q99" t="s">
        <v>1185</v>
      </c>
      <c r="R99" t="s">
        <v>199</v>
      </c>
      <c r="S99" t="s">
        <v>1186</v>
      </c>
      <c r="T99" t="s">
        <v>1187</v>
      </c>
    </row>
    <row r="100" spans="10:20">
      <c r="J100" t="s">
        <v>424</v>
      </c>
      <c r="K100" t="s">
        <v>270</v>
      </c>
      <c r="L100">
        <v>133</v>
      </c>
      <c r="M100" s="2">
        <v>18.598611110996</v>
      </c>
      <c r="N100" s="2">
        <v>8.9430809020996094</v>
      </c>
      <c r="O100" t="s">
        <v>1188</v>
      </c>
      <c r="P100" t="s">
        <v>1189</v>
      </c>
      <c r="Q100" t="s">
        <v>1190</v>
      </c>
      <c r="R100" t="s">
        <v>199</v>
      </c>
      <c r="S100" t="s">
        <v>1191</v>
      </c>
      <c r="T100" t="s">
        <v>1192</v>
      </c>
    </row>
    <row r="101" spans="10:20">
      <c r="J101" t="s">
        <v>427</v>
      </c>
      <c r="K101" t="s">
        <v>255</v>
      </c>
      <c r="L101">
        <v>136</v>
      </c>
      <c r="M101" s="2">
        <v>31.274166666611599</v>
      </c>
      <c r="N101" s="2">
        <v>12.0694217681885</v>
      </c>
      <c r="O101" t="s">
        <v>1193</v>
      </c>
      <c r="P101" t="s">
        <v>1194</v>
      </c>
      <c r="Q101" t="s">
        <v>1195</v>
      </c>
      <c r="R101" t="s">
        <v>199</v>
      </c>
      <c r="S101" t="s">
        <v>1196</v>
      </c>
      <c r="T101" t="s">
        <v>1197</v>
      </c>
    </row>
    <row r="102" spans="10:20">
      <c r="J102" t="s">
        <v>430</v>
      </c>
      <c r="K102" t="s">
        <v>249</v>
      </c>
      <c r="L102">
        <v>137</v>
      </c>
      <c r="M102" s="2">
        <v>28.191111111023901</v>
      </c>
      <c r="N102" s="2">
        <v>4.1767053604126003</v>
      </c>
      <c r="O102" t="s">
        <v>1198</v>
      </c>
      <c r="P102" t="s">
        <v>1199</v>
      </c>
      <c r="Q102" t="s">
        <v>1200</v>
      </c>
      <c r="R102" t="s">
        <v>199</v>
      </c>
      <c r="S102" t="s">
        <v>1201</v>
      </c>
      <c r="T102" t="s">
        <v>1202</v>
      </c>
    </row>
    <row r="103" spans="10:20">
      <c r="J103" t="s">
        <v>433</v>
      </c>
      <c r="K103" t="s">
        <v>246</v>
      </c>
      <c r="L103">
        <v>138</v>
      </c>
      <c r="M103" s="2">
        <v>4.3330555556458403</v>
      </c>
      <c r="N103" s="2">
        <v>6.1813812255859402</v>
      </c>
      <c r="O103" t="s">
        <v>1203</v>
      </c>
      <c r="P103" t="s">
        <v>1204</v>
      </c>
      <c r="Q103" t="s">
        <v>1205</v>
      </c>
      <c r="R103" t="s">
        <v>199</v>
      </c>
      <c r="S103" t="s">
        <v>1206</v>
      </c>
      <c r="T103" t="s">
        <v>1207</v>
      </c>
    </row>
    <row r="104" spans="10:20">
      <c r="J104" t="s">
        <v>436</v>
      </c>
      <c r="K104" t="s">
        <v>243</v>
      </c>
      <c r="L104">
        <v>139</v>
      </c>
      <c r="M104" s="2">
        <v>10.268888888996999</v>
      </c>
      <c r="N104" s="2">
        <v>11.9300184249878</v>
      </c>
      <c r="O104" t="s">
        <v>1208</v>
      </c>
      <c r="P104" t="s">
        <v>1209</v>
      </c>
      <c r="Q104" t="s">
        <v>1210</v>
      </c>
      <c r="R104" t="s">
        <v>199</v>
      </c>
      <c r="S104" t="s">
        <v>1211</v>
      </c>
      <c r="T104" t="s">
        <v>1212</v>
      </c>
    </row>
    <row r="105" spans="10:20">
      <c r="J105" t="s">
        <v>439</v>
      </c>
      <c r="K105" t="s">
        <v>240</v>
      </c>
      <c r="L105">
        <v>140</v>
      </c>
      <c r="M105" s="2">
        <v>3.11000000004424</v>
      </c>
      <c r="N105" s="2">
        <v>2.9405460357665998</v>
      </c>
      <c r="O105" t="s">
        <v>1213</v>
      </c>
      <c r="P105" t="s">
        <v>1214</v>
      </c>
      <c r="Q105" t="s">
        <v>1215</v>
      </c>
      <c r="R105" t="s">
        <v>199</v>
      </c>
      <c r="S105" t="s">
        <v>1216</v>
      </c>
      <c r="T105" t="s">
        <v>1217</v>
      </c>
    </row>
    <row r="106" spans="10:20">
      <c r="J106" t="s">
        <v>442</v>
      </c>
      <c r="K106" t="s">
        <v>234</v>
      </c>
      <c r="L106">
        <v>141</v>
      </c>
      <c r="M106" s="2">
        <v>2.6766666666953798</v>
      </c>
      <c r="N106" s="2">
        <v>14.3145532608032</v>
      </c>
      <c r="O106" t="s">
        <v>1218</v>
      </c>
      <c r="P106" t="s">
        <v>1219</v>
      </c>
      <c r="Q106" t="s">
        <v>1220</v>
      </c>
      <c r="R106" t="s">
        <v>199</v>
      </c>
      <c r="S106" t="s">
        <v>1221</v>
      </c>
      <c r="T106" t="s">
        <v>1222</v>
      </c>
    </row>
    <row r="107" spans="10:20">
      <c r="J107" t="s">
        <v>445</v>
      </c>
      <c r="K107" t="s">
        <v>231</v>
      </c>
      <c r="L107">
        <v>142</v>
      </c>
      <c r="M107" s="2">
        <v>16.278611111221799</v>
      </c>
      <c r="N107" s="2">
        <v>6.7841949462890598</v>
      </c>
      <c r="O107" t="s">
        <v>1223</v>
      </c>
      <c r="P107" t="s">
        <v>1224</v>
      </c>
      <c r="Q107" t="s">
        <v>1225</v>
      </c>
      <c r="R107" t="s">
        <v>199</v>
      </c>
      <c r="S107" t="s">
        <v>1226</v>
      </c>
      <c r="T107" t="s">
        <v>1227</v>
      </c>
    </row>
    <row r="108" spans="10:20">
      <c r="J108" t="s">
        <v>448</v>
      </c>
      <c r="K108" t="s">
        <v>222</v>
      </c>
      <c r="L108">
        <v>144</v>
      </c>
      <c r="M108" s="2">
        <v>24.360277777828699</v>
      </c>
      <c r="N108" s="2">
        <v>10.5016994476318</v>
      </c>
      <c r="O108" t="s">
        <v>1228</v>
      </c>
      <c r="P108" t="s">
        <v>1229</v>
      </c>
      <c r="Q108" t="s">
        <v>1230</v>
      </c>
      <c r="R108" t="s">
        <v>199</v>
      </c>
      <c r="S108" t="s">
        <v>1231</v>
      </c>
      <c r="T108" t="s">
        <v>1232</v>
      </c>
    </row>
    <row r="109" spans="10:20">
      <c r="J109" t="s">
        <v>451</v>
      </c>
      <c r="K109" t="s">
        <v>213</v>
      </c>
      <c r="L109">
        <v>146</v>
      </c>
      <c r="M109" s="2">
        <v>30.773333333374499</v>
      </c>
      <c r="N109" s="2">
        <v>9.3583078384399396</v>
      </c>
      <c r="O109" t="s">
        <v>1233</v>
      </c>
      <c r="P109" t="s">
        <v>1234</v>
      </c>
      <c r="Q109" t="s">
        <v>1235</v>
      </c>
      <c r="R109" t="s">
        <v>199</v>
      </c>
      <c r="S109" t="s">
        <v>1236</v>
      </c>
      <c r="T109" t="s">
        <v>1237</v>
      </c>
    </row>
    <row r="110" spans="10:20">
      <c r="J110" t="s">
        <v>454</v>
      </c>
      <c r="K110" t="s">
        <v>210</v>
      </c>
      <c r="L110">
        <v>147</v>
      </c>
      <c r="M110" s="2">
        <v>3.4358333332347701</v>
      </c>
      <c r="N110" s="2">
        <v>10.494972229003899</v>
      </c>
      <c r="O110" t="s">
        <v>1238</v>
      </c>
      <c r="P110" t="s">
        <v>1239</v>
      </c>
      <c r="Q110" t="s">
        <v>1240</v>
      </c>
      <c r="R110" t="s">
        <v>199</v>
      </c>
      <c r="S110" t="s">
        <v>1241</v>
      </c>
      <c r="T110" t="s">
        <v>1242</v>
      </c>
    </row>
    <row r="111" spans="10:20">
      <c r="J111" t="s">
        <v>457</v>
      </c>
      <c r="K111" t="s">
        <v>207</v>
      </c>
      <c r="L111">
        <v>148</v>
      </c>
      <c r="M111" s="2">
        <v>29.544999999983698</v>
      </c>
      <c r="N111" s="2">
        <v>1.64183330535889</v>
      </c>
      <c r="O111" t="s">
        <v>1243</v>
      </c>
      <c r="P111" t="s">
        <v>801</v>
      </c>
      <c r="Q111" t="s">
        <v>1240</v>
      </c>
      <c r="R111" t="s">
        <v>199</v>
      </c>
      <c r="S111" t="s">
        <v>1241</v>
      </c>
      <c r="T111" t="s">
        <v>1242</v>
      </c>
    </row>
    <row r="112" spans="10:20">
      <c r="J112" t="s">
        <v>460</v>
      </c>
      <c r="K112" t="s">
        <v>204</v>
      </c>
      <c r="L112">
        <v>149</v>
      </c>
      <c r="M112" s="2">
        <v>30.823611111205501</v>
      </c>
      <c r="N112" s="2">
        <v>9.6315174102783203</v>
      </c>
      <c r="O112" t="s">
        <v>1244</v>
      </c>
      <c r="P112" t="s">
        <v>1245</v>
      </c>
      <c r="Q112" t="s">
        <v>1246</v>
      </c>
      <c r="R112" t="s">
        <v>199</v>
      </c>
      <c r="S112" t="s">
        <v>1247</v>
      </c>
      <c r="T112" t="s">
        <v>1248</v>
      </c>
    </row>
    <row r="113" spans="10:20">
      <c r="J113" t="s">
        <v>463</v>
      </c>
      <c r="K113" t="s">
        <v>203</v>
      </c>
      <c r="L113">
        <v>150</v>
      </c>
      <c r="M113" s="2">
        <v>9.2661111111519894</v>
      </c>
      <c r="N113" s="2">
        <v>9.2722978591918892</v>
      </c>
      <c r="O113" t="s">
        <v>1249</v>
      </c>
      <c r="P113" t="s">
        <v>1250</v>
      </c>
      <c r="Q113" t="s">
        <v>1251</v>
      </c>
      <c r="R113" t="s">
        <v>199</v>
      </c>
      <c r="S113" t="s">
        <v>1252</v>
      </c>
      <c r="T113" t="s">
        <v>1253</v>
      </c>
    </row>
    <row r="114" spans="10:20">
      <c r="J114" t="s">
        <v>466</v>
      </c>
      <c r="K114" t="s">
        <v>166</v>
      </c>
      <c r="L114">
        <v>151</v>
      </c>
      <c r="M114" s="2">
        <v>0.25000000011641499</v>
      </c>
      <c r="N114" s="2">
        <v>3</v>
      </c>
      <c r="O114" t="s">
        <v>1254</v>
      </c>
      <c r="P114" t="s">
        <v>1255</v>
      </c>
      <c r="Q114" t="s">
        <v>1256</v>
      </c>
      <c r="R114" t="s">
        <v>199</v>
      </c>
      <c r="S114" t="s">
        <v>1257</v>
      </c>
      <c r="T114" t="s">
        <v>1258</v>
      </c>
    </row>
    <row r="115" spans="10:20">
      <c r="J115" t="s">
        <v>469</v>
      </c>
      <c r="K115" t="s">
        <v>168</v>
      </c>
      <c r="L115">
        <v>152</v>
      </c>
      <c r="M115" s="2">
        <v>0.420833333395422</v>
      </c>
      <c r="N115" s="2">
        <v>2</v>
      </c>
      <c r="O115" t="s">
        <v>1259</v>
      </c>
      <c r="P115" t="s">
        <v>1260</v>
      </c>
      <c r="Q115" t="s">
        <v>1261</v>
      </c>
      <c r="R115" t="s">
        <v>199</v>
      </c>
      <c r="S115" t="s">
        <v>1262</v>
      </c>
      <c r="T115" t="s">
        <v>1263</v>
      </c>
    </row>
    <row r="116" spans="10:20">
      <c r="J116" t="s">
        <v>472</v>
      </c>
      <c r="K116" t="s">
        <v>163</v>
      </c>
      <c r="L116">
        <v>153</v>
      </c>
      <c r="M116" s="2">
        <v>0</v>
      </c>
      <c r="N116" s="2">
        <v>6</v>
      </c>
      <c r="O116" t="s">
        <v>1264</v>
      </c>
      <c r="P116" t="s">
        <v>1264</v>
      </c>
      <c r="Q116" t="s">
        <v>1265</v>
      </c>
      <c r="R116" t="s">
        <v>199</v>
      </c>
      <c r="S116" t="s">
        <v>1266</v>
      </c>
      <c r="T116" t="s">
        <v>1267</v>
      </c>
    </row>
    <row r="117" spans="10:20">
      <c r="J117" t="s">
        <v>475</v>
      </c>
      <c r="K117" t="s">
        <v>196</v>
      </c>
      <c r="L117">
        <v>154</v>
      </c>
      <c r="M117" s="2">
        <v>0</v>
      </c>
      <c r="N117" s="2">
        <v>0.25</v>
      </c>
      <c r="O117" t="s">
        <v>1268</v>
      </c>
      <c r="P117" t="s">
        <v>1268</v>
      </c>
      <c r="Q117" t="s">
        <v>1269</v>
      </c>
      <c r="R117" t="s">
        <v>199</v>
      </c>
      <c r="S117" t="s">
        <v>1270</v>
      </c>
      <c r="T117" t="s">
        <v>1271</v>
      </c>
    </row>
    <row r="118" spans="10:20">
      <c r="M118" s="2"/>
      <c r="N118" s="2"/>
    </row>
    <row r="119" spans="10:20">
      <c r="M119" s="2"/>
      <c r="N119" s="2"/>
    </row>
    <row r="120" spans="10:20">
      <c r="M120" s="2"/>
      <c r="N120" s="2"/>
    </row>
    <row r="121" spans="10:20">
      <c r="M121" s="2"/>
      <c r="N121" s="2"/>
    </row>
  </sheetData>
  <mergeCells count="2">
    <mergeCell ref="F15:H15"/>
    <mergeCell ref="F16:H16"/>
  </mergeCells>
  <conditionalFormatting sqref="D1:D1048576">
    <cfRule type="containsText" dxfId="30" priority="1" operator="containsText" text="No">
      <formula>NOT(ISERROR(SEARCH("No",D1)))</formula>
    </cfRule>
    <cfRule type="containsText" dxfId="29" priority="2" operator="containsText" text="Yes">
      <formula>NOT(ISERROR(SEARCH("Yes",D1)))</formula>
    </cfRule>
  </conditionalFormatting>
  <dataValidations count="3">
    <dataValidation type="list" allowBlank="1" showInputMessage="1" showErrorMessage="1" sqref="F16" xr:uid="{55CC776B-056F-45F3-83E6-A2F1EDF8631B}">
      <formula1>"Time,Date"</formula1>
    </dataValidation>
    <dataValidation type="list" allowBlank="1" showInputMessage="1" showErrorMessage="1" sqref="F15:H15" xr:uid="{CC973336-4889-488B-99A7-BDC85C4886DB}">
      <formula1>"Last, Last 100 days, All"</formula1>
    </dataValidation>
    <dataValidation type="list" allowBlank="1" showInputMessage="1" showErrorMessage="1" sqref="D19:D40" xr:uid="{F79E5331-9927-405D-8CFA-65C6785151D1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F21" sqref="F21"/>
    </sheetView>
  </sheetViews>
  <sheetFormatPr defaultColWidth="11.5546875" defaultRowHeight="14.4"/>
  <cols>
    <col min="1" max="1" width="17" customWidth="1"/>
    <col min="2" max="3" width="15.6640625" bestFit="1" customWidth="1"/>
    <col min="4" max="4" width="13.109375" bestFit="1" customWidth="1"/>
  </cols>
  <sheetData>
    <row r="1" spans="1:4">
      <c r="A1" s="10" t="s">
        <v>103</v>
      </c>
    </row>
    <row r="2" spans="1:4">
      <c r="A2" s="10"/>
    </row>
    <row r="3" spans="1:4">
      <c r="A3" t="s">
        <v>104</v>
      </c>
      <c r="B3" s="29">
        <v>44072</v>
      </c>
      <c r="C3" s="27"/>
      <c r="D3" s="27"/>
    </row>
    <row r="4" spans="1:4">
      <c r="A4" t="s">
        <v>105</v>
      </c>
      <c r="B4" s="29">
        <v>44073</v>
      </c>
      <c r="C4" s="27"/>
      <c r="D4" s="27"/>
    </row>
    <row r="5" spans="1:4">
      <c r="A5" t="s">
        <v>106</v>
      </c>
      <c r="B5" s="26" t="s">
        <v>128</v>
      </c>
      <c r="C5" s="27"/>
      <c r="D5" s="27"/>
    </row>
    <row r="6" spans="1:4" ht="27" customHeight="1"/>
    <row r="8" spans="1:4" ht="15" thickBot="1">
      <c r="A8" s="28" t="s">
        <v>108</v>
      </c>
      <c r="B8" s="28" t="s">
        <v>102</v>
      </c>
      <c r="C8" s="33" t="s">
        <v>101</v>
      </c>
      <c r="D8" s="28" t="s">
        <v>107</v>
      </c>
    </row>
    <row r="9" spans="1:4">
      <c r="A9" s="30" t="s">
        <v>126</v>
      </c>
      <c r="B9" s="31">
        <v>44072</v>
      </c>
      <c r="C9" s="31">
        <v>44073</v>
      </c>
      <c r="D9" s="32">
        <v>5.5555568542331501E-4</v>
      </c>
    </row>
    <row r="10" spans="1:4">
      <c r="A10" s="30" t="s">
        <v>127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30480</xdr:colOff>
                    <xdr:row>5</xdr:row>
                    <xdr:rowOff>60960</xdr:rowOff>
                  </from>
                  <to>
                    <xdr:col>1</xdr:col>
                    <xdr:colOff>312420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workbookViewId="0">
      <selection activeCell="B25" sqref="B25"/>
    </sheetView>
  </sheetViews>
  <sheetFormatPr defaultColWidth="11.5546875" defaultRowHeight="14.4"/>
  <cols>
    <col min="1" max="1" width="24.88671875" bestFit="1" customWidth="1"/>
    <col min="2" max="2" width="25.109375" bestFit="1" customWidth="1"/>
    <col min="3" max="4" width="25.109375" customWidth="1"/>
    <col min="5" max="5" width="23.6640625" bestFit="1" customWidth="1"/>
    <col min="6" max="6" width="20.33203125" bestFit="1" customWidth="1"/>
    <col min="7" max="7" width="19.44140625" bestFit="1" customWidth="1"/>
    <col min="8" max="8" width="19.6640625" bestFit="1" customWidth="1"/>
    <col min="9" max="9" width="25.88671875" bestFit="1" customWidth="1"/>
    <col min="10" max="10" width="26.109375" bestFit="1" customWidth="1"/>
  </cols>
  <sheetData>
    <row r="1" spans="1:10">
      <c r="A1" s="4" t="s">
        <v>24</v>
      </c>
    </row>
    <row r="2" spans="1:10">
      <c r="H2" s="25" t="s">
        <v>100</v>
      </c>
    </row>
    <row r="3" spans="1:10">
      <c r="A3" t="s">
        <v>14</v>
      </c>
      <c r="B3" s="2" t="s">
        <v>60</v>
      </c>
      <c r="C3" s="2" t="s">
        <v>86</v>
      </c>
      <c r="D3" s="2" t="s">
        <v>87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>
      <c r="A4" t="s">
        <v>18</v>
      </c>
      <c r="B4" s="12" t="s">
        <v>149</v>
      </c>
      <c r="C4" t="s">
        <v>151</v>
      </c>
      <c r="D4" t="s">
        <v>150</v>
      </c>
      <c r="E4" s="13" t="s">
        <v>82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>
      <c r="B5" s="12"/>
      <c r="E5" s="13"/>
      <c r="F5" s="13"/>
      <c r="G5" s="13"/>
      <c r="I5" s="2"/>
      <c r="J5" s="2"/>
    </row>
    <row r="6" spans="1:10">
      <c r="A6" t="s">
        <v>110</v>
      </c>
      <c r="B6" s="19" t="s">
        <v>109</v>
      </c>
      <c r="E6" s="13"/>
      <c r="F6" s="13"/>
      <c r="G6" s="13"/>
      <c r="I6" s="2"/>
      <c r="J6" s="2"/>
    </row>
    <row r="7" spans="1:10">
      <c r="B7" s="5"/>
      <c r="C7" s="5"/>
      <c r="D7" s="5"/>
      <c r="E7" s="5"/>
    </row>
    <row r="8" spans="1:10">
      <c r="A8" t="s">
        <v>78</v>
      </c>
      <c r="B8" s="19"/>
      <c r="C8" s="5"/>
      <c r="D8" s="5"/>
      <c r="E8" s="5"/>
    </row>
    <row r="9" spans="1:10">
      <c r="A9" t="s">
        <v>79</v>
      </c>
      <c r="B9" s="21"/>
      <c r="C9" s="5"/>
      <c r="D9" s="5"/>
    </row>
    <row r="10" spans="1:10">
      <c r="A10" t="s">
        <v>80</v>
      </c>
      <c r="B10" s="20"/>
      <c r="C10" s="5"/>
      <c r="D10" s="5"/>
      <c r="E10" s="5"/>
    </row>
    <row r="12" spans="1:10">
      <c r="B12" t="s">
        <v>89</v>
      </c>
      <c r="C12" t="s">
        <v>151</v>
      </c>
    </row>
    <row r="13" spans="1:10">
      <c r="B13" t="s">
        <v>88</v>
      </c>
      <c r="C13" t="s">
        <v>150</v>
      </c>
      <c r="D13" s="2"/>
      <c r="E13" s="2"/>
    </row>
    <row r="14" spans="1:10">
      <c r="B14" s="2" t="s">
        <v>90</v>
      </c>
      <c r="C14" s="12" t="s">
        <v>149</v>
      </c>
    </row>
    <row r="17" spans="1:2">
      <c r="A17" t="s">
        <v>83</v>
      </c>
    </row>
    <row r="19" spans="1:2">
      <c r="A19" s="10" t="s">
        <v>139</v>
      </c>
    </row>
    <row r="20" spans="1:2">
      <c r="A20" s="10"/>
    </row>
    <row r="21" spans="1:2">
      <c r="B21" t="s">
        <v>137</v>
      </c>
    </row>
    <row r="23" spans="1:2">
      <c r="B23" t="s">
        <v>138</v>
      </c>
    </row>
    <row r="25" spans="1:2">
      <c r="A25" t="s">
        <v>112</v>
      </c>
      <c r="B25" s="19" t="s">
        <v>140</v>
      </c>
    </row>
  </sheetData>
  <hyperlinks>
    <hyperlink ref="A1" location="Planning!A1" display="Go back to 'Planning' sheet" xr:uid="{D2DA156D-5AF1-4194-A684-BD3896B6772A}"/>
    <hyperlink ref="C14" r:id="rId1" xr:uid="{23D9C93D-2FA6-4A2B-9982-8DA77BB5DA44}"/>
    <hyperlink ref="B4" r:id="rId2" xr:uid="{EEB82F1A-065C-4155-89AB-AF4F0B272850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7620</xdr:colOff>
                    <xdr:row>15</xdr:row>
                    <xdr:rowOff>175260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30480</xdr:colOff>
                    <xdr:row>9</xdr:row>
                    <xdr:rowOff>175260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7620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7620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5" sqref="C15"/>
    </sheetView>
  </sheetViews>
  <sheetFormatPr defaultColWidth="11.5546875" defaultRowHeight="14.4"/>
  <cols>
    <col min="1" max="1" width="14.44140625" bestFit="1" customWidth="1"/>
    <col min="2" max="2" width="15.6640625" bestFit="1" customWidth="1"/>
    <col min="3" max="3" width="60.6640625" customWidth="1"/>
    <col min="4" max="4" width="28.6640625" customWidth="1"/>
    <col min="5" max="5" width="10.5546875" bestFit="1" customWidth="1"/>
  </cols>
  <sheetData>
    <row r="3" spans="1: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>
      <c r="B4" s="1"/>
    </row>
  </sheetData>
  <conditionalFormatting sqref="E4">
    <cfRule type="containsText" dxfId="28" priority="1" operator="containsText" text="Verbose">
      <formula>NOT(ISERROR(SEARCH("Verbose",E4)))</formula>
    </cfRule>
    <cfRule type="containsText" dxfId="27" priority="2" operator="containsText" text="Info">
      <formula>NOT(ISERROR(SEARCH("Info",E4)))</formula>
    </cfRule>
    <cfRule type="containsText" dxfId="26" priority="3" operator="containsText" text="Warning">
      <formula>NOT(ISERROR(SEARCH("Warning",E4)))</formula>
    </cfRule>
    <cfRule type="containsText" dxfId="25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135</v>
      </c>
      <c r="J1" t="s">
        <v>136</v>
      </c>
    </row>
    <row r="2" spans="1:13">
      <c r="A2" t="s">
        <v>3</v>
      </c>
      <c r="B2" t="s">
        <v>92</v>
      </c>
    </row>
    <row r="3" spans="1:13">
      <c r="A3" t="s">
        <v>77</v>
      </c>
      <c r="B3" s="2" t="s">
        <v>92</v>
      </c>
      <c r="C3" t="s">
        <v>4</v>
      </c>
    </row>
    <row r="4" spans="1:13">
      <c r="A4" t="s">
        <v>0</v>
      </c>
      <c r="B4" s="2">
        <f>SUM(TimeEntries[Time delta in h])</f>
        <v>0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91</v>
      </c>
    </row>
    <row r="8" spans="1:13">
      <c r="A8" t="s">
        <v>15</v>
      </c>
      <c r="B8" s="5" t="s">
        <v>92</v>
      </c>
    </row>
    <row r="9" spans="1:13">
      <c r="A9" t="s">
        <v>2</v>
      </c>
    </row>
    <row r="10" spans="1:13">
      <c r="A10" t="s">
        <v>46</v>
      </c>
      <c r="B10" t="s">
        <v>92</v>
      </c>
    </row>
    <row r="11" spans="1:13">
      <c r="A11" t="s">
        <v>5</v>
      </c>
      <c r="B11" s="2" t="e">
        <f>B3/SUM(TimeEntries[Time delta in h])</f>
        <v>#VALUE!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t="s">
        <v>92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134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53"/>
  <sheetViews>
    <sheetView topLeftCell="A8" workbookViewId="0">
      <selection activeCell="H29" sqref="H29"/>
    </sheetView>
  </sheetViews>
  <sheetFormatPr defaultColWidth="11.44140625" defaultRowHeight="14.4"/>
  <sheetData>
    <row r="1" spans="1:2">
      <c r="A1" s="10" t="s">
        <v>33</v>
      </c>
    </row>
    <row r="2" spans="1:2">
      <c r="A2" t="s">
        <v>19</v>
      </c>
    </row>
    <row r="3" spans="1:2">
      <c r="A3" t="s">
        <v>20</v>
      </c>
    </row>
    <row r="8" spans="1:2">
      <c r="A8" s="10" t="s">
        <v>148</v>
      </c>
    </row>
    <row r="9" spans="1:2">
      <c r="A9" t="s">
        <v>28</v>
      </c>
    </row>
    <row r="10" spans="1:2">
      <c r="B10" t="s">
        <v>153</v>
      </c>
    </row>
    <row r="11" spans="1:2">
      <c r="B11" t="s">
        <v>160</v>
      </c>
    </row>
    <row r="12" spans="1:2">
      <c r="B12" t="s">
        <v>156</v>
      </c>
    </row>
    <row r="13" spans="1:2">
      <c r="B13" t="s">
        <v>159</v>
      </c>
    </row>
    <row r="14" spans="1:2">
      <c r="B14" t="s">
        <v>157</v>
      </c>
    </row>
    <row r="15" spans="1:2">
      <c r="B15" t="s">
        <v>158</v>
      </c>
    </row>
    <row r="16" spans="1:2">
      <c r="B16" t="s">
        <v>162</v>
      </c>
    </row>
    <row r="17" spans="1:2">
      <c r="A17" t="s">
        <v>31</v>
      </c>
    </row>
    <row r="18" spans="1:2">
      <c r="B18" t="s">
        <v>152</v>
      </c>
    </row>
    <row r="19" spans="1:2">
      <c r="B19" t="s">
        <v>154</v>
      </c>
    </row>
    <row r="20" spans="1:2">
      <c r="B20" t="s">
        <v>155</v>
      </c>
    </row>
    <row r="21" spans="1:2">
      <c r="B21" t="s">
        <v>161</v>
      </c>
    </row>
    <row r="22" spans="1:2">
      <c r="A22" s="10" t="s">
        <v>118</v>
      </c>
    </row>
    <row r="23" spans="1:2">
      <c r="A23" s="6" t="s">
        <v>28</v>
      </c>
    </row>
    <row r="24" spans="1:2">
      <c r="B24" t="s">
        <v>119</v>
      </c>
    </row>
    <row r="25" spans="1:2">
      <c r="B25" t="s">
        <v>120</v>
      </c>
    </row>
    <row r="26" spans="1:2">
      <c r="B26" t="s">
        <v>123</v>
      </c>
    </row>
    <row r="27" spans="1:2">
      <c r="B27" t="s">
        <v>125</v>
      </c>
    </row>
    <row r="28" spans="1:2">
      <c r="A28" t="s">
        <v>31</v>
      </c>
    </row>
    <row r="29" spans="1:2">
      <c r="B29" t="s">
        <v>124</v>
      </c>
    </row>
    <row r="30" spans="1:2">
      <c r="A30" s="10" t="s">
        <v>121</v>
      </c>
    </row>
    <row r="31" spans="1:2">
      <c r="B31" t="s">
        <v>122</v>
      </c>
    </row>
    <row r="32" spans="1:2">
      <c r="A32" s="10" t="s">
        <v>95</v>
      </c>
      <c r="B32" s="10"/>
    </row>
    <row r="33" spans="1:3">
      <c r="B33" t="s">
        <v>99</v>
      </c>
    </row>
    <row r="34" spans="1:3">
      <c r="B34" t="s">
        <v>96</v>
      </c>
    </row>
    <row r="35" spans="1:3">
      <c r="B35" t="s">
        <v>97</v>
      </c>
    </row>
    <row r="36" spans="1:3">
      <c r="B36" t="s">
        <v>98</v>
      </c>
    </row>
    <row r="37" spans="1:3">
      <c r="A37" s="10" t="s">
        <v>56</v>
      </c>
    </row>
    <row r="38" spans="1:3">
      <c r="B38" t="s">
        <v>57</v>
      </c>
    </row>
    <row r="39" spans="1:3">
      <c r="A39" s="10" t="s">
        <v>50</v>
      </c>
    </row>
    <row r="40" spans="1:3">
      <c r="B40" t="s">
        <v>51</v>
      </c>
    </row>
    <row r="41" spans="1:3">
      <c r="C41" t="s">
        <v>52</v>
      </c>
    </row>
    <row r="42" spans="1:3">
      <c r="C42" t="s">
        <v>54</v>
      </c>
    </row>
    <row r="43" spans="1:3">
      <c r="B43" t="s">
        <v>55</v>
      </c>
    </row>
    <row r="44" spans="1:3">
      <c r="B44" t="s">
        <v>53</v>
      </c>
    </row>
    <row r="45" spans="1:3">
      <c r="A45" s="10" t="s">
        <v>45</v>
      </c>
    </row>
    <row r="46" spans="1:3">
      <c r="A46" t="s">
        <v>28</v>
      </c>
    </row>
    <row r="47" spans="1:3">
      <c r="B47" t="s">
        <v>44</v>
      </c>
    </row>
    <row r="48" spans="1:3">
      <c r="A48" s="10" t="s">
        <v>27</v>
      </c>
    </row>
    <row r="49" spans="1:2">
      <c r="A49" t="s">
        <v>28</v>
      </c>
    </row>
    <row r="50" spans="1:2">
      <c r="B50" t="s">
        <v>29</v>
      </c>
    </row>
    <row r="51" spans="1:2">
      <c r="B51" t="s">
        <v>30</v>
      </c>
    </row>
    <row r="52" spans="1:2">
      <c r="A52" t="s">
        <v>31</v>
      </c>
    </row>
    <row r="53" spans="1:2">
      <c r="B53" t="s">
        <v>32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FFC4-9349-445B-B36A-D5183E32E6E8}">
  <sheetPr codeName="Sheet2"/>
  <dimension ref="A1:C8"/>
  <sheetViews>
    <sheetView workbookViewId="0">
      <selection activeCell="F16" sqref="F16"/>
    </sheetView>
  </sheetViews>
  <sheetFormatPr defaultRowHeight="14.4"/>
  <sheetData>
    <row r="1" spans="1:3">
      <c r="A1" t="s">
        <v>22</v>
      </c>
      <c r="B1" t="s">
        <v>21</v>
      </c>
      <c r="C1" t="s">
        <v>1</v>
      </c>
    </row>
    <row r="2" spans="1:3">
      <c r="A2" t="s">
        <v>179</v>
      </c>
      <c r="B2" t="s">
        <v>174</v>
      </c>
      <c r="C2" t="s">
        <v>1274</v>
      </c>
    </row>
    <row r="3" spans="1:3">
      <c r="A3" t="s">
        <v>1275</v>
      </c>
      <c r="B3" t="s">
        <v>177</v>
      </c>
      <c r="C3" t="s">
        <v>132</v>
      </c>
    </row>
    <row r="4" spans="1:3">
      <c r="C4" t="s">
        <v>91</v>
      </c>
    </row>
    <row r="5" spans="1:3">
      <c r="C5" t="s">
        <v>130</v>
      </c>
    </row>
    <row r="6" spans="1:3">
      <c r="C6" t="s">
        <v>141</v>
      </c>
    </row>
    <row r="7" spans="1:3">
      <c r="C7" t="s">
        <v>131</v>
      </c>
    </row>
    <row r="8" spans="1:3">
      <c r="C8" t="s">
        <v>133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defaultColWidth="11.5546875" defaultRowHeight="14.4"/>
  <cols>
    <col min="1" max="1" width="14.6640625" customWidth="1"/>
    <col min="2" max="2" width="17.33203125" bestFit="1" customWidth="1"/>
    <col min="3" max="3" width="40.109375" customWidth="1"/>
    <col min="4" max="4" width="13.5546875" bestFit="1" customWidth="1"/>
    <col min="5" max="5" width="27.6640625" customWidth="1"/>
    <col min="6" max="6" width="25" bestFit="1" customWidth="1"/>
    <col min="7" max="7" width="24.88671875" bestFit="1" customWidth="1"/>
    <col min="8" max="8" width="14.6640625" customWidth="1"/>
    <col min="9" max="9" width="2.88671875" customWidth="1"/>
    <col min="10" max="10" width="22.109375" bestFit="1" customWidth="1"/>
    <col min="11" max="11" width="22.109375" customWidth="1"/>
    <col min="12" max="12" width="16.5546875" bestFit="1" customWidth="1"/>
    <col min="13" max="13" width="19" bestFit="1" customWidth="1"/>
    <col min="14" max="14" width="20.44140625" bestFit="1" customWidth="1"/>
    <col min="15" max="15" width="28.88671875" bestFit="1" customWidth="1"/>
    <col min="16" max="16" width="23.33203125" bestFit="1" customWidth="1"/>
    <col min="17" max="17" width="25.5546875" bestFit="1" customWidth="1"/>
    <col min="18" max="18" width="28" bestFit="1" customWidth="1"/>
    <col min="19" max="19" width="30" bestFit="1" customWidth="1"/>
    <col min="20" max="20" width="29.88671875" bestFit="1" customWidth="1"/>
  </cols>
  <sheetData>
    <row r="15" spans="5:8">
      <c r="E15" s="14" t="s">
        <v>74</v>
      </c>
      <c r="F15" s="56" t="s">
        <v>75</v>
      </c>
      <c r="G15" s="57"/>
      <c r="H15" s="57"/>
    </row>
    <row r="16" spans="5:8">
      <c r="E16" s="14" t="s">
        <v>73</v>
      </c>
      <c r="F16" s="56" t="s">
        <v>36</v>
      </c>
      <c r="G16" s="57"/>
      <c r="H16" s="57"/>
    </row>
    <row r="17" spans="1:20">
      <c r="J17" s="10" t="s">
        <v>43</v>
      </c>
      <c r="K17" s="10"/>
    </row>
    <row r="18" spans="1:20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>
      <c r="B19" s="17"/>
      <c r="D19" t="s">
        <v>26</v>
      </c>
      <c r="M19" s="2"/>
      <c r="N19" s="2"/>
    </row>
    <row r="20" spans="1:20">
      <c r="B20" s="17"/>
      <c r="M20" s="2"/>
      <c r="N20" s="2"/>
    </row>
    <row r="21" spans="1:20">
      <c r="B21" s="17"/>
      <c r="M21" s="2"/>
      <c r="N21" s="2"/>
    </row>
    <row r="22" spans="1:20">
      <c r="B22" s="17"/>
      <c r="M22" s="2"/>
      <c r="N22" s="2"/>
    </row>
    <row r="23" spans="1:20">
      <c r="B23" s="17"/>
      <c r="M23" s="2"/>
      <c r="N23" s="2"/>
    </row>
    <row r="24" spans="1:20">
      <c r="B24" s="17"/>
    </row>
    <row r="25" spans="1:20">
      <c r="B25" s="17"/>
    </row>
    <row r="26" spans="1:20">
      <c r="B26" s="17"/>
    </row>
    <row r="27" spans="1:20">
      <c r="B27" s="17"/>
    </row>
    <row r="28" spans="1:20">
      <c r="B28" s="17"/>
    </row>
    <row r="29" spans="1:20">
      <c r="B29" s="17"/>
    </row>
    <row r="30" spans="1:20">
      <c r="B30" s="17"/>
    </row>
    <row r="31" spans="1:20">
      <c r="B31" s="17"/>
    </row>
    <row r="32" spans="1:20">
      <c r="B32" s="17"/>
    </row>
    <row r="33" spans="2:2">
      <c r="B33" s="17"/>
    </row>
    <row r="34" spans="2:2">
      <c r="B34" s="17"/>
    </row>
    <row r="35" spans="2:2">
      <c r="B35" s="17"/>
    </row>
    <row r="36" spans="2:2">
      <c r="B36" s="17"/>
    </row>
    <row r="37" spans="2:2">
      <c r="B37" s="17"/>
    </row>
    <row r="38" spans="2:2">
      <c r="B38" s="17"/>
    </row>
    <row r="39" spans="2:2">
      <c r="B39" s="17"/>
    </row>
    <row r="40" spans="2:2">
      <c r="B40" s="17"/>
    </row>
    <row r="41" spans="2:2">
      <c r="B41" s="17"/>
    </row>
    <row r="42" spans="2:2">
      <c r="B42" s="17"/>
    </row>
    <row r="43" spans="2:2">
      <c r="B43" s="17"/>
    </row>
    <row r="46" spans="2:2">
      <c r="B46" s="17"/>
    </row>
    <row r="47" spans="2:2">
      <c r="B47" s="17"/>
    </row>
    <row r="48" spans="2:2">
      <c r="B48" s="17"/>
    </row>
  </sheetData>
  <mergeCells count="2">
    <mergeCell ref="F15:H15"/>
    <mergeCell ref="F16:H16"/>
  </mergeCells>
  <conditionalFormatting sqref="D1:D1048576">
    <cfRule type="containsText" dxfId="24" priority="1" operator="containsText" text="No">
      <formula>NOT(ISERROR(SEARCH("No",D1)))</formula>
    </cfRule>
    <cfRule type="containsText" dxfId="23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:D20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VSHEET_STOR_7E980E</vt:lpstr>
      <vt:lpstr>Planning</vt:lpstr>
      <vt:lpstr>t381A146FC75E43518</vt:lpstr>
      <vt:lpstr>tBCD0360FAB3310B45</vt:lpstr>
      <vt:lpstr>tD1214D54091AF6D30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 Weihsbach</cp:lastModifiedBy>
  <cp:revision/>
  <cp:lastPrinted>2019-05-10T22:09:49Z</cp:lastPrinted>
  <dcterms:created xsi:type="dcterms:W3CDTF">2019-04-11T19:18:12Z</dcterms:created>
  <dcterms:modified xsi:type="dcterms:W3CDTF">2020-12-04T19:47:46Z</dcterms:modified>
  <cp:category/>
  <cp:contentStatus/>
</cp:coreProperties>
</file>