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二叶-成本修改\成本修改\"/>
    </mc:Choice>
  </mc:AlternateContent>
  <bookViews>
    <workbookView xWindow="-12" yWindow="-12" windowWidth="15420" windowHeight="3972" activeTab="2"/>
  </bookViews>
  <sheets>
    <sheet name="三项费用分配" sheetId="1" r:id="rId1"/>
    <sheet name="辅助费用分配" sheetId="5" r:id="rId2"/>
    <sheet name="能源分配" sheetId="3" r:id="rId3"/>
    <sheet name="Sheet1" sheetId="6" r:id="rId4"/>
  </sheets>
  <definedNames>
    <definedName name="_xlnm.Print_Area" localSheetId="1">辅助费用分配!$A$308:$J$333</definedName>
    <definedName name="_xlnm.Print_Area" localSheetId="2">能源分配!$A$265:$J$286</definedName>
    <definedName name="_xlnm.Print_Area" localSheetId="0">三项费用分配!$A$4572:$F$4639</definedName>
  </definedNames>
  <calcPr calcId="152511"/>
</workbook>
</file>

<file path=xl/calcChain.xml><?xml version="1.0" encoding="utf-8"?>
<calcChain xmlns="http://schemas.openxmlformats.org/spreadsheetml/2006/main">
  <c r="E4154" i="1" l="1"/>
  <c r="C4154" i="1"/>
  <c r="B4638" i="1"/>
  <c r="E4638" i="1"/>
  <c r="D4638" i="1"/>
  <c r="C4638" i="1"/>
  <c r="B4569" i="1"/>
  <c r="C4536" i="1" s="1"/>
  <c r="D4536" i="1" s="1"/>
  <c r="E4569" i="1"/>
  <c r="D4569" i="1"/>
  <c r="C4569" i="1"/>
  <c r="B4380" i="1"/>
  <c r="C4312" i="1" s="1"/>
  <c r="D4312" i="1" s="1"/>
  <c r="E4380" i="1"/>
  <c r="D4380" i="1"/>
  <c r="C4380" i="1"/>
  <c r="B4301" i="1"/>
  <c r="B4304" i="1" s="1"/>
  <c r="C4295" i="1" s="1"/>
  <c r="D4295" i="1" s="1"/>
  <c r="E4295" i="1" s="1"/>
  <c r="E4304" i="1"/>
  <c r="D4304" i="1"/>
  <c r="C4304" i="1"/>
  <c r="B4240" i="1"/>
  <c r="B4239" i="1"/>
  <c r="F4245" i="1"/>
  <c r="E4246" i="1"/>
  <c r="E4241" i="1" s="1"/>
  <c r="D4246" i="1"/>
  <c r="D4241" i="1" s="1"/>
  <c r="C4246" i="1"/>
  <c r="C4241" i="1" s="1"/>
  <c r="B4256" i="1"/>
  <c r="B4254" i="1"/>
  <c r="E4263" i="1"/>
  <c r="E4260" i="1" s="1"/>
  <c r="D4264" i="1"/>
  <c r="C4264" i="1"/>
  <c r="F4264" i="1" s="1"/>
  <c r="B4280" i="1"/>
  <c r="B4277" i="1"/>
  <c r="B4276" i="1"/>
  <c r="B4275" i="1"/>
  <c r="B4273" i="1"/>
  <c r="B4272" i="1"/>
  <c r="E4282" i="1"/>
  <c r="D4282" i="1"/>
  <c r="F4282" i="1" s="1"/>
  <c r="D4472" i="1"/>
  <c r="B4472" i="1"/>
  <c r="E4472" i="1"/>
  <c r="E4471" i="1" s="1"/>
  <c r="C4472" i="1"/>
  <c r="D4507" i="1"/>
  <c r="D4511" i="1"/>
  <c r="D4513" i="1"/>
  <c r="D4515" i="1"/>
  <c r="C4517" i="1"/>
  <c r="F4486" i="1" s="1"/>
  <c r="B4517" i="1"/>
  <c r="E4517" i="1"/>
  <c r="D4517" i="1"/>
  <c r="E4536" i="1" l="1"/>
  <c r="F4380" i="1"/>
  <c r="G4517" i="1"/>
  <c r="D4509" i="1"/>
  <c r="C4263" i="1"/>
  <c r="C4260" i="1" s="1"/>
  <c r="B4246" i="1"/>
  <c r="D4240" i="1" s="1"/>
  <c r="C4301" i="1"/>
  <c r="D4301" i="1" s="1"/>
  <c r="E4301" i="1" s="1"/>
  <c r="E4312" i="1"/>
  <c r="F4304" i="1"/>
  <c r="F4295" i="1" s="1"/>
  <c r="F4569" i="1"/>
  <c r="E4486" i="1"/>
  <c r="D4484" i="1"/>
  <c r="D4505" i="1"/>
  <c r="D4503" i="1"/>
  <c r="D4501" i="1"/>
  <c r="D4499" i="1"/>
  <c r="D4497" i="1"/>
  <c r="D4495" i="1"/>
  <c r="D4493" i="1"/>
  <c r="D4491" i="1"/>
  <c r="D4489" i="1"/>
  <c r="D4487" i="1"/>
  <c r="D4485" i="1"/>
  <c r="E4501" i="1"/>
  <c r="E4499" i="1"/>
  <c r="E4497" i="1"/>
  <c r="E4495" i="1"/>
  <c r="E4493" i="1"/>
  <c r="E4491" i="1"/>
  <c r="E4489" i="1"/>
  <c r="E4487" i="1"/>
  <c r="E4485" i="1"/>
  <c r="F4501" i="1"/>
  <c r="F4499" i="1"/>
  <c r="F4497" i="1"/>
  <c r="F4495" i="1"/>
  <c r="F4493" i="1"/>
  <c r="F4491" i="1"/>
  <c r="F4489" i="1"/>
  <c r="F4487" i="1"/>
  <c r="F4485" i="1"/>
  <c r="E4469" i="1"/>
  <c r="E4467" i="1"/>
  <c r="E4465" i="1"/>
  <c r="E4463" i="1"/>
  <c r="E4461" i="1"/>
  <c r="E4459" i="1"/>
  <c r="E4457" i="1"/>
  <c r="E4455" i="1"/>
  <c r="E4453" i="1"/>
  <c r="E4451" i="1"/>
  <c r="D4471" i="1"/>
  <c r="D4470" i="1" s="1"/>
  <c r="E4470" i="1"/>
  <c r="E4404" i="1" s="1"/>
  <c r="C4239" i="1"/>
  <c r="D4516" i="1"/>
  <c r="D4514" i="1"/>
  <c r="D4512" i="1"/>
  <c r="D4510" i="1"/>
  <c r="D4508" i="1"/>
  <c r="D4506" i="1"/>
  <c r="D4504" i="1"/>
  <c r="D4502" i="1"/>
  <c r="D4500" i="1"/>
  <c r="D4498" i="1"/>
  <c r="D4496" i="1"/>
  <c r="D4494" i="1"/>
  <c r="D4492" i="1"/>
  <c r="D4490" i="1"/>
  <c r="D4488" i="1"/>
  <c r="D4486" i="1"/>
  <c r="G4486" i="1" s="1"/>
  <c r="E4484" i="1"/>
  <c r="E4500" i="1"/>
  <c r="E4498" i="1"/>
  <c r="E4496" i="1"/>
  <c r="E4494" i="1"/>
  <c r="E4492" i="1"/>
  <c r="E4490" i="1"/>
  <c r="E4488" i="1"/>
  <c r="F4484" i="1"/>
  <c r="F4500" i="1"/>
  <c r="F4498" i="1"/>
  <c r="F4496" i="1"/>
  <c r="F4494" i="1"/>
  <c r="F4492" i="1"/>
  <c r="F4490" i="1"/>
  <c r="F4488" i="1"/>
  <c r="G4472" i="1"/>
  <c r="E4468" i="1"/>
  <c r="E4466" i="1"/>
  <c r="E4464" i="1"/>
  <c r="E4462" i="1"/>
  <c r="E4460" i="1"/>
  <c r="E4458" i="1"/>
  <c r="E4456" i="1"/>
  <c r="E4454" i="1"/>
  <c r="E4452" i="1"/>
  <c r="C4471" i="1"/>
  <c r="G4471" i="1" s="1"/>
  <c r="F4301" i="1"/>
  <c r="D4263" i="1"/>
  <c r="D4260" i="1" s="1"/>
  <c r="F4246" i="1"/>
  <c r="C4293" i="1"/>
  <c r="D4293" i="1" s="1"/>
  <c r="E4293" i="1" s="1"/>
  <c r="F4293" i="1" s="1"/>
  <c r="C4302" i="1"/>
  <c r="D4302" i="1" s="1"/>
  <c r="E4302" i="1" s="1"/>
  <c r="C4300" i="1"/>
  <c r="D4300" i="1" s="1"/>
  <c r="E4300" i="1" s="1"/>
  <c r="C4298" i="1"/>
  <c r="D4298" i="1" s="1"/>
  <c r="E4298" i="1" s="1"/>
  <c r="F4298" i="1" s="1"/>
  <c r="C4296" i="1"/>
  <c r="D4296" i="1" s="1"/>
  <c r="E4296" i="1" s="1"/>
  <c r="F4296" i="1" s="1"/>
  <c r="C4294" i="1"/>
  <c r="D4294" i="1" s="1"/>
  <c r="E4294" i="1" s="1"/>
  <c r="C4310" i="1"/>
  <c r="D4310" i="1" s="1"/>
  <c r="E4310" i="1" s="1"/>
  <c r="C4336" i="1"/>
  <c r="D4336" i="1" s="1"/>
  <c r="E4336" i="1" s="1"/>
  <c r="F4336" i="1" s="1"/>
  <c r="C4334" i="1"/>
  <c r="D4334" i="1" s="1"/>
  <c r="E4334" i="1" s="1"/>
  <c r="F4334" i="1" s="1"/>
  <c r="C4332" i="1"/>
  <c r="D4332" i="1" s="1"/>
  <c r="E4332" i="1" s="1"/>
  <c r="C4330" i="1"/>
  <c r="D4330" i="1" s="1"/>
  <c r="E4330" i="1" s="1"/>
  <c r="C4328" i="1"/>
  <c r="D4328" i="1" s="1"/>
  <c r="E4328" i="1" s="1"/>
  <c r="C4311" i="1"/>
  <c r="D4311" i="1" s="1"/>
  <c r="E4311" i="1" s="1"/>
  <c r="F4311" i="1" s="1"/>
  <c r="C4534" i="1"/>
  <c r="D4534" i="1" s="1"/>
  <c r="E4534" i="1" s="1"/>
  <c r="C4557" i="1"/>
  <c r="D4557" i="1" s="1"/>
  <c r="E4557" i="1" s="1"/>
  <c r="C4555" i="1"/>
  <c r="D4555" i="1" s="1"/>
  <c r="E4555" i="1" s="1"/>
  <c r="F4555" i="1" s="1"/>
  <c r="C4553" i="1"/>
  <c r="D4553" i="1" s="1"/>
  <c r="E4553" i="1" s="1"/>
  <c r="F4553" i="1" s="1"/>
  <c r="C4551" i="1"/>
  <c r="D4551" i="1" s="1"/>
  <c r="E4551" i="1" s="1"/>
  <c r="C4549" i="1"/>
  <c r="D4549" i="1" s="1"/>
  <c r="E4549" i="1" s="1"/>
  <c r="C4548" i="1"/>
  <c r="D4548" i="1" s="1"/>
  <c r="E4548" i="1" s="1"/>
  <c r="C4547" i="1"/>
  <c r="D4547" i="1" s="1"/>
  <c r="E4547" i="1" s="1"/>
  <c r="F4547" i="1" s="1"/>
  <c r="C4546" i="1"/>
  <c r="D4546" i="1" s="1"/>
  <c r="E4546" i="1" s="1"/>
  <c r="C4545" i="1"/>
  <c r="D4545" i="1" s="1"/>
  <c r="E4545" i="1" s="1"/>
  <c r="C4543" i="1"/>
  <c r="D4543" i="1" s="1"/>
  <c r="E4543" i="1" s="1"/>
  <c r="F4543" i="1" s="1"/>
  <c r="C4541" i="1"/>
  <c r="D4541" i="1" s="1"/>
  <c r="E4541" i="1" s="1"/>
  <c r="F4541" i="1" s="1"/>
  <c r="C4539" i="1"/>
  <c r="D4539" i="1" s="1"/>
  <c r="E4539" i="1" s="1"/>
  <c r="C4537" i="1"/>
  <c r="D4537" i="1" s="1"/>
  <c r="E4537" i="1" s="1"/>
  <c r="C4535" i="1"/>
  <c r="D4535" i="1" s="1"/>
  <c r="E4535" i="1" s="1"/>
  <c r="F4638" i="1"/>
  <c r="D4637" i="1"/>
  <c r="D4635" i="1" s="1"/>
  <c r="B4282" i="1"/>
  <c r="B4264" i="1"/>
  <c r="F4241" i="1"/>
  <c r="C4299" i="1"/>
  <c r="D4299" i="1" s="1"/>
  <c r="E4299" i="1" s="1"/>
  <c r="C4297" i="1"/>
  <c r="D4297" i="1" s="1"/>
  <c r="E4297" i="1" s="1"/>
  <c r="C4357" i="1"/>
  <c r="D4357" i="1" s="1"/>
  <c r="E4357" i="1" s="1"/>
  <c r="C4356" i="1"/>
  <c r="D4356" i="1" s="1"/>
  <c r="E4356" i="1" s="1"/>
  <c r="F4356" i="1" s="1"/>
  <c r="C4355" i="1"/>
  <c r="D4355" i="1" s="1"/>
  <c r="E4355" i="1" s="1"/>
  <c r="C4354" i="1"/>
  <c r="D4354" i="1" s="1"/>
  <c r="E4354" i="1" s="1"/>
  <c r="C4353" i="1"/>
  <c r="D4353" i="1" s="1"/>
  <c r="E4353" i="1" s="1"/>
  <c r="F4353" i="1" s="1"/>
  <c r="C4352" i="1"/>
  <c r="D4352" i="1" s="1"/>
  <c r="E4352" i="1" s="1"/>
  <c r="F4352" i="1" s="1"/>
  <c r="C4351" i="1"/>
  <c r="D4351" i="1" s="1"/>
  <c r="E4351" i="1" s="1"/>
  <c r="C4350" i="1"/>
  <c r="D4350" i="1" s="1"/>
  <c r="E4350" i="1" s="1"/>
  <c r="C4349" i="1"/>
  <c r="D4349" i="1" s="1"/>
  <c r="E4349" i="1" s="1"/>
  <c r="C4348" i="1"/>
  <c r="D4348" i="1" s="1"/>
  <c r="E4348" i="1" s="1"/>
  <c r="F4348" i="1" s="1"/>
  <c r="C4347" i="1"/>
  <c r="D4347" i="1" s="1"/>
  <c r="E4347" i="1" s="1"/>
  <c r="C4346" i="1"/>
  <c r="D4346" i="1" s="1"/>
  <c r="E4346" i="1" s="1"/>
  <c r="C4345" i="1"/>
  <c r="D4345" i="1" s="1"/>
  <c r="E4345" i="1" s="1"/>
  <c r="F4345" i="1" s="1"/>
  <c r="C4344" i="1"/>
  <c r="D4344" i="1" s="1"/>
  <c r="E4344" i="1" s="1"/>
  <c r="F4344" i="1" s="1"/>
  <c r="C4343" i="1"/>
  <c r="D4343" i="1" s="1"/>
  <c r="E4343" i="1" s="1"/>
  <c r="C4342" i="1"/>
  <c r="D4342" i="1" s="1"/>
  <c r="E4342" i="1" s="1"/>
  <c r="C4341" i="1"/>
  <c r="D4341" i="1" s="1"/>
  <c r="E4341" i="1" s="1"/>
  <c r="C4340" i="1"/>
  <c r="D4340" i="1" s="1"/>
  <c r="E4340" i="1" s="1"/>
  <c r="F4340" i="1" s="1"/>
  <c r="C4339" i="1"/>
  <c r="D4339" i="1" s="1"/>
  <c r="E4339" i="1" s="1"/>
  <c r="C4338" i="1"/>
  <c r="D4338" i="1" s="1"/>
  <c r="E4338" i="1" s="1"/>
  <c r="C4337" i="1"/>
  <c r="D4337" i="1" s="1"/>
  <c r="E4337" i="1" s="1"/>
  <c r="F4337" i="1" s="1"/>
  <c r="C4335" i="1"/>
  <c r="D4335" i="1" s="1"/>
  <c r="E4335" i="1" s="1"/>
  <c r="F4335" i="1" s="1"/>
  <c r="C4333" i="1"/>
  <c r="D4333" i="1" s="1"/>
  <c r="E4333" i="1" s="1"/>
  <c r="C4331" i="1"/>
  <c r="D4331" i="1" s="1"/>
  <c r="E4331" i="1" s="1"/>
  <c r="C4329" i="1"/>
  <c r="D4329" i="1" s="1"/>
  <c r="E4329" i="1" s="1"/>
  <c r="C4327" i="1"/>
  <c r="D4327" i="1" s="1"/>
  <c r="E4327" i="1" s="1"/>
  <c r="F4327" i="1" s="1"/>
  <c r="C4326" i="1"/>
  <c r="D4326" i="1" s="1"/>
  <c r="E4326" i="1" s="1"/>
  <c r="C4325" i="1"/>
  <c r="D4325" i="1" s="1"/>
  <c r="E4325" i="1" s="1"/>
  <c r="F4325" i="1" s="1"/>
  <c r="C4324" i="1"/>
  <c r="D4324" i="1" s="1"/>
  <c r="E4324" i="1" s="1"/>
  <c r="F4324" i="1" s="1"/>
  <c r="C4323" i="1"/>
  <c r="D4323" i="1" s="1"/>
  <c r="E4323" i="1" s="1"/>
  <c r="F4323" i="1" s="1"/>
  <c r="C4322" i="1"/>
  <c r="D4322" i="1" s="1"/>
  <c r="E4322" i="1" s="1"/>
  <c r="C4321" i="1"/>
  <c r="D4321" i="1" s="1"/>
  <c r="E4321" i="1" s="1"/>
  <c r="C4320" i="1"/>
  <c r="D4320" i="1" s="1"/>
  <c r="E4320" i="1" s="1"/>
  <c r="C4319" i="1"/>
  <c r="D4319" i="1" s="1"/>
  <c r="E4319" i="1" s="1"/>
  <c r="F4319" i="1" s="1"/>
  <c r="C4318" i="1"/>
  <c r="D4318" i="1" s="1"/>
  <c r="E4318" i="1" s="1"/>
  <c r="C4317" i="1"/>
  <c r="D4317" i="1" s="1"/>
  <c r="E4317" i="1" s="1"/>
  <c r="F4317" i="1" s="1"/>
  <c r="C4316" i="1"/>
  <c r="D4316" i="1" s="1"/>
  <c r="E4316" i="1" s="1"/>
  <c r="F4316" i="1" s="1"/>
  <c r="C4315" i="1"/>
  <c r="D4315" i="1" s="1"/>
  <c r="E4315" i="1" s="1"/>
  <c r="F4315" i="1" s="1"/>
  <c r="C4314" i="1"/>
  <c r="D4314" i="1" s="1"/>
  <c r="E4314" i="1" s="1"/>
  <c r="C4313" i="1"/>
  <c r="D4313" i="1" s="1"/>
  <c r="E4313" i="1" s="1"/>
  <c r="C4556" i="1"/>
  <c r="D4556" i="1" s="1"/>
  <c r="E4556" i="1" s="1"/>
  <c r="C4554" i="1"/>
  <c r="D4554" i="1" s="1"/>
  <c r="E4554" i="1" s="1"/>
  <c r="F4554" i="1" s="1"/>
  <c r="C4552" i="1"/>
  <c r="D4552" i="1" s="1"/>
  <c r="E4552" i="1" s="1"/>
  <c r="C4550" i="1"/>
  <c r="D4550" i="1" s="1"/>
  <c r="E4550" i="1" s="1"/>
  <c r="F4550" i="1" s="1"/>
  <c r="C4544" i="1"/>
  <c r="D4544" i="1" s="1"/>
  <c r="E4544" i="1" s="1"/>
  <c r="F4544" i="1" s="1"/>
  <c r="C4542" i="1"/>
  <c r="D4542" i="1" s="1"/>
  <c r="E4542" i="1" s="1"/>
  <c r="F4542" i="1" s="1"/>
  <c r="C4540" i="1"/>
  <c r="D4540" i="1" s="1"/>
  <c r="E4540" i="1" s="1"/>
  <c r="C4538" i="1"/>
  <c r="D4538" i="1" s="1"/>
  <c r="E4538" i="1" s="1"/>
  <c r="C4637" i="1"/>
  <c r="E4637" i="1"/>
  <c r="E4635" i="1" s="1"/>
  <c r="D4239" i="1"/>
  <c r="C4240" i="1" l="1"/>
  <c r="F4338" i="1"/>
  <c r="F4346" i="1"/>
  <c r="F4354" i="1"/>
  <c r="F4545" i="1"/>
  <c r="F4557" i="1"/>
  <c r="F4310" i="1"/>
  <c r="F4263" i="1"/>
  <c r="F4260" i="1" s="1"/>
  <c r="E4239" i="1"/>
  <c r="F4239" i="1" s="1"/>
  <c r="F4552" i="1"/>
  <c r="F4318" i="1"/>
  <c r="F4326" i="1"/>
  <c r="F4339" i="1"/>
  <c r="F4347" i="1"/>
  <c r="F4355" i="1"/>
  <c r="F4546" i="1"/>
  <c r="F4534" i="1"/>
  <c r="F4294" i="1"/>
  <c r="D4254" i="1"/>
  <c r="F4556" i="1"/>
  <c r="F4329" i="1"/>
  <c r="F4341" i="1"/>
  <c r="F4357" i="1"/>
  <c r="F4548" i="1"/>
  <c r="F4536" i="1"/>
  <c r="F4538" i="1"/>
  <c r="F4313" i="1"/>
  <c r="F4321" i="1"/>
  <c r="F4331" i="1"/>
  <c r="F4342" i="1"/>
  <c r="F4350" i="1"/>
  <c r="F4297" i="1"/>
  <c r="F4537" i="1"/>
  <c r="F4549" i="1"/>
  <c r="F4330" i="1"/>
  <c r="F4300" i="1"/>
  <c r="F4312" i="1"/>
  <c r="E4240" i="1"/>
  <c r="F4637" i="1"/>
  <c r="F4320" i="1"/>
  <c r="F4349" i="1"/>
  <c r="F4535" i="1"/>
  <c r="F4328" i="1"/>
  <c r="F4540" i="1"/>
  <c r="F4314" i="1"/>
  <c r="F4322" i="1"/>
  <c r="F4333" i="1"/>
  <c r="F4343" i="1"/>
  <c r="F4351" i="1"/>
  <c r="F4299" i="1"/>
  <c r="F4539" i="1"/>
  <c r="F4551" i="1"/>
  <c r="F4332" i="1"/>
  <c r="F4302" i="1"/>
  <c r="G4484" i="1"/>
  <c r="D4616" i="1"/>
  <c r="D4612" i="1"/>
  <c r="D4608" i="1"/>
  <c r="D4604" i="1"/>
  <c r="D4600" i="1"/>
  <c r="D4596" i="1"/>
  <c r="D4592" i="1"/>
  <c r="D4588" i="1"/>
  <c r="D4584" i="1"/>
  <c r="D4580" i="1"/>
  <c r="D4576" i="1"/>
  <c r="D4617" i="1"/>
  <c r="D4613" i="1"/>
  <c r="D4609" i="1"/>
  <c r="D4605" i="1"/>
  <c r="D4601" i="1"/>
  <c r="D4597" i="1"/>
  <c r="D4593" i="1"/>
  <c r="D4589" i="1"/>
  <c r="D4585" i="1"/>
  <c r="D4581" i="1"/>
  <c r="D4577" i="1"/>
  <c r="D4575" i="1"/>
  <c r="D4614" i="1"/>
  <c r="D4610" i="1"/>
  <c r="D4606" i="1"/>
  <c r="D4602" i="1"/>
  <c r="D4598" i="1"/>
  <c r="D4594" i="1"/>
  <c r="D4590" i="1"/>
  <c r="D4586" i="1"/>
  <c r="D4582" i="1"/>
  <c r="D4578" i="1"/>
  <c r="D4615" i="1"/>
  <c r="D4611" i="1"/>
  <c r="D4607" i="1"/>
  <c r="D4603" i="1"/>
  <c r="D4599" i="1"/>
  <c r="D4595" i="1"/>
  <c r="D4591" i="1"/>
  <c r="D4587" i="1"/>
  <c r="D4583" i="1"/>
  <c r="D4579" i="1"/>
  <c r="E4617" i="1"/>
  <c r="E4613" i="1"/>
  <c r="E4609" i="1"/>
  <c r="E4605" i="1"/>
  <c r="E4601" i="1"/>
  <c r="E4597" i="1"/>
  <c r="E4593" i="1"/>
  <c r="E4589" i="1"/>
  <c r="E4585" i="1"/>
  <c r="E4581" i="1"/>
  <c r="E4577" i="1"/>
  <c r="E4575" i="1"/>
  <c r="E4614" i="1"/>
  <c r="E4610" i="1"/>
  <c r="E4606" i="1"/>
  <c r="E4602" i="1"/>
  <c r="E4598" i="1"/>
  <c r="E4594" i="1"/>
  <c r="E4590" i="1"/>
  <c r="E4586" i="1"/>
  <c r="E4582" i="1"/>
  <c r="E4578" i="1"/>
  <c r="E4615" i="1"/>
  <c r="E4611" i="1"/>
  <c r="E4607" i="1"/>
  <c r="E4603" i="1"/>
  <c r="E4599" i="1"/>
  <c r="E4595" i="1"/>
  <c r="E4591" i="1"/>
  <c r="E4587" i="1"/>
  <c r="E4583" i="1"/>
  <c r="E4579" i="1"/>
  <c r="E4616" i="1"/>
  <c r="E4612" i="1"/>
  <c r="E4608" i="1"/>
  <c r="E4604" i="1"/>
  <c r="E4600" i="1"/>
  <c r="E4596" i="1"/>
  <c r="E4592" i="1"/>
  <c r="E4588" i="1"/>
  <c r="E4584" i="1"/>
  <c r="E4580" i="1"/>
  <c r="E4576" i="1"/>
  <c r="D4404" i="1"/>
  <c r="D4408" i="1"/>
  <c r="D4412" i="1"/>
  <c r="D4416" i="1"/>
  <c r="D4420" i="1"/>
  <c r="D4424" i="1"/>
  <c r="D4428" i="1"/>
  <c r="D4432" i="1"/>
  <c r="D4436" i="1"/>
  <c r="D4440" i="1"/>
  <c r="D4444" i="1"/>
  <c r="D4448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06" i="1"/>
  <c r="D4410" i="1"/>
  <c r="D4414" i="1"/>
  <c r="D4418" i="1"/>
  <c r="D4422" i="1"/>
  <c r="D4426" i="1"/>
  <c r="D4430" i="1"/>
  <c r="D4434" i="1"/>
  <c r="D4438" i="1"/>
  <c r="D4442" i="1"/>
  <c r="D4446" i="1"/>
  <c r="D4450" i="1"/>
  <c r="D4407" i="1"/>
  <c r="D4411" i="1"/>
  <c r="D4415" i="1"/>
  <c r="D4419" i="1"/>
  <c r="D4423" i="1"/>
  <c r="D4427" i="1"/>
  <c r="D4431" i="1"/>
  <c r="D4435" i="1"/>
  <c r="D4439" i="1"/>
  <c r="D4443" i="1"/>
  <c r="D4447" i="1"/>
  <c r="D4403" i="1"/>
  <c r="E4274" i="1"/>
  <c r="E4278" i="1"/>
  <c r="D4279" i="1"/>
  <c r="C4274" i="1"/>
  <c r="C4276" i="1"/>
  <c r="C4278" i="1"/>
  <c r="C4280" i="1"/>
  <c r="E4279" i="1"/>
  <c r="D4274" i="1"/>
  <c r="D4278" i="1"/>
  <c r="C4279" i="1"/>
  <c r="E4273" i="1"/>
  <c r="E4277" i="1"/>
  <c r="D4276" i="1"/>
  <c r="C4273" i="1"/>
  <c r="C4277" i="1"/>
  <c r="E4276" i="1"/>
  <c r="G4490" i="1"/>
  <c r="G4494" i="1"/>
  <c r="G4498" i="1"/>
  <c r="D4275" i="1"/>
  <c r="G4487" i="1"/>
  <c r="G4491" i="1"/>
  <c r="G4495" i="1"/>
  <c r="G4499" i="1"/>
  <c r="E4403" i="1"/>
  <c r="E4447" i="1"/>
  <c r="E4443" i="1"/>
  <c r="E4439" i="1"/>
  <c r="E4435" i="1"/>
  <c r="E4431" i="1"/>
  <c r="E4427" i="1"/>
  <c r="E4423" i="1"/>
  <c r="E4419" i="1"/>
  <c r="E4415" i="1"/>
  <c r="E4411" i="1"/>
  <c r="E4407" i="1"/>
  <c r="E4450" i="1"/>
  <c r="E4446" i="1"/>
  <c r="E4442" i="1"/>
  <c r="E4438" i="1"/>
  <c r="E4434" i="1"/>
  <c r="E4430" i="1"/>
  <c r="E4426" i="1"/>
  <c r="E4422" i="1"/>
  <c r="E4418" i="1"/>
  <c r="E4414" i="1"/>
  <c r="E4410" i="1"/>
  <c r="E4406" i="1"/>
  <c r="E4255" i="1"/>
  <c r="D4256" i="1"/>
  <c r="D4258" i="1"/>
  <c r="C4256" i="1"/>
  <c r="D4255" i="1"/>
  <c r="D4257" i="1"/>
  <c r="D4259" i="1"/>
  <c r="C4255" i="1"/>
  <c r="F4635" i="1"/>
  <c r="C4254" i="1"/>
  <c r="E4275" i="1"/>
  <c r="E4272" i="1"/>
  <c r="D4280" i="1"/>
  <c r="C4275" i="1"/>
  <c r="C4272" i="1"/>
  <c r="C4635" i="1"/>
  <c r="E4256" i="1"/>
  <c r="E4280" i="1"/>
  <c r="D4273" i="1"/>
  <c r="G4470" i="1"/>
  <c r="G4488" i="1"/>
  <c r="G4492" i="1"/>
  <c r="G4496" i="1"/>
  <c r="G4500" i="1"/>
  <c r="E4254" i="1"/>
  <c r="D4277" i="1"/>
  <c r="D4272" i="1"/>
  <c r="G4485" i="1"/>
  <c r="G4489" i="1"/>
  <c r="G4493" i="1"/>
  <c r="G4497" i="1"/>
  <c r="G4501" i="1"/>
  <c r="E4449" i="1"/>
  <c r="E4445" i="1"/>
  <c r="E4441" i="1"/>
  <c r="E4437" i="1"/>
  <c r="E4433" i="1"/>
  <c r="E4429" i="1"/>
  <c r="E4425" i="1"/>
  <c r="E4421" i="1"/>
  <c r="E4417" i="1"/>
  <c r="E4413" i="1"/>
  <c r="E4409" i="1"/>
  <c r="E4405" i="1"/>
  <c r="E4448" i="1"/>
  <c r="E4444" i="1"/>
  <c r="E4440" i="1"/>
  <c r="E4436" i="1"/>
  <c r="E4432" i="1"/>
  <c r="E4428" i="1"/>
  <c r="E4424" i="1"/>
  <c r="E4420" i="1"/>
  <c r="E4416" i="1"/>
  <c r="E4412" i="1"/>
  <c r="E4408" i="1"/>
  <c r="C4470" i="1"/>
  <c r="F4255" i="1" l="1"/>
  <c r="F4275" i="1"/>
  <c r="F4256" i="1"/>
  <c r="F4240" i="1"/>
  <c r="F4254" i="1"/>
  <c r="F4279" i="1"/>
  <c r="C4404" i="1"/>
  <c r="G4404" i="1" s="1"/>
  <c r="C4408" i="1"/>
  <c r="G4408" i="1" s="1"/>
  <c r="C4412" i="1"/>
  <c r="G4412" i="1" s="1"/>
  <c r="C4416" i="1"/>
  <c r="G4416" i="1" s="1"/>
  <c r="C4420" i="1"/>
  <c r="G4420" i="1" s="1"/>
  <c r="C4424" i="1"/>
  <c r="G4424" i="1" s="1"/>
  <c r="C4427" i="1"/>
  <c r="G4427" i="1" s="1"/>
  <c r="C4405" i="1"/>
  <c r="G4405" i="1" s="1"/>
  <c r="C4409" i="1"/>
  <c r="G4409" i="1" s="1"/>
  <c r="C4413" i="1"/>
  <c r="G4413" i="1" s="1"/>
  <c r="C4417" i="1"/>
  <c r="G4417" i="1" s="1"/>
  <c r="C4421" i="1"/>
  <c r="G4421" i="1" s="1"/>
  <c r="C4426" i="1"/>
  <c r="G4426" i="1" s="1"/>
  <c r="C4429" i="1"/>
  <c r="G4429" i="1" s="1"/>
  <c r="C4448" i="1"/>
  <c r="G4448" i="1" s="1"/>
  <c r="C4444" i="1"/>
  <c r="G4444" i="1" s="1"/>
  <c r="C4440" i="1"/>
  <c r="G4440" i="1" s="1"/>
  <c r="C4436" i="1"/>
  <c r="G4436" i="1" s="1"/>
  <c r="C4449" i="1"/>
  <c r="G4449" i="1" s="1"/>
  <c r="C4445" i="1"/>
  <c r="G4445" i="1" s="1"/>
  <c r="C4441" i="1"/>
  <c r="G4441" i="1" s="1"/>
  <c r="C4437" i="1"/>
  <c r="G4437" i="1" s="1"/>
  <c r="C4433" i="1"/>
  <c r="G4433" i="1" s="1"/>
  <c r="C4406" i="1"/>
  <c r="G4406" i="1" s="1"/>
  <c r="C4410" i="1"/>
  <c r="G4410" i="1" s="1"/>
  <c r="C4414" i="1"/>
  <c r="G4414" i="1" s="1"/>
  <c r="C4418" i="1"/>
  <c r="G4418" i="1" s="1"/>
  <c r="C4422" i="1"/>
  <c r="G4422" i="1" s="1"/>
  <c r="C4425" i="1"/>
  <c r="G4425" i="1" s="1"/>
  <c r="C4430" i="1"/>
  <c r="G4430" i="1" s="1"/>
  <c r="C4407" i="1"/>
  <c r="G4407" i="1" s="1"/>
  <c r="C4411" i="1"/>
  <c r="G4411" i="1" s="1"/>
  <c r="C4415" i="1"/>
  <c r="G4415" i="1" s="1"/>
  <c r="C4419" i="1"/>
  <c r="G4419" i="1" s="1"/>
  <c r="C4423" i="1"/>
  <c r="G4423" i="1" s="1"/>
  <c r="C4428" i="1"/>
  <c r="G4428" i="1" s="1"/>
  <c r="C4431" i="1"/>
  <c r="G4431" i="1" s="1"/>
  <c r="C4450" i="1"/>
  <c r="G4450" i="1" s="1"/>
  <c r="C4446" i="1"/>
  <c r="G4446" i="1" s="1"/>
  <c r="C4442" i="1"/>
  <c r="G4442" i="1" s="1"/>
  <c r="C4438" i="1"/>
  <c r="G4438" i="1" s="1"/>
  <c r="C4434" i="1"/>
  <c r="G4434" i="1" s="1"/>
  <c r="C4403" i="1"/>
  <c r="G4403" i="1" s="1"/>
  <c r="C4447" i="1"/>
  <c r="G4447" i="1" s="1"/>
  <c r="C4443" i="1"/>
  <c r="G4443" i="1" s="1"/>
  <c r="C4439" i="1"/>
  <c r="G4439" i="1" s="1"/>
  <c r="C4435" i="1"/>
  <c r="G4435" i="1" s="1"/>
  <c r="C4432" i="1"/>
  <c r="G4432" i="1" s="1"/>
  <c r="C4575" i="1"/>
  <c r="F4575" i="1" s="1"/>
  <c r="C4614" i="1"/>
  <c r="F4614" i="1" s="1"/>
  <c r="C4610" i="1"/>
  <c r="F4610" i="1" s="1"/>
  <c r="C4606" i="1"/>
  <c r="F4606" i="1" s="1"/>
  <c r="C4602" i="1"/>
  <c r="F4602" i="1" s="1"/>
  <c r="C4598" i="1"/>
  <c r="F4598" i="1" s="1"/>
  <c r="C4594" i="1"/>
  <c r="F4594" i="1" s="1"/>
  <c r="C4590" i="1"/>
  <c r="F4590" i="1" s="1"/>
  <c r="C4586" i="1"/>
  <c r="F4586" i="1" s="1"/>
  <c r="C4582" i="1"/>
  <c r="F4582" i="1" s="1"/>
  <c r="C4578" i="1"/>
  <c r="F4578" i="1" s="1"/>
  <c r="C4615" i="1"/>
  <c r="F4615" i="1" s="1"/>
  <c r="C4611" i="1"/>
  <c r="F4611" i="1" s="1"/>
  <c r="C4607" i="1"/>
  <c r="F4607" i="1" s="1"/>
  <c r="C4603" i="1"/>
  <c r="F4603" i="1" s="1"/>
  <c r="C4599" i="1"/>
  <c r="F4599" i="1" s="1"/>
  <c r="C4595" i="1"/>
  <c r="F4595" i="1" s="1"/>
  <c r="C4591" i="1"/>
  <c r="F4591" i="1" s="1"/>
  <c r="C4587" i="1"/>
  <c r="F4587" i="1" s="1"/>
  <c r="C4583" i="1"/>
  <c r="F4583" i="1" s="1"/>
  <c r="C4579" i="1"/>
  <c r="F4579" i="1" s="1"/>
  <c r="C4616" i="1"/>
  <c r="F4616" i="1" s="1"/>
  <c r="C4612" i="1"/>
  <c r="F4612" i="1" s="1"/>
  <c r="C4608" i="1"/>
  <c r="F4608" i="1" s="1"/>
  <c r="C4604" i="1"/>
  <c r="F4604" i="1" s="1"/>
  <c r="C4600" i="1"/>
  <c r="F4600" i="1" s="1"/>
  <c r="C4596" i="1"/>
  <c r="F4596" i="1" s="1"/>
  <c r="C4592" i="1"/>
  <c r="F4592" i="1" s="1"/>
  <c r="C4588" i="1"/>
  <c r="F4588" i="1" s="1"/>
  <c r="C4584" i="1"/>
  <c r="F4584" i="1" s="1"/>
  <c r="C4580" i="1"/>
  <c r="F4580" i="1" s="1"/>
  <c r="C4576" i="1"/>
  <c r="F4576" i="1" s="1"/>
  <c r="C4617" i="1"/>
  <c r="F4617" i="1" s="1"/>
  <c r="C4613" i="1"/>
  <c r="F4613" i="1" s="1"/>
  <c r="C4609" i="1"/>
  <c r="F4609" i="1" s="1"/>
  <c r="C4605" i="1"/>
  <c r="F4605" i="1" s="1"/>
  <c r="C4601" i="1"/>
  <c r="F4601" i="1" s="1"/>
  <c r="C4597" i="1"/>
  <c r="F4597" i="1" s="1"/>
  <c r="C4593" i="1"/>
  <c r="F4593" i="1" s="1"/>
  <c r="C4589" i="1"/>
  <c r="F4589" i="1" s="1"/>
  <c r="C4585" i="1"/>
  <c r="F4585" i="1" s="1"/>
  <c r="C4581" i="1"/>
  <c r="F4581" i="1" s="1"/>
  <c r="C4577" i="1"/>
  <c r="F4577" i="1" s="1"/>
  <c r="F4273" i="1"/>
  <c r="F4280" i="1"/>
  <c r="F4276" i="1"/>
  <c r="F4272" i="1"/>
  <c r="F4277" i="1"/>
  <c r="F4278" i="1"/>
  <c r="F4274" i="1"/>
  <c r="D283" i="3"/>
  <c r="D282" i="3"/>
  <c r="D280" i="3"/>
  <c r="E280" i="3" s="1"/>
  <c r="D279" i="3"/>
  <c r="D278" i="3"/>
  <c r="D277" i="3"/>
  <c r="D276" i="3"/>
  <c r="E276" i="3" s="1"/>
  <c r="D275" i="3"/>
  <c r="D274" i="3"/>
  <c r="D273" i="3"/>
  <c r="D272" i="3"/>
  <c r="E272" i="3" s="1"/>
  <c r="D271" i="3"/>
  <c r="E271" i="3" s="1"/>
  <c r="D270" i="3"/>
  <c r="E270" i="3" s="1"/>
  <c r="D269" i="3"/>
  <c r="D268" i="3"/>
  <c r="E268" i="3" s="1"/>
  <c r="H277" i="3"/>
  <c r="I277" i="3" s="1"/>
  <c r="H275" i="3"/>
  <c r="H274" i="3"/>
  <c r="H273" i="3"/>
  <c r="I273" i="3" s="1"/>
  <c r="H272" i="3"/>
  <c r="H271" i="3"/>
  <c r="H269" i="3"/>
  <c r="I269" i="3" s="1"/>
  <c r="H268" i="3"/>
  <c r="F282" i="3"/>
  <c r="F277" i="3"/>
  <c r="F275" i="3"/>
  <c r="F274" i="3"/>
  <c r="G274" i="3" s="1"/>
  <c r="F273" i="3"/>
  <c r="F272" i="3"/>
  <c r="F271" i="3"/>
  <c r="G271" i="3" s="1"/>
  <c r="F270" i="3"/>
  <c r="G270" i="3" s="1"/>
  <c r="F269" i="3"/>
  <c r="F268" i="3"/>
  <c r="B283" i="3"/>
  <c r="B282" i="3"/>
  <c r="C282" i="3" s="1"/>
  <c r="B280" i="3"/>
  <c r="B279" i="3"/>
  <c r="B278" i="3"/>
  <c r="B277" i="3"/>
  <c r="C277" i="3" s="1"/>
  <c r="B275" i="3"/>
  <c r="B274" i="3"/>
  <c r="B273" i="3"/>
  <c r="C273" i="3" s="1"/>
  <c r="B272" i="3"/>
  <c r="C272" i="3" s="1"/>
  <c r="B271" i="3"/>
  <c r="B270" i="3"/>
  <c r="B269" i="3"/>
  <c r="C269" i="3" s="1"/>
  <c r="B268" i="3"/>
  <c r="C268" i="3" s="1"/>
  <c r="J333" i="5"/>
  <c r="D332" i="5"/>
  <c r="J332" i="5" s="1"/>
  <c r="D322" i="5"/>
  <c r="C328" i="5"/>
  <c r="D328" i="5" s="1"/>
  <c r="C329" i="5"/>
  <c r="D329" i="5" s="1"/>
  <c r="J329" i="5" s="1"/>
  <c r="C332" i="5"/>
  <c r="C322" i="5"/>
  <c r="E333" i="5"/>
  <c r="F318" i="5" s="1"/>
  <c r="G318" i="5" s="1"/>
  <c r="J318" i="5" s="1"/>
  <c r="B333" i="5"/>
  <c r="C333" i="5" s="1"/>
  <c r="I270" i="3"/>
  <c r="I271" i="3"/>
  <c r="I272" i="3"/>
  <c r="I274" i="3"/>
  <c r="I275" i="3"/>
  <c r="I276" i="3"/>
  <c r="I278" i="3"/>
  <c r="I279" i="3"/>
  <c r="I280" i="3"/>
  <c r="I281" i="3"/>
  <c r="I282" i="3"/>
  <c r="I283" i="3"/>
  <c r="I268" i="3"/>
  <c r="G269" i="3"/>
  <c r="G272" i="3"/>
  <c r="G273" i="3"/>
  <c r="G275" i="3"/>
  <c r="G276" i="3"/>
  <c r="G277" i="3"/>
  <c r="G278" i="3"/>
  <c r="G279" i="3"/>
  <c r="G280" i="3"/>
  <c r="G281" i="3"/>
  <c r="G282" i="3"/>
  <c r="G283" i="3"/>
  <c r="G268" i="3"/>
  <c r="E269" i="3"/>
  <c r="E273" i="3"/>
  <c r="E274" i="3"/>
  <c r="E275" i="3"/>
  <c r="E277" i="3"/>
  <c r="E278" i="3"/>
  <c r="E279" i="3"/>
  <c r="E281" i="3"/>
  <c r="E282" i="3"/>
  <c r="E283" i="3"/>
  <c r="C270" i="3"/>
  <c r="C271" i="3"/>
  <c r="C274" i="3"/>
  <c r="C275" i="3"/>
  <c r="C276" i="3"/>
  <c r="C278" i="3"/>
  <c r="C279" i="3"/>
  <c r="C280" i="3"/>
  <c r="C281" i="3"/>
  <c r="C283" i="3"/>
  <c r="J284" i="3"/>
  <c r="C4102" i="1"/>
  <c r="B4102" i="1"/>
  <c r="F4102" i="1"/>
  <c r="E4102" i="1"/>
  <c r="D4102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B3968" i="1"/>
  <c r="E3968" i="1"/>
  <c r="D3968" i="1"/>
  <c r="C3968" i="1"/>
  <c r="B3893" i="1"/>
  <c r="D3893" i="1"/>
  <c r="C3893" i="1"/>
  <c r="F3893" i="1" s="1"/>
  <c r="B4234" i="1"/>
  <c r="E4234" i="1"/>
  <c r="D4234" i="1"/>
  <c r="C4234" i="1"/>
  <c r="F4234" i="1" s="1"/>
  <c r="B4154" i="1"/>
  <c r="C4120" i="1" s="1"/>
  <c r="D4154" i="1"/>
  <c r="E4056" i="1"/>
  <c r="G4056" i="1" s="1"/>
  <c r="E4057" i="1"/>
  <c r="D4057" i="1"/>
  <c r="C4057" i="1"/>
  <c r="B3830" i="1"/>
  <c r="B3829" i="1"/>
  <c r="E3836" i="1"/>
  <c r="D3836" i="1"/>
  <c r="C3836" i="1"/>
  <c r="F3836" i="1" s="1"/>
  <c r="B3853" i="1"/>
  <c r="B3845" i="1"/>
  <c r="E3854" i="1"/>
  <c r="D3854" i="1"/>
  <c r="C3854" i="1"/>
  <c r="F3871" i="1"/>
  <c r="E3872" i="1"/>
  <c r="D3872" i="1"/>
  <c r="C3872" i="1"/>
  <c r="B3870" i="1"/>
  <c r="B3867" i="1"/>
  <c r="B3866" i="1"/>
  <c r="B3865" i="1"/>
  <c r="B3863" i="1"/>
  <c r="B3862" i="1"/>
  <c r="J260" i="3"/>
  <c r="I246" i="3"/>
  <c r="I252" i="3"/>
  <c r="I253" i="3"/>
  <c r="I254" i="3"/>
  <c r="I255" i="3"/>
  <c r="I256" i="3"/>
  <c r="I257" i="3"/>
  <c r="J257" i="3" s="1"/>
  <c r="I258" i="3"/>
  <c r="I259" i="3"/>
  <c r="G245" i="3"/>
  <c r="G248" i="3"/>
  <c r="G249" i="3"/>
  <c r="G252" i="3"/>
  <c r="G254" i="3"/>
  <c r="G255" i="3"/>
  <c r="G256" i="3"/>
  <c r="G257" i="3"/>
  <c r="G259" i="3"/>
  <c r="E245" i="3"/>
  <c r="E247" i="3"/>
  <c r="E249" i="3"/>
  <c r="E253" i="3"/>
  <c r="E255" i="3"/>
  <c r="E257" i="3"/>
  <c r="C252" i="3"/>
  <c r="C257" i="3"/>
  <c r="D259" i="3"/>
  <c r="E259" i="3" s="1"/>
  <c r="D258" i="3"/>
  <c r="E258" i="3" s="1"/>
  <c r="D257" i="3"/>
  <c r="D256" i="3"/>
  <c r="E256" i="3" s="1"/>
  <c r="D255" i="3"/>
  <c r="D254" i="3"/>
  <c r="E254" i="3" s="1"/>
  <c r="D253" i="3"/>
  <c r="D252" i="3"/>
  <c r="E252" i="3" s="1"/>
  <c r="J252" i="3" s="1"/>
  <c r="D251" i="3"/>
  <c r="E251" i="3" s="1"/>
  <c r="D250" i="3"/>
  <c r="E250" i="3" s="1"/>
  <c r="D249" i="3"/>
  <c r="D248" i="3"/>
  <c r="E248" i="3" s="1"/>
  <c r="D247" i="3"/>
  <c r="D246" i="3"/>
  <c r="E246" i="3" s="1"/>
  <c r="D245" i="3"/>
  <c r="D244" i="3"/>
  <c r="E244" i="3" s="1"/>
  <c r="F258" i="3"/>
  <c r="G258" i="3" s="1"/>
  <c r="F253" i="3"/>
  <c r="G253" i="3" s="1"/>
  <c r="F251" i="3"/>
  <c r="G251" i="3" s="1"/>
  <c r="F250" i="3"/>
  <c r="G250" i="3" s="1"/>
  <c r="F249" i="3"/>
  <c r="F248" i="3"/>
  <c r="F247" i="3"/>
  <c r="G247" i="3" s="1"/>
  <c r="F246" i="3"/>
  <c r="G246" i="3" s="1"/>
  <c r="F245" i="3"/>
  <c r="F244" i="3"/>
  <c r="G244" i="3" s="1"/>
  <c r="H257" i="3"/>
  <c r="H253" i="3"/>
  <c r="H251" i="3"/>
  <c r="I251" i="3" s="1"/>
  <c r="J246" i="3" l="1"/>
  <c r="J255" i="3"/>
  <c r="J254" i="3"/>
  <c r="F312" i="5"/>
  <c r="G312" i="5" s="1"/>
  <c r="J312" i="5" s="1"/>
  <c r="B284" i="3"/>
  <c r="F333" i="5"/>
  <c r="E3853" i="1"/>
  <c r="F328" i="5"/>
  <c r="G328" i="5" s="1"/>
  <c r="J328" i="5" s="1"/>
  <c r="F260" i="3"/>
  <c r="C330" i="5"/>
  <c r="D330" i="5" s="1"/>
  <c r="J330" i="5" s="1"/>
  <c r="F327" i="5"/>
  <c r="G327" i="5" s="1"/>
  <c r="J327" i="5" s="1"/>
  <c r="D260" i="3"/>
  <c r="F322" i="5"/>
  <c r="G322" i="5" s="1"/>
  <c r="J322" i="5" s="1"/>
  <c r="J274" i="3"/>
  <c r="F319" i="5"/>
  <c r="G319" i="5" s="1"/>
  <c r="J319" i="5" s="1"/>
  <c r="C327" i="5"/>
  <c r="D327" i="5" s="1"/>
  <c r="G4102" i="1"/>
  <c r="C326" i="5"/>
  <c r="D326" i="5" s="1"/>
  <c r="J326" i="5" s="1"/>
  <c r="D3845" i="1"/>
  <c r="C4172" i="1"/>
  <c r="F3968" i="1"/>
  <c r="E4071" i="1"/>
  <c r="F3872" i="1"/>
  <c r="F3854" i="1"/>
  <c r="D3853" i="1"/>
  <c r="G4057" i="1"/>
  <c r="E3984" i="1"/>
  <c r="G3984" i="1" s="1"/>
  <c r="F4154" i="1"/>
  <c r="F4071" i="1"/>
  <c r="J279" i="3"/>
  <c r="J276" i="3"/>
  <c r="J275" i="3"/>
  <c r="J270" i="3"/>
  <c r="J269" i="3"/>
  <c r="D284" i="3"/>
  <c r="J283" i="3"/>
  <c r="J282" i="3"/>
  <c r="J281" i="3"/>
  <c r="J280" i="3"/>
  <c r="J278" i="3"/>
  <c r="J277" i="3"/>
  <c r="J273" i="3"/>
  <c r="H284" i="3"/>
  <c r="J272" i="3"/>
  <c r="F284" i="3"/>
  <c r="J271" i="3"/>
  <c r="D4095" i="1"/>
  <c r="D4093" i="1"/>
  <c r="D4091" i="1"/>
  <c r="D4089" i="1"/>
  <c r="D4087" i="1"/>
  <c r="D4085" i="1"/>
  <c r="D4083" i="1"/>
  <c r="D4081" i="1"/>
  <c r="D4079" i="1"/>
  <c r="D4077" i="1"/>
  <c r="D4075" i="1"/>
  <c r="D4073" i="1"/>
  <c r="D4071" i="1"/>
  <c r="G4071" i="1" s="1"/>
  <c r="F4069" i="1"/>
  <c r="F4094" i="1"/>
  <c r="F4092" i="1"/>
  <c r="F4090" i="1"/>
  <c r="F4088" i="1"/>
  <c r="F4086" i="1"/>
  <c r="F4084" i="1"/>
  <c r="F4082" i="1"/>
  <c r="F4080" i="1"/>
  <c r="F4078" i="1"/>
  <c r="F4076" i="1"/>
  <c r="F4074" i="1"/>
  <c r="F4072" i="1"/>
  <c r="F4070" i="1"/>
  <c r="D4069" i="1"/>
  <c r="D4094" i="1"/>
  <c r="D4092" i="1"/>
  <c r="D4090" i="1"/>
  <c r="D4088" i="1"/>
  <c r="D4086" i="1"/>
  <c r="D4084" i="1"/>
  <c r="D4082" i="1"/>
  <c r="D4080" i="1"/>
  <c r="D4078" i="1"/>
  <c r="D4076" i="1"/>
  <c r="D4074" i="1"/>
  <c r="D4072" i="1"/>
  <c r="D4070" i="1"/>
  <c r="F4095" i="1"/>
  <c r="F4093" i="1"/>
  <c r="F4091" i="1"/>
  <c r="F4089" i="1"/>
  <c r="F4087" i="1"/>
  <c r="F4085" i="1"/>
  <c r="F4083" i="1"/>
  <c r="F4081" i="1"/>
  <c r="F4079" i="1"/>
  <c r="F4077" i="1"/>
  <c r="F4075" i="1"/>
  <c r="F4073" i="1"/>
  <c r="E4069" i="1"/>
  <c r="E4100" i="1"/>
  <c r="E4098" i="1"/>
  <c r="E4096" i="1"/>
  <c r="E4094" i="1"/>
  <c r="G4094" i="1" s="1"/>
  <c r="E4092" i="1"/>
  <c r="E4090" i="1"/>
  <c r="G4090" i="1" s="1"/>
  <c r="E4088" i="1"/>
  <c r="E4086" i="1"/>
  <c r="E4084" i="1"/>
  <c r="E4082" i="1"/>
  <c r="E4080" i="1"/>
  <c r="E4078" i="1"/>
  <c r="G4078" i="1" s="1"/>
  <c r="E4076" i="1"/>
  <c r="E4074" i="1"/>
  <c r="G4074" i="1" s="1"/>
  <c r="E4072" i="1"/>
  <c r="E4070" i="1"/>
  <c r="E4101" i="1"/>
  <c r="E4099" i="1"/>
  <c r="E4097" i="1"/>
  <c r="E4095" i="1"/>
  <c r="E4093" i="1"/>
  <c r="G4093" i="1" s="1"/>
  <c r="E4091" i="1"/>
  <c r="G4091" i="1" s="1"/>
  <c r="E4089" i="1"/>
  <c r="E4087" i="1"/>
  <c r="E4085" i="1"/>
  <c r="G4085" i="1" s="1"/>
  <c r="E4083" i="1"/>
  <c r="G4083" i="1" s="1"/>
  <c r="E4081" i="1"/>
  <c r="E4079" i="1"/>
  <c r="E4077" i="1"/>
  <c r="G4077" i="1" s="1"/>
  <c r="E4075" i="1"/>
  <c r="G4075" i="1" s="1"/>
  <c r="E4073" i="1"/>
  <c r="D4120" i="1"/>
  <c r="E4120" i="1" s="1"/>
  <c r="D4172" i="1"/>
  <c r="E4172" i="1" s="1"/>
  <c r="F4172" i="1" s="1"/>
  <c r="B3872" i="1"/>
  <c r="C3845" i="1"/>
  <c r="E3845" i="1"/>
  <c r="C3853" i="1"/>
  <c r="F3853" i="1" s="1"/>
  <c r="B3836" i="1"/>
  <c r="C3830" i="1" s="1"/>
  <c r="C4142" i="1"/>
  <c r="C4139" i="1"/>
  <c r="C4138" i="1"/>
  <c r="C4135" i="1"/>
  <c r="C4134" i="1"/>
  <c r="C4131" i="1"/>
  <c r="C4130" i="1"/>
  <c r="C4127" i="1"/>
  <c r="C4126" i="1"/>
  <c r="C4123" i="1"/>
  <c r="C4122" i="1"/>
  <c r="C4119" i="1"/>
  <c r="C4212" i="1"/>
  <c r="C4211" i="1"/>
  <c r="C4208" i="1"/>
  <c r="C4207" i="1"/>
  <c r="C4203" i="1"/>
  <c r="C4200" i="1"/>
  <c r="C4199" i="1"/>
  <c r="C4197" i="1"/>
  <c r="C4195" i="1"/>
  <c r="C4194" i="1"/>
  <c r="C4192" i="1"/>
  <c r="C4190" i="1"/>
  <c r="C4188" i="1"/>
  <c r="C4187" i="1"/>
  <c r="C4184" i="1"/>
  <c r="C4182" i="1"/>
  <c r="C4180" i="1"/>
  <c r="C4178" i="1"/>
  <c r="C4176" i="1"/>
  <c r="C4174" i="1"/>
  <c r="C4173" i="1"/>
  <c r="B3854" i="1"/>
  <c r="C4118" i="1"/>
  <c r="C4141" i="1"/>
  <c r="C4140" i="1"/>
  <c r="C4137" i="1"/>
  <c r="C4136" i="1"/>
  <c r="C4133" i="1"/>
  <c r="C4132" i="1"/>
  <c r="C4129" i="1"/>
  <c r="C4128" i="1"/>
  <c r="C4125" i="1"/>
  <c r="C4124" i="1"/>
  <c r="C4121" i="1"/>
  <c r="C4171" i="1"/>
  <c r="C4214" i="1"/>
  <c r="C4213" i="1"/>
  <c r="C4210" i="1"/>
  <c r="C4209" i="1"/>
  <c r="C4206" i="1"/>
  <c r="C4205" i="1"/>
  <c r="C4204" i="1"/>
  <c r="C4202" i="1"/>
  <c r="C4201" i="1"/>
  <c r="C4198" i="1"/>
  <c r="C4196" i="1"/>
  <c r="C4193" i="1"/>
  <c r="C4191" i="1"/>
  <c r="C4189" i="1"/>
  <c r="C4186" i="1"/>
  <c r="C4185" i="1"/>
  <c r="C4183" i="1"/>
  <c r="C4181" i="1"/>
  <c r="C4179" i="1"/>
  <c r="C4177" i="1"/>
  <c r="C4175" i="1"/>
  <c r="C3911" i="1"/>
  <c r="C3892" i="1"/>
  <c r="C3947" i="1"/>
  <c r="C3946" i="1"/>
  <c r="C3943" i="1"/>
  <c r="C3942" i="1"/>
  <c r="C3940" i="1"/>
  <c r="C3939" i="1"/>
  <c r="C3937" i="1"/>
  <c r="C3936" i="1"/>
  <c r="C3934" i="1"/>
  <c r="C3930" i="1"/>
  <c r="C3928" i="1"/>
  <c r="C3926" i="1"/>
  <c r="C3925" i="1"/>
  <c r="C3922" i="1"/>
  <c r="C3919" i="1"/>
  <c r="C3916" i="1"/>
  <c r="C3915" i="1"/>
  <c r="C3913" i="1"/>
  <c r="C3912" i="1"/>
  <c r="C3910" i="1"/>
  <c r="C3950" i="1"/>
  <c r="C3949" i="1"/>
  <c r="C3948" i="1"/>
  <c r="C3945" i="1"/>
  <c r="C3944" i="1"/>
  <c r="C3941" i="1"/>
  <c r="C3938" i="1"/>
  <c r="C3935" i="1"/>
  <c r="C3933" i="1"/>
  <c r="C3932" i="1"/>
  <c r="C3931" i="1"/>
  <c r="C3929" i="1"/>
  <c r="C3927" i="1"/>
  <c r="C3924" i="1"/>
  <c r="C3923" i="1"/>
  <c r="C3921" i="1"/>
  <c r="C3920" i="1"/>
  <c r="C3918" i="1"/>
  <c r="C3917" i="1"/>
  <c r="C3914" i="1"/>
  <c r="H250" i="3"/>
  <c r="I250" i="3" s="1"/>
  <c r="J250" i="3" s="1"/>
  <c r="H249" i="3"/>
  <c r="I249" i="3" s="1"/>
  <c r="J249" i="3" s="1"/>
  <c r="H248" i="3"/>
  <c r="I248" i="3" s="1"/>
  <c r="H247" i="3"/>
  <c r="I247" i="3" s="1"/>
  <c r="H245" i="3"/>
  <c r="I245" i="3" s="1"/>
  <c r="J245" i="3" s="1"/>
  <c r="H244" i="3"/>
  <c r="B259" i="3"/>
  <c r="C259" i="3" s="1"/>
  <c r="J259" i="3" s="1"/>
  <c r="B258" i="3"/>
  <c r="C258" i="3" s="1"/>
  <c r="J258" i="3" s="1"/>
  <c r="B256" i="3"/>
  <c r="C256" i="3" s="1"/>
  <c r="J256" i="3" s="1"/>
  <c r="B255" i="3"/>
  <c r="C255" i="3" s="1"/>
  <c r="B254" i="3"/>
  <c r="C254" i="3" s="1"/>
  <c r="B253" i="3"/>
  <c r="C253" i="3" s="1"/>
  <c r="J253" i="3" s="1"/>
  <c r="B251" i="3"/>
  <c r="C251" i="3" s="1"/>
  <c r="J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J304" i="5"/>
  <c r="J305" i="5"/>
  <c r="E305" i="5"/>
  <c r="F285" i="5" s="1"/>
  <c r="G285" i="5" s="1"/>
  <c r="J285" i="5" s="1"/>
  <c r="B305" i="5"/>
  <c r="C297" i="5" s="1"/>
  <c r="D297" i="5" s="1"/>
  <c r="J297" i="5" s="1"/>
  <c r="B3755" i="1"/>
  <c r="C3720" i="1" s="1"/>
  <c r="E3755" i="1"/>
  <c r="D3755" i="1"/>
  <c r="C3755" i="1"/>
  <c r="C3704" i="1"/>
  <c r="B3704" i="1"/>
  <c r="F3704" i="1"/>
  <c r="E3704" i="1"/>
  <c r="D3704" i="1"/>
  <c r="G3704" i="1" s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F3635" i="1"/>
  <c r="F3633" i="1"/>
  <c r="F3617" i="1"/>
  <c r="F3585" i="1"/>
  <c r="D3658" i="1"/>
  <c r="G3658" i="1" s="1"/>
  <c r="B3658" i="1"/>
  <c r="C3578" i="1" s="1"/>
  <c r="E3570" i="1"/>
  <c r="D3570" i="1"/>
  <c r="F3570" i="1" s="1"/>
  <c r="B3570" i="1"/>
  <c r="C3515" i="1" s="1"/>
  <c r="B3497" i="1"/>
  <c r="E3497" i="1"/>
  <c r="D3497" i="1"/>
  <c r="C3497" i="1"/>
  <c r="F3823" i="1"/>
  <c r="F3441" i="1"/>
  <c r="G4079" i="1" l="1"/>
  <c r="G4095" i="1"/>
  <c r="B260" i="3"/>
  <c r="G4081" i="1"/>
  <c r="I244" i="3"/>
  <c r="J244" i="3" s="1"/>
  <c r="H260" i="3"/>
  <c r="J247" i="3"/>
  <c r="G4087" i="1"/>
  <c r="G4070" i="1"/>
  <c r="G4086" i="1"/>
  <c r="G4069" i="1"/>
  <c r="G4082" i="1"/>
  <c r="J248" i="3"/>
  <c r="G4073" i="1"/>
  <c r="G4089" i="1"/>
  <c r="D3671" i="1"/>
  <c r="F3497" i="1"/>
  <c r="E3672" i="1"/>
  <c r="F3755" i="1"/>
  <c r="G4072" i="1"/>
  <c r="G4076" i="1"/>
  <c r="G4080" i="1"/>
  <c r="G4084" i="1"/>
  <c r="G4088" i="1"/>
  <c r="G4092" i="1"/>
  <c r="C305" i="5"/>
  <c r="C301" i="5"/>
  <c r="D301" i="5" s="1"/>
  <c r="J301" i="5" s="1"/>
  <c r="C298" i="5"/>
  <c r="D298" i="5" s="1"/>
  <c r="J298" i="5" s="1"/>
  <c r="F284" i="5"/>
  <c r="G284" i="5" s="1"/>
  <c r="J284" i="5" s="1"/>
  <c r="F300" i="5"/>
  <c r="G300" i="5" s="1"/>
  <c r="F293" i="5"/>
  <c r="G293" i="5" s="1"/>
  <c r="J293" i="5" s="1"/>
  <c r="F290" i="5"/>
  <c r="G290" i="5" s="1"/>
  <c r="J290" i="5" s="1"/>
  <c r="F288" i="5"/>
  <c r="G288" i="5" s="1"/>
  <c r="J288" i="5" s="1"/>
  <c r="C294" i="5"/>
  <c r="D294" i="5" s="1"/>
  <c r="C302" i="5"/>
  <c r="D302" i="5" s="1"/>
  <c r="J302" i="5" s="1"/>
  <c r="C300" i="5"/>
  <c r="D300" i="5" s="1"/>
  <c r="F305" i="5"/>
  <c r="F294" i="5"/>
  <c r="G294" i="5" s="1"/>
  <c r="J294" i="5" s="1"/>
  <c r="F291" i="5"/>
  <c r="G291" i="5" s="1"/>
  <c r="J291" i="5" s="1"/>
  <c r="F289" i="5"/>
  <c r="G289" i="5" s="1"/>
  <c r="J289" i="5" s="1"/>
  <c r="J268" i="3"/>
  <c r="D3578" i="1"/>
  <c r="E3578" i="1" s="1"/>
  <c r="D3720" i="1"/>
  <c r="E3720" i="1" s="1"/>
  <c r="D3830" i="1"/>
  <c r="E3830" i="1" s="1"/>
  <c r="D3515" i="1"/>
  <c r="E3515" i="1" s="1"/>
  <c r="D3914" i="1"/>
  <c r="E3914" i="1" s="1"/>
  <c r="D3918" i="1"/>
  <c r="E3918" i="1" s="1"/>
  <c r="D3921" i="1"/>
  <c r="E3921" i="1" s="1"/>
  <c r="D3924" i="1"/>
  <c r="E3924" i="1" s="1"/>
  <c r="D3929" i="1"/>
  <c r="E3929" i="1" s="1"/>
  <c r="D3932" i="1"/>
  <c r="E3932" i="1" s="1"/>
  <c r="D3935" i="1"/>
  <c r="E3935" i="1" s="1"/>
  <c r="D3941" i="1"/>
  <c r="E3941" i="1" s="1"/>
  <c r="D3945" i="1"/>
  <c r="E3945" i="1" s="1"/>
  <c r="D3949" i="1"/>
  <c r="E3949" i="1" s="1"/>
  <c r="D3913" i="1"/>
  <c r="E3913" i="1" s="1"/>
  <c r="D3916" i="1"/>
  <c r="E3916" i="1" s="1"/>
  <c r="D3922" i="1"/>
  <c r="E3922" i="1" s="1"/>
  <c r="D3926" i="1"/>
  <c r="E3926" i="1" s="1"/>
  <c r="D3930" i="1"/>
  <c r="E3930" i="1" s="1"/>
  <c r="D3936" i="1"/>
  <c r="E3936" i="1" s="1"/>
  <c r="D3939" i="1"/>
  <c r="E3939" i="1" s="1"/>
  <c r="D3942" i="1"/>
  <c r="E3942" i="1" s="1"/>
  <c r="D3946" i="1"/>
  <c r="E3946" i="1" s="1"/>
  <c r="D3911" i="1"/>
  <c r="E3911" i="1" s="1"/>
  <c r="D4177" i="1"/>
  <c r="E4177" i="1" s="1"/>
  <c r="D4181" i="1"/>
  <c r="E4181" i="1" s="1"/>
  <c r="F4185" i="1"/>
  <c r="D4185" i="1"/>
  <c r="E4185" i="1" s="1"/>
  <c r="D4189" i="1"/>
  <c r="E4189" i="1" s="1"/>
  <c r="D4193" i="1"/>
  <c r="E4193" i="1" s="1"/>
  <c r="D4198" i="1"/>
  <c r="E4198" i="1" s="1"/>
  <c r="D4202" i="1"/>
  <c r="E4202" i="1" s="1"/>
  <c r="D4205" i="1"/>
  <c r="E4205" i="1" s="1"/>
  <c r="D4209" i="1"/>
  <c r="E4209" i="1" s="1"/>
  <c r="D4213" i="1"/>
  <c r="E4213" i="1" s="1"/>
  <c r="D4171" i="1"/>
  <c r="E4171" i="1" s="1"/>
  <c r="D4124" i="1"/>
  <c r="E4124" i="1" s="1"/>
  <c r="D4128" i="1"/>
  <c r="E4128" i="1" s="1"/>
  <c r="D4132" i="1"/>
  <c r="E4132" i="1" s="1"/>
  <c r="D4136" i="1"/>
  <c r="E4136" i="1" s="1"/>
  <c r="D4140" i="1"/>
  <c r="E4140" i="1" s="1"/>
  <c r="D4118" i="1"/>
  <c r="E4118" i="1" s="1"/>
  <c r="D4174" i="1"/>
  <c r="E4174" i="1" s="1"/>
  <c r="D4178" i="1"/>
  <c r="E4178" i="1" s="1"/>
  <c r="D4182" i="1"/>
  <c r="E4182" i="1" s="1"/>
  <c r="D4187" i="1"/>
  <c r="E4187" i="1" s="1"/>
  <c r="D4190" i="1"/>
  <c r="E4190" i="1" s="1"/>
  <c r="D4194" i="1"/>
  <c r="E4194" i="1" s="1"/>
  <c r="D4197" i="1"/>
  <c r="E4197" i="1" s="1"/>
  <c r="D4200" i="1"/>
  <c r="E4200" i="1" s="1"/>
  <c r="D4207" i="1"/>
  <c r="E4207" i="1" s="1"/>
  <c r="D4211" i="1"/>
  <c r="E4211" i="1" s="1"/>
  <c r="D4119" i="1"/>
  <c r="E4119" i="1" s="1"/>
  <c r="D4123" i="1"/>
  <c r="E4123" i="1" s="1"/>
  <c r="D4127" i="1"/>
  <c r="E4127" i="1" s="1"/>
  <c r="D4131" i="1"/>
  <c r="E4131" i="1" s="1"/>
  <c r="D4135" i="1"/>
  <c r="E4135" i="1" s="1"/>
  <c r="D4139" i="1"/>
  <c r="E4139" i="1" s="1"/>
  <c r="C3864" i="1"/>
  <c r="C3868" i="1"/>
  <c r="C3869" i="1"/>
  <c r="C3514" i="1"/>
  <c r="C3551" i="1"/>
  <c r="C3548" i="1"/>
  <c r="C3547" i="1"/>
  <c r="C3544" i="1"/>
  <c r="C3543" i="1"/>
  <c r="C3541" i="1"/>
  <c r="C3540" i="1"/>
  <c r="C3538" i="1"/>
  <c r="C3535" i="1"/>
  <c r="C3533" i="1"/>
  <c r="C3531" i="1"/>
  <c r="C3530" i="1"/>
  <c r="C3527" i="1"/>
  <c r="C3526" i="1"/>
  <c r="C3523" i="1"/>
  <c r="C3521" i="1"/>
  <c r="C3520" i="1"/>
  <c r="C3517" i="1"/>
  <c r="C3516" i="1"/>
  <c r="C3633" i="1"/>
  <c r="C3632" i="1"/>
  <c r="C3629" i="1"/>
  <c r="C3628" i="1"/>
  <c r="C3625" i="1"/>
  <c r="C3624" i="1"/>
  <c r="C3621" i="1"/>
  <c r="C3620" i="1"/>
  <c r="C3617" i="1"/>
  <c r="C3616" i="1"/>
  <c r="C3613" i="1"/>
  <c r="C3612" i="1"/>
  <c r="C3609" i="1"/>
  <c r="C3608" i="1"/>
  <c r="C3605" i="1"/>
  <c r="C3604" i="1"/>
  <c r="C3601" i="1"/>
  <c r="C3600" i="1"/>
  <c r="C3597" i="1"/>
  <c r="C3596" i="1"/>
  <c r="C3593" i="1"/>
  <c r="C3592" i="1"/>
  <c r="C3589" i="1"/>
  <c r="C3588" i="1"/>
  <c r="C3585" i="1"/>
  <c r="C3584" i="1"/>
  <c r="C3581" i="1"/>
  <c r="C3580" i="1"/>
  <c r="C3577" i="1"/>
  <c r="E3670" i="1"/>
  <c r="F3692" i="1"/>
  <c r="D3692" i="1"/>
  <c r="E3691" i="1"/>
  <c r="F3690" i="1"/>
  <c r="D3690" i="1"/>
  <c r="E3689" i="1"/>
  <c r="F3688" i="1"/>
  <c r="D3688" i="1"/>
  <c r="E3687" i="1"/>
  <c r="F3686" i="1"/>
  <c r="D3686" i="1"/>
  <c r="E3685" i="1"/>
  <c r="F3684" i="1"/>
  <c r="D3684" i="1"/>
  <c r="E3683" i="1"/>
  <c r="F3682" i="1"/>
  <c r="D3682" i="1"/>
  <c r="E3681" i="1"/>
  <c r="F3680" i="1"/>
  <c r="D3680" i="1"/>
  <c r="E3679" i="1"/>
  <c r="F3678" i="1"/>
  <c r="D3678" i="1"/>
  <c r="E3677" i="1"/>
  <c r="F3676" i="1"/>
  <c r="D3676" i="1"/>
  <c r="E3675" i="1"/>
  <c r="F3674" i="1"/>
  <c r="D3674" i="1"/>
  <c r="E3673" i="1"/>
  <c r="F3672" i="1"/>
  <c r="D3672" i="1"/>
  <c r="E3671" i="1"/>
  <c r="C3718" i="1"/>
  <c r="C3741" i="1"/>
  <c r="C3740" i="1"/>
  <c r="C3738" i="1"/>
  <c r="C3734" i="1"/>
  <c r="C3733" i="1"/>
  <c r="C3730" i="1"/>
  <c r="C3728" i="1"/>
  <c r="C3727" i="1"/>
  <c r="C3725" i="1"/>
  <c r="C3723" i="1"/>
  <c r="C3722" i="1"/>
  <c r="C3719" i="1"/>
  <c r="C3867" i="1"/>
  <c r="C3862" i="1"/>
  <c r="C3870" i="1"/>
  <c r="C3863" i="1"/>
  <c r="F4120" i="1"/>
  <c r="D3917" i="1"/>
  <c r="E3917" i="1" s="1"/>
  <c r="D3920" i="1"/>
  <c r="E3920" i="1" s="1"/>
  <c r="D3923" i="1"/>
  <c r="E3923" i="1" s="1"/>
  <c r="D3927" i="1"/>
  <c r="E3927" i="1" s="1"/>
  <c r="D3931" i="1"/>
  <c r="E3931" i="1" s="1"/>
  <c r="D3933" i="1"/>
  <c r="E3933" i="1" s="1"/>
  <c r="D3938" i="1"/>
  <c r="E3938" i="1" s="1"/>
  <c r="D3944" i="1"/>
  <c r="E3944" i="1" s="1"/>
  <c r="D3948" i="1"/>
  <c r="E3948" i="1" s="1"/>
  <c r="D3950" i="1"/>
  <c r="E3950" i="1" s="1"/>
  <c r="D3912" i="1"/>
  <c r="E3912" i="1" s="1"/>
  <c r="D3915" i="1"/>
  <c r="E3915" i="1" s="1"/>
  <c r="D3919" i="1"/>
  <c r="E3919" i="1" s="1"/>
  <c r="D3925" i="1"/>
  <c r="E3925" i="1" s="1"/>
  <c r="D3928" i="1"/>
  <c r="E3928" i="1" s="1"/>
  <c r="D3934" i="1"/>
  <c r="E3934" i="1" s="1"/>
  <c r="D3937" i="1"/>
  <c r="E3937" i="1" s="1"/>
  <c r="D3940" i="1"/>
  <c r="E3940" i="1" s="1"/>
  <c r="D3943" i="1"/>
  <c r="E3943" i="1" s="1"/>
  <c r="D3947" i="1"/>
  <c r="E3947" i="1" s="1"/>
  <c r="D4175" i="1"/>
  <c r="E4175" i="1" s="1"/>
  <c r="D4179" i="1"/>
  <c r="E4179" i="1" s="1"/>
  <c r="D4183" i="1"/>
  <c r="E4183" i="1" s="1"/>
  <c r="D4186" i="1"/>
  <c r="E4186" i="1" s="1"/>
  <c r="D4191" i="1"/>
  <c r="E4191" i="1" s="1"/>
  <c r="D4196" i="1"/>
  <c r="E4196" i="1" s="1"/>
  <c r="D4201" i="1"/>
  <c r="E4201" i="1" s="1"/>
  <c r="D4204" i="1"/>
  <c r="E4204" i="1" s="1"/>
  <c r="D4206" i="1"/>
  <c r="E4206" i="1" s="1"/>
  <c r="D4210" i="1"/>
  <c r="E4210" i="1" s="1"/>
  <c r="D4214" i="1"/>
  <c r="E4214" i="1" s="1"/>
  <c r="D4121" i="1"/>
  <c r="E4121" i="1" s="1"/>
  <c r="D4125" i="1"/>
  <c r="E4125" i="1" s="1"/>
  <c r="D4129" i="1"/>
  <c r="E4129" i="1" s="1"/>
  <c r="D4133" i="1"/>
  <c r="E4133" i="1" s="1"/>
  <c r="D4137" i="1"/>
  <c r="E4137" i="1" s="1"/>
  <c r="D4141" i="1"/>
  <c r="E4141" i="1" s="1"/>
  <c r="D4173" i="1"/>
  <c r="E4173" i="1" s="1"/>
  <c r="D4176" i="1"/>
  <c r="E4176" i="1" s="1"/>
  <c r="D4180" i="1"/>
  <c r="E4180" i="1" s="1"/>
  <c r="D4184" i="1"/>
  <c r="E4184" i="1" s="1"/>
  <c r="D4188" i="1"/>
  <c r="E4188" i="1" s="1"/>
  <c r="D4192" i="1"/>
  <c r="E4192" i="1" s="1"/>
  <c r="D4195" i="1"/>
  <c r="E4195" i="1" s="1"/>
  <c r="D4199" i="1"/>
  <c r="E4199" i="1" s="1"/>
  <c r="D4203" i="1"/>
  <c r="E4203" i="1" s="1"/>
  <c r="D4208" i="1"/>
  <c r="E4208" i="1" s="1"/>
  <c r="D4212" i="1"/>
  <c r="E4212" i="1" s="1"/>
  <c r="D4122" i="1"/>
  <c r="E4122" i="1" s="1"/>
  <c r="D4126" i="1"/>
  <c r="E4126" i="1" s="1"/>
  <c r="D4130" i="1"/>
  <c r="E4130" i="1" s="1"/>
  <c r="D4134" i="1"/>
  <c r="E4134" i="1" s="1"/>
  <c r="D4138" i="1"/>
  <c r="E4138" i="1" s="1"/>
  <c r="D4142" i="1"/>
  <c r="E4142" i="1" s="1"/>
  <c r="C3492" i="1"/>
  <c r="D3492" i="1" s="1"/>
  <c r="E3492" i="1" s="1"/>
  <c r="C3552" i="1"/>
  <c r="C3550" i="1"/>
  <c r="C3549" i="1"/>
  <c r="C3546" i="1"/>
  <c r="C3545" i="1"/>
  <c r="C3542" i="1"/>
  <c r="C3539" i="1"/>
  <c r="C3537" i="1"/>
  <c r="C3536" i="1"/>
  <c r="C3534" i="1"/>
  <c r="C3532" i="1"/>
  <c r="C3529" i="1"/>
  <c r="C3528" i="1"/>
  <c r="C3525" i="1"/>
  <c r="C3524" i="1"/>
  <c r="C3522" i="1"/>
  <c r="C3519" i="1"/>
  <c r="C3518" i="1"/>
  <c r="C3576" i="1"/>
  <c r="C3635" i="1"/>
  <c r="C3634" i="1"/>
  <c r="C3631" i="1"/>
  <c r="C3630" i="1"/>
  <c r="C3627" i="1"/>
  <c r="C3626" i="1"/>
  <c r="C3623" i="1"/>
  <c r="C3622" i="1"/>
  <c r="C3619" i="1"/>
  <c r="C3618" i="1"/>
  <c r="C3615" i="1"/>
  <c r="C3614" i="1"/>
  <c r="C3611" i="1"/>
  <c r="C3610" i="1"/>
  <c r="C3607" i="1"/>
  <c r="C3606" i="1"/>
  <c r="C3603" i="1"/>
  <c r="C3602" i="1"/>
  <c r="C3599" i="1"/>
  <c r="C3598" i="1"/>
  <c r="C3595" i="1"/>
  <c r="C3594" i="1"/>
  <c r="C3591" i="1"/>
  <c r="C3590" i="1"/>
  <c r="C3587" i="1"/>
  <c r="C3586" i="1"/>
  <c r="C3583" i="1"/>
  <c r="C3582" i="1"/>
  <c r="C3579" i="1"/>
  <c r="D3670" i="1"/>
  <c r="F3670" i="1"/>
  <c r="E3692" i="1"/>
  <c r="F3691" i="1"/>
  <c r="D3691" i="1"/>
  <c r="E3690" i="1"/>
  <c r="F3689" i="1"/>
  <c r="D3689" i="1"/>
  <c r="E3688" i="1"/>
  <c r="F3687" i="1"/>
  <c r="D3687" i="1"/>
  <c r="E3686" i="1"/>
  <c r="F3685" i="1"/>
  <c r="D3685" i="1"/>
  <c r="E3684" i="1"/>
  <c r="F3683" i="1"/>
  <c r="D3683" i="1"/>
  <c r="E3682" i="1"/>
  <c r="F3681" i="1"/>
  <c r="D3681" i="1"/>
  <c r="G3681" i="1" s="1"/>
  <c r="E3680" i="1"/>
  <c r="F3679" i="1"/>
  <c r="D3679" i="1"/>
  <c r="E3678" i="1"/>
  <c r="F3677" i="1"/>
  <c r="D3677" i="1"/>
  <c r="E3676" i="1"/>
  <c r="F3675" i="1"/>
  <c r="D3675" i="1"/>
  <c r="E3674" i="1"/>
  <c r="F3673" i="1"/>
  <c r="D3673" i="1"/>
  <c r="F3671" i="1"/>
  <c r="C3743" i="1"/>
  <c r="C3742" i="1"/>
  <c r="C3739" i="1"/>
  <c r="C3737" i="1"/>
  <c r="C3736" i="1"/>
  <c r="C3735" i="1"/>
  <c r="C3732" i="1"/>
  <c r="C3731" i="1"/>
  <c r="C3729" i="1"/>
  <c r="C3726" i="1"/>
  <c r="C3724" i="1"/>
  <c r="C3721" i="1"/>
  <c r="F3845" i="1"/>
  <c r="C3829" i="1"/>
  <c r="D3829" i="1" s="1"/>
  <c r="E3829" i="1" s="1"/>
  <c r="F3829" i="1" s="1"/>
  <c r="C3865" i="1"/>
  <c r="C3866" i="1"/>
  <c r="D3892" i="1"/>
  <c r="E3892" i="1" s="1"/>
  <c r="D3910" i="1"/>
  <c r="E3910" i="1" s="1"/>
  <c r="C3494" i="1"/>
  <c r="C3493" i="1"/>
  <c r="C3491" i="1"/>
  <c r="C3496" i="1"/>
  <c r="C3495" i="1"/>
  <c r="G3677" i="1" l="1"/>
  <c r="G3673" i="1"/>
  <c r="G3685" i="1"/>
  <c r="F4194" i="1"/>
  <c r="F4204" i="1"/>
  <c r="F4201" i="1"/>
  <c r="F4118" i="1"/>
  <c r="F4140" i="1"/>
  <c r="F4136" i="1"/>
  <c r="F4132" i="1"/>
  <c r="F4128" i="1"/>
  <c r="F4124" i="1"/>
  <c r="F4171" i="1"/>
  <c r="F4213" i="1"/>
  <c r="F4209" i="1"/>
  <c r="F4205" i="1"/>
  <c r="F4193" i="1"/>
  <c r="G3689" i="1"/>
  <c r="G3672" i="1"/>
  <c r="G3671" i="1"/>
  <c r="F3830" i="1"/>
  <c r="J300" i="5"/>
  <c r="D3865" i="1"/>
  <c r="E3865" i="1" s="1"/>
  <c r="D3729" i="1"/>
  <c r="E3729" i="1" s="1"/>
  <c r="D3736" i="1"/>
  <c r="E3736" i="1" s="1"/>
  <c r="F3736" i="1" s="1"/>
  <c r="D3743" i="1"/>
  <c r="E3743" i="1" s="1"/>
  <c r="D3579" i="1"/>
  <c r="E3579" i="1" s="1"/>
  <c r="D3591" i="1"/>
  <c r="E3591" i="1" s="1"/>
  <c r="D3599" i="1"/>
  <c r="E3599" i="1" s="1"/>
  <c r="D3607" i="1"/>
  <c r="E3607" i="1" s="1"/>
  <c r="D3611" i="1"/>
  <c r="E3611" i="1" s="1"/>
  <c r="D3619" i="1"/>
  <c r="E3619" i="1" s="1"/>
  <c r="D3627" i="1"/>
  <c r="E3627" i="1" s="1"/>
  <c r="D3635" i="1"/>
  <c r="E3635" i="1" s="1"/>
  <c r="D3522" i="1"/>
  <c r="E3522" i="1" s="1"/>
  <c r="D3529" i="1"/>
  <c r="E3529" i="1" s="1"/>
  <c r="D3537" i="1"/>
  <c r="E3537" i="1" s="1"/>
  <c r="D3546" i="1"/>
  <c r="E3546" i="1" s="1"/>
  <c r="D3866" i="1"/>
  <c r="E3866" i="1" s="1"/>
  <c r="D3721" i="1"/>
  <c r="E3721" i="1" s="1"/>
  <c r="D3726" i="1"/>
  <c r="E3726" i="1" s="1"/>
  <c r="D3731" i="1"/>
  <c r="E3731" i="1" s="1"/>
  <c r="D3735" i="1"/>
  <c r="E3735" i="1" s="1"/>
  <c r="D3737" i="1"/>
  <c r="E3737" i="1" s="1"/>
  <c r="D3742" i="1"/>
  <c r="E3742" i="1" s="1"/>
  <c r="D3582" i="1"/>
  <c r="E3582" i="1" s="1"/>
  <c r="D3586" i="1"/>
  <c r="E3586" i="1" s="1"/>
  <c r="D3590" i="1"/>
  <c r="E3590" i="1" s="1"/>
  <c r="D3594" i="1"/>
  <c r="E3594" i="1" s="1"/>
  <c r="D3598" i="1"/>
  <c r="E3598" i="1" s="1"/>
  <c r="D3602" i="1"/>
  <c r="E3602" i="1" s="1"/>
  <c r="D3606" i="1"/>
  <c r="E3606" i="1" s="1"/>
  <c r="D3610" i="1"/>
  <c r="E3610" i="1" s="1"/>
  <c r="D3614" i="1"/>
  <c r="E3614" i="1" s="1"/>
  <c r="D3618" i="1"/>
  <c r="E3618" i="1" s="1"/>
  <c r="D3622" i="1"/>
  <c r="E3622" i="1" s="1"/>
  <c r="D3626" i="1"/>
  <c r="E3626" i="1" s="1"/>
  <c r="D3630" i="1"/>
  <c r="E3630" i="1" s="1"/>
  <c r="D3634" i="1"/>
  <c r="E3634" i="1" s="1"/>
  <c r="D3576" i="1"/>
  <c r="E3576" i="1" s="1"/>
  <c r="D3519" i="1"/>
  <c r="E3519" i="1" s="1"/>
  <c r="D3524" i="1"/>
  <c r="E3524" i="1" s="1"/>
  <c r="D3528" i="1"/>
  <c r="E3528" i="1" s="1"/>
  <c r="D3532" i="1"/>
  <c r="E3532" i="1" s="1"/>
  <c r="D3536" i="1"/>
  <c r="E3536" i="1" s="1"/>
  <c r="D3539" i="1"/>
  <c r="E3539" i="1" s="1"/>
  <c r="D3545" i="1"/>
  <c r="E3545" i="1" s="1"/>
  <c r="D3549" i="1"/>
  <c r="E3549" i="1" s="1"/>
  <c r="D3552" i="1"/>
  <c r="E3552" i="1" s="1"/>
  <c r="D3870" i="1"/>
  <c r="E3870" i="1" s="1"/>
  <c r="D3867" i="1"/>
  <c r="E3867" i="1" s="1"/>
  <c r="D3722" i="1"/>
  <c r="E3722" i="1" s="1"/>
  <c r="D3725" i="1"/>
  <c r="E3725" i="1" s="1"/>
  <c r="D3728" i="1"/>
  <c r="E3728" i="1" s="1"/>
  <c r="D3733" i="1"/>
  <c r="E3733" i="1" s="1"/>
  <c r="D3738" i="1"/>
  <c r="E3738" i="1" s="1"/>
  <c r="D3741" i="1"/>
  <c r="E3741" i="1" s="1"/>
  <c r="D3577" i="1"/>
  <c r="E3577" i="1" s="1"/>
  <c r="D3581" i="1"/>
  <c r="E3581" i="1" s="1"/>
  <c r="D3585" i="1"/>
  <c r="E3585" i="1" s="1"/>
  <c r="D3589" i="1"/>
  <c r="E3589" i="1" s="1"/>
  <c r="D3593" i="1"/>
  <c r="E3593" i="1" s="1"/>
  <c r="D3597" i="1"/>
  <c r="E3597" i="1" s="1"/>
  <c r="D3601" i="1"/>
  <c r="E3601" i="1" s="1"/>
  <c r="D3605" i="1"/>
  <c r="E3605" i="1" s="1"/>
  <c r="D3609" i="1"/>
  <c r="E3609" i="1" s="1"/>
  <c r="D3613" i="1"/>
  <c r="E3613" i="1" s="1"/>
  <c r="D3617" i="1"/>
  <c r="E3617" i="1" s="1"/>
  <c r="D3621" i="1"/>
  <c r="E3621" i="1" s="1"/>
  <c r="D3625" i="1"/>
  <c r="E3625" i="1" s="1"/>
  <c r="D3629" i="1"/>
  <c r="E3629" i="1" s="1"/>
  <c r="D3633" i="1"/>
  <c r="E3633" i="1" s="1"/>
  <c r="D3517" i="1"/>
  <c r="E3517" i="1" s="1"/>
  <c r="D3521" i="1"/>
  <c r="E3521" i="1" s="1"/>
  <c r="D3526" i="1"/>
  <c r="E3526" i="1" s="1"/>
  <c r="D3530" i="1"/>
  <c r="E3530" i="1" s="1"/>
  <c r="D3533" i="1"/>
  <c r="E3533" i="1" s="1"/>
  <c r="D3538" i="1"/>
  <c r="E3538" i="1" s="1"/>
  <c r="D3541" i="1"/>
  <c r="E3541" i="1" s="1"/>
  <c r="D3544" i="1"/>
  <c r="E3544" i="1" s="1"/>
  <c r="D3548" i="1"/>
  <c r="E3548" i="1" s="1"/>
  <c r="D3514" i="1"/>
  <c r="E3514" i="1" s="1"/>
  <c r="D3868" i="1"/>
  <c r="E3868" i="1" s="1"/>
  <c r="G3675" i="1"/>
  <c r="G3679" i="1"/>
  <c r="G3683" i="1"/>
  <c r="G3687" i="1"/>
  <c r="G3691" i="1"/>
  <c r="G3670" i="1"/>
  <c r="F4142" i="1"/>
  <c r="F4138" i="1"/>
  <c r="F4134" i="1"/>
  <c r="F4130" i="1"/>
  <c r="F4126" i="1"/>
  <c r="F4122" i="1"/>
  <c r="F4212" i="1"/>
  <c r="F4208" i="1"/>
  <c r="F4203" i="1"/>
  <c r="F4199" i="1"/>
  <c r="F4195" i="1"/>
  <c r="F4192" i="1"/>
  <c r="F4188" i="1"/>
  <c r="F4184" i="1"/>
  <c r="F4180" i="1"/>
  <c r="F4176" i="1"/>
  <c r="F4173" i="1"/>
  <c r="F4141" i="1"/>
  <c r="F4137" i="1"/>
  <c r="F4133" i="1"/>
  <c r="F4129" i="1"/>
  <c r="F4125" i="1"/>
  <c r="F4121" i="1"/>
  <c r="F4214" i="1"/>
  <c r="F4210" i="1"/>
  <c r="F4206" i="1"/>
  <c r="F4196" i="1"/>
  <c r="F4191" i="1"/>
  <c r="F4186" i="1"/>
  <c r="F4183" i="1"/>
  <c r="F4179" i="1"/>
  <c r="F4175" i="1"/>
  <c r="F3947" i="1"/>
  <c r="F3943" i="1"/>
  <c r="F3940" i="1"/>
  <c r="F3937" i="1"/>
  <c r="F3934" i="1"/>
  <c r="F3928" i="1"/>
  <c r="F3925" i="1"/>
  <c r="F3919" i="1"/>
  <c r="F3915" i="1"/>
  <c r="F3912" i="1"/>
  <c r="F3950" i="1"/>
  <c r="F3948" i="1"/>
  <c r="F3944" i="1"/>
  <c r="F3938" i="1"/>
  <c r="F3933" i="1"/>
  <c r="F3931" i="1"/>
  <c r="F3927" i="1"/>
  <c r="F3923" i="1"/>
  <c r="F3920" i="1"/>
  <c r="F3917" i="1"/>
  <c r="G3674" i="1"/>
  <c r="G3678" i="1"/>
  <c r="G3682" i="1"/>
  <c r="G3686" i="1"/>
  <c r="G3690" i="1"/>
  <c r="F4139" i="1"/>
  <c r="F4135" i="1"/>
  <c r="F4131" i="1"/>
  <c r="F4127" i="1"/>
  <c r="F4123" i="1"/>
  <c r="F4119" i="1"/>
  <c r="F4211" i="1"/>
  <c r="F4207" i="1"/>
  <c r="F4200" i="1"/>
  <c r="F4197" i="1"/>
  <c r="F4190" i="1"/>
  <c r="F4187" i="1"/>
  <c r="F4182" i="1"/>
  <c r="F4178" i="1"/>
  <c r="F4174" i="1"/>
  <c r="F4202" i="1"/>
  <c r="F4198" i="1"/>
  <c r="F4189" i="1"/>
  <c r="F4181" i="1"/>
  <c r="F4177" i="1"/>
  <c r="F3911" i="1"/>
  <c r="F3946" i="1"/>
  <c r="F3942" i="1"/>
  <c r="F3939" i="1"/>
  <c r="F3936" i="1"/>
  <c r="F3930" i="1"/>
  <c r="F3926" i="1"/>
  <c r="F3922" i="1"/>
  <c r="F3916" i="1"/>
  <c r="F3913" i="1"/>
  <c r="F3949" i="1"/>
  <c r="F3945" i="1"/>
  <c r="F3941" i="1"/>
  <c r="F3935" i="1"/>
  <c r="F3932" i="1"/>
  <c r="F3929" i="1"/>
  <c r="F3924" i="1"/>
  <c r="F3921" i="1"/>
  <c r="F3918" i="1"/>
  <c r="F3914" i="1"/>
  <c r="F3515" i="1"/>
  <c r="F3720" i="1"/>
  <c r="G3578" i="1"/>
  <c r="D3724" i="1"/>
  <c r="E3724" i="1" s="1"/>
  <c r="D3732" i="1"/>
  <c r="E3732" i="1" s="1"/>
  <c r="D3739" i="1"/>
  <c r="E3739" i="1" s="1"/>
  <c r="D3583" i="1"/>
  <c r="E3583" i="1" s="1"/>
  <c r="D3587" i="1"/>
  <c r="E3587" i="1" s="1"/>
  <c r="D3595" i="1"/>
  <c r="E3595" i="1" s="1"/>
  <c r="D3603" i="1"/>
  <c r="E3603" i="1" s="1"/>
  <c r="D3615" i="1"/>
  <c r="E3615" i="1" s="1"/>
  <c r="D3623" i="1"/>
  <c r="E3623" i="1" s="1"/>
  <c r="D3631" i="1"/>
  <c r="E3631" i="1" s="1"/>
  <c r="D3518" i="1"/>
  <c r="E3518" i="1" s="1"/>
  <c r="D3525" i="1"/>
  <c r="E3525" i="1" s="1"/>
  <c r="D3534" i="1"/>
  <c r="E3534" i="1" s="1"/>
  <c r="D3542" i="1"/>
  <c r="E3542" i="1" s="1"/>
  <c r="D3550" i="1"/>
  <c r="E3550" i="1" s="1"/>
  <c r="D3863" i="1"/>
  <c r="E3863" i="1" s="1"/>
  <c r="D3862" i="1"/>
  <c r="E3862" i="1" s="1"/>
  <c r="D3719" i="1"/>
  <c r="E3719" i="1" s="1"/>
  <c r="D3723" i="1"/>
  <c r="E3723" i="1" s="1"/>
  <c r="D3727" i="1"/>
  <c r="E3727" i="1" s="1"/>
  <c r="D3730" i="1"/>
  <c r="E3730" i="1" s="1"/>
  <c r="D3734" i="1"/>
  <c r="E3734" i="1" s="1"/>
  <c r="D3740" i="1"/>
  <c r="E3740" i="1" s="1"/>
  <c r="D3718" i="1"/>
  <c r="E3718" i="1" s="1"/>
  <c r="D3580" i="1"/>
  <c r="E3580" i="1" s="1"/>
  <c r="D3584" i="1"/>
  <c r="E3584" i="1" s="1"/>
  <c r="D3588" i="1"/>
  <c r="E3588" i="1" s="1"/>
  <c r="D3592" i="1"/>
  <c r="E3592" i="1" s="1"/>
  <c r="D3596" i="1"/>
  <c r="E3596" i="1" s="1"/>
  <c r="D3600" i="1"/>
  <c r="E3600" i="1" s="1"/>
  <c r="D3604" i="1"/>
  <c r="E3604" i="1" s="1"/>
  <c r="D3608" i="1"/>
  <c r="E3608" i="1" s="1"/>
  <c r="D3612" i="1"/>
  <c r="E3612" i="1" s="1"/>
  <c r="D3616" i="1"/>
  <c r="E3616" i="1" s="1"/>
  <c r="D3620" i="1"/>
  <c r="E3620" i="1" s="1"/>
  <c r="D3624" i="1"/>
  <c r="E3624" i="1" s="1"/>
  <c r="D3628" i="1"/>
  <c r="E3628" i="1" s="1"/>
  <c r="D3632" i="1"/>
  <c r="E3632" i="1" s="1"/>
  <c r="D3516" i="1"/>
  <c r="E3516" i="1" s="1"/>
  <c r="D3520" i="1"/>
  <c r="E3520" i="1" s="1"/>
  <c r="D3523" i="1"/>
  <c r="E3523" i="1" s="1"/>
  <c r="D3527" i="1"/>
  <c r="E3527" i="1" s="1"/>
  <c r="D3531" i="1"/>
  <c r="E3531" i="1" s="1"/>
  <c r="D3535" i="1"/>
  <c r="E3535" i="1" s="1"/>
  <c r="D3540" i="1"/>
  <c r="E3540" i="1" s="1"/>
  <c r="D3543" i="1"/>
  <c r="E3543" i="1" s="1"/>
  <c r="D3547" i="1"/>
  <c r="E3547" i="1" s="1"/>
  <c r="D3551" i="1"/>
  <c r="E3551" i="1" s="1"/>
  <c r="D3869" i="1"/>
  <c r="E3869" i="1" s="1"/>
  <c r="D3864" i="1"/>
  <c r="E3864" i="1" s="1"/>
  <c r="G3676" i="1"/>
  <c r="G3680" i="1"/>
  <c r="G3684" i="1"/>
  <c r="G3688" i="1"/>
  <c r="G3692" i="1"/>
  <c r="F3892" i="1"/>
  <c r="F3910" i="1"/>
  <c r="D3491" i="1"/>
  <c r="E3491" i="1" s="1"/>
  <c r="D3494" i="1"/>
  <c r="E3494" i="1" s="1"/>
  <c r="D3495" i="1"/>
  <c r="E3495" i="1" s="1"/>
  <c r="D3496" i="1"/>
  <c r="E3496" i="1" s="1"/>
  <c r="D3493" i="1"/>
  <c r="E3493" i="1" s="1"/>
  <c r="F3492" i="1"/>
  <c r="F3869" i="1" l="1"/>
  <c r="F3551" i="1"/>
  <c r="F3547" i="1"/>
  <c r="F3543" i="1"/>
  <c r="F3723" i="1"/>
  <c r="F3719" i="1"/>
  <c r="F3733" i="1"/>
  <c r="F3870" i="1"/>
  <c r="F3552" i="1"/>
  <c r="F3549" i="1"/>
  <c r="F3545" i="1"/>
  <c r="G3582" i="1"/>
  <c r="F3742" i="1"/>
  <c r="G3631" i="1"/>
  <c r="G3623" i="1"/>
  <c r="G3615" i="1"/>
  <c r="G3603" i="1"/>
  <c r="G3595" i="1"/>
  <c r="G3587" i="1"/>
  <c r="G3583" i="1"/>
  <c r="F3739" i="1"/>
  <c r="F3732" i="1"/>
  <c r="F3724" i="1"/>
  <c r="F3528" i="1"/>
  <c r="F3524" i="1"/>
  <c r="F3735" i="1"/>
  <c r="F3731" i="1"/>
  <c r="F3866" i="1"/>
  <c r="F3535" i="1"/>
  <c r="F3531" i="1"/>
  <c r="F3527" i="1"/>
  <c r="F3523" i="1"/>
  <c r="F3718" i="1"/>
  <c r="F3740" i="1"/>
  <c r="F3734" i="1"/>
  <c r="F3730" i="1"/>
  <c r="F3863" i="1"/>
  <c r="F3550" i="1"/>
  <c r="F3542" i="1"/>
  <c r="F3534" i="1"/>
  <c r="F3525" i="1"/>
  <c r="F3868" i="1"/>
  <c r="F3530" i="1"/>
  <c r="F3526" i="1"/>
  <c r="F3536" i="1"/>
  <c r="G3576" i="1"/>
  <c r="G3634" i="1"/>
  <c r="G3630" i="1"/>
  <c r="G3626" i="1"/>
  <c r="G3622" i="1"/>
  <c r="G3618" i="1"/>
  <c r="G3614" i="1"/>
  <c r="G3610" i="1"/>
  <c r="G3606" i="1"/>
  <c r="G3602" i="1"/>
  <c r="G3598" i="1"/>
  <c r="G3594" i="1"/>
  <c r="G3590" i="1"/>
  <c r="G3586" i="1"/>
  <c r="F3496" i="1"/>
  <c r="F3491" i="1"/>
  <c r="F3864" i="1"/>
  <c r="F3540" i="1"/>
  <c r="F3520" i="1"/>
  <c r="F3516" i="1"/>
  <c r="G3632" i="1"/>
  <c r="G3628" i="1"/>
  <c r="G3624" i="1"/>
  <c r="G3620" i="1"/>
  <c r="G3616" i="1"/>
  <c r="G3612" i="1"/>
  <c r="G3608" i="1"/>
  <c r="G3604" i="1"/>
  <c r="G3600" i="1"/>
  <c r="G3596" i="1"/>
  <c r="G3592" i="1"/>
  <c r="G3588" i="1"/>
  <c r="G3584" i="1"/>
  <c r="G3580" i="1"/>
  <c r="F3727" i="1"/>
  <c r="F3862" i="1"/>
  <c r="F3518" i="1"/>
  <c r="F3514" i="1"/>
  <c r="F3548" i="1"/>
  <c r="F3544" i="1"/>
  <c r="F3541" i="1"/>
  <c r="F3538" i="1"/>
  <c r="F3533" i="1"/>
  <c r="F3521" i="1"/>
  <c r="F3517" i="1"/>
  <c r="G3633" i="1"/>
  <c r="G3629" i="1"/>
  <c r="G3625" i="1"/>
  <c r="G3621" i="1"/>
  <c r="G3617" i="1"/>
  <c r="G3613" i="1"/>
  <c r="G3609" i="1"/>
  <c r="G3605" i="1"/>
  <c r="G3601" i="1"/>
  <c r="G3597" i="1"/>
  <c r="G3593" i="1"/>
  <c r="G3589" i="1"/>
  <c r="G3585" i="1"/>
  <c r="G3581" i="1"/>
  <c r="G3577" i="1"/>
  <c r="F3741" i="1"/>
  <c r="F3738" i="1"/>
  <c r="F3728" i="1"/>
  <c r="F3725" i="1"/>
  <c r="F3722" i="1"/>
  <c r="F3867" i="1"/>
  <c r="F3539" i="1"/>
  <c r="F3532" i="1"/>
  <c r="F3519" i="1"/>
  <c r="F3737" i="1"/>
  <c r="F3726" i="1"/>
  <c r="F3721" i="1"/>
  <c r="F3546" i="1"/>
  <c r="F3537" i="1"/>
  <c r="F3529" i="1"/>
  <c r="F3522" i="1"/>
  <c r="G3635" i="1"/>
  <c r="G3627" i="1"/>
  <c r="G3619" i="1"/>
  <c r="G3611" i="1"/>
  <c r="G3607" i="1"/>
  <c r="G3599" i="1"/>
  <c r="G3591" i="1"/>
  <c r="G3579" i="1"/>
  <c r="F3743" i="1"/>
  <c r="F3729" i="1"/>
  <c r="F3865" i="1"/>
  <c r="F3495" i="1"/>
  <c r="F3493" i="1"/>
  <c r="F3494" i="1"/>
  <c r="E3459" i="1" l="1"/>
  <c r="D3459" i="1"/>
  <c r="C3459" i="1"/>
  <c r="B3451" i="1"/>
  <c r="B3449" i="1"/>
  <c r="B3475" i="1"/>
  <c r="B3468" i="1"/>
  <c r="B3467" i="1"/>
  <c r="B3477" i="1" s="1"/>
  <c r="E3477" i="1"/>
  <c r="D3477" i="1"/>
  <c r="C3477" i="1"/>
  <c r="F3477" i="1" l="1"/>
  <c r="F3459" i="1"/>
  <c r="C3468" i="1"/>
  <c r="C3469" i="1"/>
  <c r="C3470" i="1"/>
  <c r="C3473" i="1"/>
  <c r="C3474" i="1"/>
  <c r="C3471" i="1"/>
  <c r="C3472" i="1"/>
  <c r="C3476" i="1"/>
  <c r="D3476" i="1" s="1"/>
  <c r="E3476" i="1" s="1"/>
  <c r="C3475" i="1"/>
  <c r="C3467" i="1"/>
  <c r="B3459" i="1"/>
  <c r="C3450" i="1" s="1"/>
  <c r="J236" i="3"/>
  <c r="I221" i="3"/>
  <c r="I222" i="3"/>
  <c r="J222" i="3" s="1"/>
  <c r="I223" i="3"/>
  <c r="I224" i="3"/>
  <c r="I225" i="3"/>
  <c r="J225" i="3" s="1"/>
  <c r="I228" i="3"/>
  <c r="I229" i="3"/>
  <c r="J229" i="3" s="1"/>
  <c r="I230" i="3"/>
  <c r="J230" i="3" s="1"/>
  <c r="I231" i="3"/>
  <c r="I232" i="3"/>
  <c r="J232" i="3" s="1"/>
  <c r="I234" i="3"/>
  <c r="I235" i="3"/>
  <c r="J235" i="3" s="1"/>
  <c r="I220" i="3"/>
  <c r="G222" i="3"/>
  <c r="G224" i="3"/>
  <c r="G228" i="3"/>
  <c r="G229" i="3"/>
  <c r="G230" i="3"/>
  <c r="G231" i="3"/>
  <c r="G232" i="3"/>
  <c r="G233" i="3"/>
  <c r="G235" i="3"/>
  <c r="E221" i="3"/>
  <c r="E222" i="3"/>
  <c r="E225" i="3"/>
  <c r="E229" i="3"/>
  <c r="E230" i="3"/>
  <c r="E233" i="3"/>
  <c r="C221" i="3"/>
  <c r="C222" i="3"/>
  <c r="C225" i="3"/>
  <c r="C228" i="3"/>
  <c r="C229" i="3"/>
  <c r="C230" i="3"/>
  <c r="C232" i="3"/>
  <c r="C233" i="3"/>
  <c r="C220" i="3"/>
  <c r="D235" i="3"/>
  <c r="E235" i="3" s="1"/>
  <c r="D234" i="3"/>
  <c r="E234" i="3" s="1"/>
  <c r="D233" i="3"/>
  <c r="D232" i="3"/>
  <c r="E232" i="3" s="1"/>
  <c r="D231" i="3"/>
  <c r="E231" i="3" s="1"/>
  <c r="J231" i="3" s="1"/>
  <c r="D230" i="3"/>
  <c r="D229" i="3"/>
  <c r="D228" i="3"/>
  <c r="E228" i="3" s="1"/>
  <c r="D227" i="3"/>
  <c r="E227" i="3" s="1"/>
  <c r="D226" i="3"/>
  <c r="E226" i="3" s="1"/>
  <c r="D225" i="3"/>
  <c r="D224" i="3"/>
  <c r="E224" i="3" s="1"/>
  <c r="D223" i="3"/>
  <c r="E223" i="3" s="1"/>
  <c r="D222" i="3"/>
  <c r="D221" i="3"/>
  <c r="D220" i="3"/>
  <c r="E220" i="3" s="1"/>
  <c r="H233" i="3"/>
  <c r="I233" i="3" s="1"/>
  <c r="J233" i="3" s="1"/>
  <c r="H227" i="3"/>
  <c r="I227" i="3" s="1"/>
  <c r="H226" i="3"/>
  <c r="I226" i="3" s="1"/>
  <c r="J226" i="3" s="1"/>
  <c r="H225" i="3"/>
  <c r="H224" i="3"/>
  <c r="H221" i="3"/>
  <c r="H236" i="3" s="1"/>
  <c r="F234" i="3"/>
  <c r="G234" i="3" s="1"/>
  <c r="J234" i="3" s="1"/>
  <c r="F227" i="3"/>
  <c r="G227" i="3" s="1"/>
  <c r="F226" i="3"/>
  <c r="G226" i="3" s="1"/>
  <c r="F225" i="3"/>
  <c r="G225" i="3" s="1"/>
  <c r="F224" i="3"/>
  <c r="F223" i="3"/>
  <c r="G223" i="3" s="1"/>
  <c r="F222" i="3"/>
  <c r="F221" i="3"/>
  <c r="G221" i="3" s="1"/>
  <c r="J221" i="3" s="1"/>
  <c r="F220" i="3"/>
  <c r="G220" i="3" s="1"/>
  <c r="B220" i="3"/>
  <c r="B235" i="3"/>
  <c r="C235" i="3" s="1"/>
  <c r="B234" i="3"/>
  <c r="C234" i="3" s="1"/>
  <c r="B232" i="3"/>
  <c r="B231" i="3"/>
  <c r="C231" i="3" s="1"/>
  <c r="B230" i="3"/>
  <c r="B227" i="3"/>
  <c r="C227" i="3" s="1"/>
  <c r="B226" i="3"/>
  <c r="C226" i="3" s="1"/>
  <c r="B225" i="3"/>
  <c r="B224" i="3"/>
  <c r="C224" i="3" s="1"/>
  <c r="B223" i="3"/>
  <c r="C223" i="3" s="1"/>
  <c r="B222" i="3"/>
  <c r="B221" i="3"/>
  <c r="J277" i="5"/>
  <c r="E277" i="5"/>
  <c r="F260" i="5" s="1"/>
  <c r="G260" i="5" s="1"/>
  <c r="J260" i="5" s="1"/>
  <c r="B277" i="5"/>
  <c r="B3363" i="1"/>
  <c r="E3363" i="1"/>
  <c r="D3363" i="1"/>
  <c r="C3363" i="1"/>
  <c r="B2983" i="1"/>
  <c r="J227" i="3" l="1"/>
  <c r="J223" i="3"/>
  <c r="J228" i="3"/>
  <c r="J220" i="3"/>
  <c r="J224" i="3"/>
  <c r="D236" i="3"/>
  <c r="F236" i="3"/>
  <c r="B236" i="3"/>
  <c r="D3450" i="1"/>
  <c r="E3450" i="1" s="1"/>
  <c r="D3471" i="1"/>
  <c r="E3471" i="1" s="1"/>
  <c r="D3473" i="1"/>
  <c r="E3473" i="1" s="1"/>
  <c r="D3469" i="1"/>
  <c r="E3469" i="1" s="1"/>
  <c r="D3468" i="1"/>
  <c r="E3468" i="1" s="1"/>
  <c r="C3451" i="1"/>
  <c r="D3467" i="1"/>
  <c r="E3467" i="1" s="1"/>
  <c r="F3467" i="1" s="1"/>
  <c r="D3475" i="1"/>
  <c r="E3475" i="1" s="1"/>
  <c r="D3472" i="1"/>
  <c r="E3472" i="1" s="1"/>
  <c r="D3474" i="1"/>
  <c r="E3474" i="1" s="1"/>
  <c r="D3470" i="1"/>
  <c r="E3470" i="1" s="1"/>
  <c r="C3449" i="1"/>
  <c r="F258" i="5"/>
  <c r="G258" i="5" s="1"/>
  <c r="J258" i="5" s="1"/>
  <c r="F273" i="5"/>
  <c r="G273" i="5" s="1"/>
  <c r="F271" i="5"/>
  <c r="G271" i="5" s="1"/>
  <c r="J271" i="5" s="1"/>
  <c r="F269" i="5"/>
  <c r="G269" i="5" s="1"/>
  <c r="F265" i="5"/>
  <c r="G265" i="5" s="1"/>
  <c r="J265" i="5" s="1"/>
  <c r="F261" i="5"/>
  <c r="G261" i="5" s="1"/>
  <c r="J261" i="5" s="1"/>
  <c r="F277" i="5"/>
  <c r="F272" i="5"/>
  <c r="G272" i="5" s="1"/>
  <c r="C266" i="5"/>
  <c r="D266" i="5" s="1"/>
  <c r="J266" i="5" s="1"/>
  <c r="C276" i="5"/>
  <c r="D276" i="5" s="1"/>
  <c r="J276" i="5" s="1"/>
  <c r="C273" i="5"/>
  <c r="D273" i="5" s="1"/>
  <c r="C269" i="5"/>
  <c r="D269" i="5" s="1"/>
  <c r="J269" i="5" s="1"/>
  <c r="C277" i="5"/>
  <c r="C274" i="5"/>
  <c r="D274" i="5" s="1"/>
  <c r="J274" i="5" s="1"/>
  <c r="C272" i="5"/>
  <c r="D272" i="5" s="1"/>
  <c r="C270" i="5"/>
  <c r="D270" i="5" s="1"/>
  <c r="J270" i="5" s="1"/>
  <c r="F3363" i="1"/>
  <c r="E3300" i="1"/>
  <c r="C3345" i="1"/>
  <c r="C3343" i="1"/>
  <c r="C3341" i="1"/>
  <c r="C3339" i="1"/>
  <c r="C3337" i="1"/>
  <c r="C3329" i="1"/>
  <c r="C3327" i="1"/>
  <c r="C3325" i="1"/>
  <c r="C3319" i="1"/>
  <c r="C3317" i="1"/>
  <c r="C3313" i="1"/>
  <c r="C3307" i="1"/>
  <c r="D3297" i="1"/>
  <c r="D3336" i="1"/>
  <c r="D3334" i="1"/>
  <c r="D3330" i="1"/>
  <c r="D3328" i="1"/>
  <c r="D3326" i="1"/>
  <c r="D3318" i="1"/>
  <c r="D3316" i="1"/>
  <c r="D3312" i="1"/>
  <c r="D3310" i="1"/>
  <c r="D3300" i="1"/>
  <c r="E3345" i="1"/>
  <c r="E3343" i="1"/>
  <c r="E3341" i="1"/>
  <c r="E3339" i="1"/>
  <c r="E3337" i="1"/>
  <c r="E3329" i="1"/>
  <c r="E3327" i="1"/>
  <c r="E3325" i="1"/>
  <c r="E3319" i="1"/>
  <c r="E3317" i="1"/>
  <c r="E3313" i="1"/>
  <c r="E3307" i="1"/>
  <c r="C3297" i="1"/>
  <c r="C3336" i="1"/>
  <c r="C3334" i="1"/>
  <c r="C3330" i="1"/>
  <c r="C3328" i="1"/>
  <c r="C3326" i="1"/>
  <c r="C3318" i="1"/>
  <c r="C3316" i="1"/>
  <c r="C3312" i="1"/>
  <c r="C3310" i="1"/>
  <c r="C3300" i="1"/>
  <c r="D3345" i="1"/>
  <c r="D3343" i="1"/>
  <c r="D3341" i="1"/>
  <c r="D3339" i="1"/>
  <c r="D3337" i="1"/>
  <c r="D3329" i="1"/>
  <c r="D3327" i="1"/>
  <c r="D3325" i="1"/>
  <c r="D3319" i="1"/>
  <c r="D3317" i="1"/>
  <c r="D3313" i="1"/>
  <c r="D3307" i="1"/>
  <c r="E3297" i="1"/>
  <c r="E3336" i="1"/>
  <c r="E3334" i="1"/>
  <c r="E3330" i="1"/>
  <c r="E3328" i="1"/>
  <c r="E3326" i="1"/>
  <c r="E3318" i="1"/>
  <c r="E3316" i="1"/>
  <c r="E3312" i="1"/>
  <c r="E3310" i="1"/>
  <c r="F2994" i="1"/>
  <c r="F2995" i="1"/>
  <c r="F2996" i="1"/>
  <c r="F2997" i="1"/>
  <c r="F2998" i="1"/>
  <c r="F2999" i="1"/>
  <c r="B2991" i="1"/>
  <c r="B3000" i="1"/>
  <c r="B2993" i="1"/>
  <c r="B3001" i="1" s="1"/>
  <c r="B3010" i="1"/>
  <c r="B3009" i="1"/>
  <c r="B3017" i="1"/>
  <c r="B3014" i="1"/>
  <c r="B3013" i="1"/>
  <c r="B3012" i="1"/>
  <c r="F3173" i="1"/>
  <c r="F3170" i="1"/>
  <c r="F3156" i="1"/>
  <c r="F3124" i="1"/>
  <c r="B3195" i="1"/>
  <c r="B3291" i="1"/>
  <c r="C3241" i="1"/>
  <c r="B3241" i="1"/>
  <c r="E3291" i="1"/>
  <c r="D3291" i="1"/>
  <c r="C3291" i="1"/>
  <c r="F3241" i="1"/>
  <c r="E3241" i="1"/>
  <c r="D3241" i="1"/>
  <c r="E3195" i="1"/>
  <c r="D3195" i="1"/>
  <c r="C3195" i="1"/>
  <c r="F3430" i="1"/>
  <c r="E3038" i="1"/>
  <c r="D3038" i="1"/>
  <c r="F3038" i="1" s="1"/>
  <c r="C3038" i="1"/>
  <c r="E3019" i="1"/>
  <c r="D3019" i="1"/>
  <c r="C3019" i="1"/>
  <c r="E3001" i="1"/>
  <c r="D3001" i="1"/>
  <c r="F3001" i="1" s="1"/>
  <c r="C3001" i="1"/>
  <c r="D2983" i="1"/>
  <c r="E2983" i="1"/>
  <c r="C2983" i="1"/>
  <c r="C2978" i="1" s="1"/>
  <c r="G3195" i="1" l="1"/>
  <c r="B3019" i="1"/>
  <c r="F3291" i="1"/>
  <c r="F3468" i="1"/>
  <c r="F3471" i="1"/>
  <c r="F3450" i="1"/>
  <c r="J272" i="5"/>
  <c r="J273" i="5"/>
  <c r="D3451" i="1"/>
  <c r="E3451" i="1" s="1"/>
  <c r="F3470" i="1"/>
  <c r="F3474" i="1"/>
  <c r="F3472" i="1"/>
  <c r="F3475" i="1"/>
  <c r="F3469" i="1"/>
  <c r="F3473" i="1"/>
  <c r="D3449" i="1"/>
  <c r="E3449" i="1" s="1"/>
  <c r="F3019" i="1"/>
  <c r="F3209" i="1"/>
  <c r="E3124" i="1"/>
  <c r="G3241" i="1"/>
  <c r="E3209" i="1"/>
  <c r="E3257" i="1"/>
  <c r="C3012" i="1"/>
  <c r="D3000" i="1"/>
  <c r="D2978" i="1"/>
  <c r="E2978" i="1" s="1"/>
  <c r="D3224" i="1"/>
  <c r="D3222" i="1"/>
  <c r="D3220" i="1"/>
  <c r="D3218" i="1"/>
  <c r="D3216" i="1"/>
  <c r="D3214" i="1"/>
  <c r="D3212" i="1"/>
  <c r="D3210" i="1"/>
  <c r="D3208" i="1"/>
  <c r="F3224" i="1"/>
  <c r="F3222" i="1"/>
  <c r="F3220" i="1"/>
  <c r="F3218" i="1"/>
  <c r="F3216" i="1"/>
  <c r="F3214" i="1"/>
  <c r="F3212" i="1"/>
  <c r="F3210" i="1"/>
  <c r="F3208" i="1"/>
  <c r="E3224" i="1"/>
  <c r="E3222" i="1"/>
  <c r="E3220" i="1"/>
  <c r="E3218" i="1"/>
  <c r="E3216" i="1"/>
  <c r="E3214" i="1"/>
  <c r="E3212" i="1"/>
  <c r="E3210" i="1"/>
  <c r="E3208" i="1"/>
  <c r="C3256" i="1"/>
  <c r="C3278" i="1"/>
  <c r="C3276" i="1"/>
  <c r="C3274" i="1"/>
  <c r="C3272" i="1"/>
  <c r="C3270" i="1"/>
  <c r="C3268" i="1"/>
  <c r="C3266" i="1"/>
  <c r="C3264" i="1"/>
  <c r="C3262" i="1"/>
  <c r="C3260" i="1"/>
  <c r="C3258" i="1"/>
  <c r="D3256" i="1"/>
  <c r="D3278" i="1"/>
  <c r="D3276" i="1"/>
  <c r="D3274" i="1"/>
  <c r="D3272" i="1"/>
  <c r="D3270" i="1"/>
  <c r="D3268" i="1"/>
  <c r="D3266" i="1"/>
  <c r="D3264" i="1"/>
  <c r="D3262" i="1"/>
  <c r="D3260" i="1"/>
  <c r="D3258" i="1"/>
  <c r="E3256" i="1"/>
  <c r="E3278" i="1"/>
  <c r="E3276" i="1"/>
  <c r="E3274" i="1"/>
  <c r="E3272" i="1"/>
  <c r="E3270" i="1"/>
  <c r="E3268" i="1"/>
  <c r="E3266" i="1"/>
  <c r="E3264" i="1"/>
  <c r="E3262" i="1"/>
  <c r="E3260" i="1"/>
  <c r="E3258" i="1"/>
  <c r="C3175" i="1"/>
  <c r="C3173" i="1"/>
  <c r="C3171" i="1"/>
  <c r="C3169" i="1"/>
  <c r="C3167" i="1"/>
  <c r="C3165" i="1"/>
  <c r="C3163" i="1"/>
  <c r="C3161" i="1"/>
  <c r="C3159" i="1"/>
  <c r="C3157" i="1"/>
  <c r="C3155" i="1"/>
  <c r="C3153" i="1"/>
  <c r="C3151" i="1"/>
  <c r="C3149" i="1"/>
  <c r="C3147" i="1"/>
  <c r="C3145" i="1"/>
  <c r="C3143" i="1"/>
  <c r="C3141" i="1"/>
  <c r="C3139" i="1"/>
  <c r="C3137" i="1"/>
  <c r="C3135" i="1"/>
  <c r="C3133" i="1"/>
  <c r="C3131" i="1"/>
  <c r="C3129" i="1"/>
  <c r="C3127" i="1"/>
  <c r="C3125" i="1"/>
  <c r="C3123" i="1"/>
  <c r="D3175" i="1"/>
  <c r="D3173" i="1"/>
  <c r="D3171" i="1"/>
  <c r="D3169" i="1"/>
  <c r="D3167" i="1"/>
  <c r="D3165" i="1"/>
  <c r="D3163" i="1"/>
  <c r="D3161" i="1"/>
  <c r="D3159" i="1"/>
  <c r="D3157" i="1"/>
  <c r="D3155" i="1"/>
  <c r="D3153" i="1"/>
  <c r="D3151" i="1"/>
  <c r="D3149" i="1"/>
  <c r="D3147" i="1"/>
  <c r="D3145" i="1"/>
  <c r="D3143" i="1"/>
  <c r="D3141" i="1"/>
  <c r="D3139" i="1"/>
  <c r="D3137" i="1"/>
  <c r="D3135" i="1"/>
  <c r="D3133" i="1"/>
  <c r="D3131" i="1"/>
  <c r="D3129" i="1"/>
  <c r="D3127" i="1"/>
  <c r="D3125" i="1"/>
  <c r="D3123" i="1"/>
  <c r="E3175" i="1"/>
  <c r="E3173" i="1"/>
  <c r="E3171" i="1"/>
  <c r="E3169" i="1"/>
  <c r="E3167" i="1"/>
  <c r="E3165" i="1"/>
  <c r="E3163" i="1"/>
  <c r="E3161" i="1"/>
  <c r="E3159" i="1"/>
  <c r="E3157" i="1"/>
  <c r="E3155" i="1"/>
  <c r="E3153" i="1"/>
  <c r="E3151" i="1"/>
  <c r="E3149" i="1"/>
  <c r="E3147" i="1"/>
  <c r="E3145" i="1"/>
  <c r="E3143" i="1"/>
  <c r="E3141" i="1"/>
  <c r="E3139" i="1"/>
  <c r="E3137" i="1"/>
  <c r="E3135" i="1"/>
  <c r="E3133" i="1"/>
  <c r="E3131" i="1"/>
  <c r="E3129" i="1"/>
  <c r="E3127" i="1"/>
  <c r="E3125" i="1"/>
  <c r="E3123" i="1"/>
  <c r="C3000" i="1"/>
  <c r="E3000" i="1"/>
  <c r="C2977" i="1"/>
  <c r="E2979" i="1"/>
  <c r="F2979" i="1" s="1"/>
  <c r="E2981" i="1"/>
  <c r="F2981" i="1" s="1"/>
  <c r="E2980" i="1"/>
  <c r="F2980" i="1" s="1"/>
  <c r="E2982" i="1"/>
  <c r="F2982" i="1" s="1"/>
  <c r="F2983" i="1"/>
  <c r="D3207" i="1"/>
  <c r="D3223" i="1"/>
  <c r="D3221" i="1"/>
  <c r="D3219" i="1"/>
  <c r="D3217" i="1"/>
  <c r="D3215" i="1"/>
  <c r="D3213" i="1"/>
  <c r="D3211" i="1"/>
  <c r="D3209" i="1"/>
  <c r="F3207" i="1"/>
  <c r="F3223" i="1"/>
  <c r="F3221" i="1"/>
  <c r="F3219" i="1"/>
  <c r="F3217" i="1"/>
  <c r="F3215" i="1"/>
  <c r="F3213" i="1"/>
  <c r="F3211" i="1"/>
  <c r="E3207" i="1"/>
  <c r="E3223" i="1"/>
  <c r="E3221" i="1"/>
  <c r="E3219" i="1"/>
  <c r="E3217" i="1"/>
  <c r="E3215" i="1"/>
  <c r="E3213" i="1"/>
  <c r="E3211" i="1"/>
  <c r="C3279" i="1"/>
  <c r="C3277" i="1"/>
  <c r="C3275" i="1"/>
  <c r="C3273" i="1"/>
  <c r="C3271" i="1"/>
  <c r="C3269" i="1"/>
  <c r="C3267" i="1"/>
  <c r="C3265" i="1"/>
  <c r="C3263" i="1"/>
  <c r="C3261" i="1"/>
  <c r="C3259" i="1"/>
  <c r="C3257" i="1"/>
  <c r="D3279" i="1"/>
  <c r="D3277" i="1"/>
  <c r="D3275" i="1"/>
  <c r="D3273" i="1"/>
  <c r="D3271" i="1"/>
  <c r="D3269" i="1"/>
  <c r="D3267" i="1"/>
  <c r="D3265" i="1"/>
  <c r="D3263" i="1"/>
  <c r="D3261" i="1"/>
  <c r="D3259" i="1"/>
  <c r="D3257" i="1"/>
  <c r="E3279" i="1"/>
  <c r="E3277" i="1"/>
  <c r="E3275" i="1"/>
  <c r="E3273" i="1"/>
  <c r="E3271" i="1"/>
  <c r="E3269" i="1"/>
  <c r="E3267" i="1"/>
  <c r="E3265" i="1"/>
  <c r="E3263" i="1"/>
  <c r="E3261" i="1"/>
  <c r="E3259" i="1"/>
  <c r="C3122" i="1"/>
  <c r="C3174" i="1"/>
  <c r="C3172" i="1"/>
  <c r="C3170" i="1"/>
  <c r="C3168" i="1"/>
  <c r="C3166" i="1"/>
  <c r="C3164" i="1"/>
  <c r="C3162" i="1"/>
  <c r="C3160" i="1"/>
  <c r="C3158" i="1"/>
  <c r="C3156" i="1"/>
  <c r="C3154" i="1"/>
  <c r="C3152" i="1"/>
  <c r="C3150" i="1"/>
  <c r="C3148" i="1"/>
  <c r="C3146" i="1"/>
  <c r="C3144" i="1"/>
  <c r="C3142" i="1"/>
  <c r="C3140" i="1"/>
  <c r="C3138" i="1"/>
  <c r="C3136" i="1"/>
  <c r="C3134" i="1"/>
  <c r="C3132" i="1"/>
  <c r="C3130" i="1"/>
  <c r="C3128" i="1"/>
  <c r="C3126" i="1"/>
  <c r="C3124" i="1"/>
  <c r="D3122" i="1"/>
  <c r="D3174" i="1"/>
  <c r="D3172" i="1"/>
  <c r="D3170" i="1"/>
  <c r="D3168" i="1"/>
  <c r="D3166" i="1"/>
  <c r="D3164" i="1"/>
  <c r="D3162" i="1"/>
  <c r="D3160" i="1"/>
  <c r="D3158" i="1"/>
  <c r="D3156" i="1"/>
  <c r="D3154" i="1"/>
  <c r="D3152" i="1"/>
  <c r="D3150" i="1"/>
  <c r="D3148" i="1"/>
  <c r="D3146" i="1"/>
  <c r="D3144" i="1"/>
  <c r="D3142" i="1"/>
  <c r="D3140" i="1"/>
  <c r="D3138" i="1"/>
  <c r="D3136" i="1"/>
  <c r="D3134" i="1"/>
  <c r="D3132" i="1"/>
  <c r="D3130" i="1"/>
  <c r="D3128" i="1"/>
  <c r="D3126" i="1"/>
  <c r="D3124" i="1"/>
  <c r="E3122" i="1"/>
  <c r="E3174" i="1"/>
  <c r="E3172" i="1"/>
  <c r="E3170" i="1"/>
  <c r="E3168" i="1"/>
  <c r="E3166" i="1"/>
  <c r="E3164" i="1"/>
  <c r="E3162" i="1"/>
  <c r="E3160" i="1"/>
  <c r="E3158" i="1"/>
  <c r="E3156" i="1"/>
  <c r="E3154" i="1"/>
  <c r="E3152" i="1"/>
  <c r="E3150" i="1"/>
  <c r="E3148" i="1"/>
  <c r="E3146" i="1"/>
  <c r="E3144" i="1"/>
  <c r="E3142" i="1"/>
  <c r="E3140" i="1"/>
  <c r="E3138" i="1"/>
  <c r="E3136" i="1"/>
  <c r="E3134" i="1"/>
  <c r="E3132" i="1"/>
  <c r="E3130" i="1"/>
  <c r="E3128" i="1"/>
  <c r="E3126" i="1"/>
  <c r="E2993" i="1"/>
  <c r="D2991" i="1"/>
  <c r="F3300" i="1"/>
  <c r="F3310" i="1"/>
  <c r="F3318" i="1"/>
  <c r="F3326" i="1"/>
  <c r="F3330" i="1"/>
  <c r="F3334" i="1"/>
  <c r="F3297" i="1"/>
  <c r="F3313" i="1"/>
  <c r="F3317" i="1"/>
  <c r="F3325" i="1"/>
  <c r="F3329" i="1"/>
  <c r="F3337" i="1"/>
  <c r="F3341" i="1"/>
  <c r="F3345" i="1"/>
  <c r="F3312" i="1"/>
  <c r="F3316" i="1"/>
  <c r="F3328" i="1"/>
  <c r="F3336" i="1"/>
  <c r="F3307" i="1"/>
  <c r="F3319" i="1"/>
  <c r="F3327" i="1"/>
  <c r="F3339" i="1"/>
  <c r="F3343" i="1"/>
  <c r="D2993" i="1"/>
  <c r="C2991" i="1"/>
  <c r="E2991" i="1"/>
  <c r="C2993" i="1"/>
  <c r="D3012" i="1"/>
  <c r="E3012" i="1" s="1"/>
  <c r="C3017" i="1"/>
  <c r="C3014" i="1"/>
  <c r="C3013" i="1"/>
  <c r="C3010" i="1"/>
  <c r="C3009" i="1"/>
  <c r="G3209" i="1" l="1"/>
  <c r="F2993" i="1"/>
  <c r="F3000" i="1"/>
  <c r="F3449" i="1"/>
  <c r="F3451" i="1"/>
  <c r="D2977" i="1"/>
  <c r="E2977" i="1" s="1"/>
  <c r="F3257" i="1"/>
  <c r="F3261" i="1"/>
  <c r="F3265" i="1"/>
  <c r="F3269" i="1"/>
  <c r="F3273" i="1"/>
  <c r="F3277" i="1"/>
  <c r="G3213" i="1"/>
  <c r="G3217" i="1"/>
  <c r="G3221" i="1"/>
  <c r="G3207" i="1"/>
  <c r="F3258" i="1"/>
  <c r="F3262" i="1"/>
  <c r="F3266" i="1"/>
  <c r="F3270" i="1"/>
  <c r="F3274" i="1"/>
  <c r="F3278" i="1"/>
  <c r="G3208" i="1"/>
  <c r="G3212" i="1"/>
  <c r="G3216" i="1"/>
  <c r="G3220" i="1"/>
  <c r="G3224" i="1"/>
  <c r="F2991" i="1"/>
  <c r="F3259" i="1"/>
  <c r="F3263" i="1"/>
  <c r="F3267" i="1"/>
  <c r="F3271" i="1"/>
  <c r="F3275" i="1"/>
  <c r="F3279" i="1"/>
  <c r="G3211" i="1"/>
  <c r="G3215" i="1"/>
  <c r="G3219" i="1"/>
  <c r="G3223" i="1"/>
  <c r="F3260" i="1"/>
  <c r="F3264" i="1"/>
  <c r="F3268" i="1"/>
  <c r="F3272" i="1"/>
  <c r="F3276" i="1"/>
  <c r="F3256" i="1"/>
  <c r="G3210" i="1"/>
  <c r="G3214" i="1"/>
  <c r="G3218" i="1"/>
  <c r="G3222" i="1"/>
  <c r="F2978" i="1"/>
  <c r="F3012" i="1"/>
  <c r="D3009" i="1"/>
  <c r="E3009" i="1" s="1"/>
  <c r="D3013" i="1"/>
  <c r="E3013" i="1" s="1"/>
  <c r="D3017" i="1"/>
  <c r="E3017" i="1" s="1"/>
  <c r="D3010" i="1"/>
  <c r="E3010" i="1" s="1"/>
  <c r="D3014" i="1"/>
  <c r="E3014" i="1" s="1"/>
  <c r="F2977" i="1" l="1"/>
  <c r="F3014" i="1"/>
  <c r="F3010" i="1"/>
  <c r="F3017" i="1"/>
  <c r="F3013" i="1"/>
  <c r="F3009" i="1"/>
  <c r="E197" i="3" l="1"/>
  <c r="E198" i="3"/>
  <c r="E201" i="3"/>
  <c r="E202" i="3"/>
  <c r="E205" i="3"/>
  <c r="E206" i="3"/>
  <c r="E209" i="3"/>
  <c r="E210" i="3"/>
  <c r="J212" i="3"/>
  <c r="I198" i="3"/>
  <c r="J198" i="3" s="1"/>
  <c r="I199" i="3"/>
  <c r="J199" i="3" s="1"/>
  <c r="I203" i="3"/>
  <c r="I204" i="3"/>
  <c r="I205" i="3"/>
  <c r="I206" i="3"/>
  <c r="J206" i="3" s="1"/>
  <c r="I207" i="3"/>
  <c r="I208" i="3"/>
  <c r="I210" i="3"/>
  <c r="J210" i="3" s="1"/>
  <c r="I211" i="3"/>
  <c r="J211" i="3" s="1"/>
  <c r="G198" i="3"/>
  <c r="G199" i="3"/>
  <c r="G203" i="3"/>
  <c r="G204" i="3"/>
  <c r="G205" i="3"/>
  <c r="G206" i="3"/>
  <c r="G207" i="3"/>
  <c r="G208" i="3"/>
  <c r="G209" i="3"/>
  <c r="G210" i="3"/>
  <c r="G211" i="3"/>
  <c r="G196" i="3"/>
  <c r="C198" i="3"/>
  <c r="C202" i="3"/>
  <c r="C203" i="3"/>
  <c r="C206" i="3"/>
  <c r="C209" i="3"/>
  <c r="C211" i="3"/>
  <c r="D211" i="3"/>
  <c r="E211" i="3" s="1"/>
  <c r="D210" i="3"/>
  <c r="D209" i="3"/>
  <c r="D208" i="3"/>
  <c r="E208" i="3" s="1"/>
  <c r="D207" i="3"/>
  <c r="E207" i="3" s="1"/>
  <c r="D206" i="3"/>
  <c r="D205" i="3"/>
  <c r="D204" i="3"/>
  <c r="E204" i="3" s="1"/>
  <c r="D203" i="3"/>
  <c r="E203" i="3" s="1"/>
  <c r="D202" i="3"/>
  <c r="D201" i="3"/>
  <c r="D200" i="3"/>
  <c r="E200" i="3" s="1"/>
  <c r="D199" i="3"/>
  <c r="E199" i="3" s="1"/>
  <c r="D198" i="3"/>
  <c r="D197" i="3"/>
  <c r="D196" i="3"/>
  <c r="E196" i="3" s="1"/>
  <c r="H209" i="3"/>
  <c r="I209" i="3" s="1"/>
  <c r="J209" i="3" s="1"/>
  <c r="H203" i="3"/>
  <c r="H202" i="3"/>
  <c r="I202" i="3" s="1"/>
  <c r="H201" i="3"/>
  <c r="I201" i="3" s="1"/>
  <c r="H200" i="3"/>
  <c r="I200" i="3" s="1"/>
  <c r="J200" i="3" s="1"/>
  <c r="H197" i="3"/>
  <c r="I197" i="3" s="1"/>
  <c r="H196" i="3"/>
  <c r="H212" i="3" s="1"/>
  <c r="F210" i="3"/>
  <c r="F198" i="3"/>
  <c r="F203" i="3"/>
  <c r="F202" i="3"/>
  <c r="G202" i="3" s="1"/>
  <c r="F201" i="3"/>
  <c r="G201" i="3" s="1"/>
  <c r="F200" i="3"/>
  <c r="G200" i="3" s="1"/>
  <c r="F199" i="3"/>
  <c r="F197" i="3"/>
  <c r="G197" i="3" s="1"/>
  <c r="F196" i="3"/>
  <c r="B211" i="3"/>
  <c r="B210" i="3"/>
  <c r="C210" i="3" s="1"/>
  <c r="B208" i="3"/>
  <c r="C208" i="3" s="1"/>
  <c r="B207" i="3"/>
  <c r="C207" i="3" s="1"/>
  <c r="B206" i="3"/>
  <c r="B205" i="3"/>
  <c r="C205" i="3" s="1"/>
  <c r="B204" i="3"/>
  <c r="C204" i="3" s="1"/>
  <c r="B203" i="3"/>
  <c r="B202" i="3"/>
  <c r="B201" i="3"/>
  <c r="C201" i="3" s="1"/>
  <c r="B200" i="3"/>
  <c r="C200" i="3" s="1"/>
  <c r="B199" i="3"/>
  <c r="C199" i="3" s="1"/>
  <c r="B198" i="3"/>
  <c r="B197" i="3"/>
  <c r="B212" i="3" s="1"/>
  <c r="B196" i="3"/>
  <c r="C196" i="3" s="1"/>
  <c r="J248" i="5"/>
  <c r="J249" i="5"/>
  <c r="E249" i="5"/>
  <c r="F244" i="5" s="1"/>
  <c r="G244" i="5" s="1"/>
  <c r="B249" i="5"/>
  <c r="C242" i="5" s="1"/>
  <c r="D242" i="5" s="1"/>
  <c r="J242" i="5" s="1"/>
  <c r="B2719" i="1"/>
  <c r="F2718" i="1"/>
  <c r="F2595" i="1"/>
  <c r="F2612" i="1"/>
  <c r="B2606" i="1"/>
  <c r="B2604" i="1"/>
  <c r="B2629" i="1"/>
  <c r="B2626" i="1"/>
  <c r="B2625" i="1"/>
  <c r="B2624" i="1"/>
  <c r="B2622" i="1"/>
  <c r="B2621" i="1"/>
  <c r="F2901" i="1"/>
  <c r="B2902" i="1"/>
  <c r="C2850" i="1"/>
  <c r="B2850" i="1"/>
  <c r="C2852" i="1"/>
  <c r="B2852" i="1"/>
  <c r="G2851" i="1"/>
  <c r="E2808" i="1"/>
  <c r="D2808" i="1"/>
  <c r="C2808" i="1"/>
  <c r="G2738" i="1"/>
  <c r="G2739" i="1"/>
  <c r="G2740" i="1"/>
  <c r="G2741" i="1"/>
  <c r="G2742" i="1"/>
  <c r="G2747" i="1"/>
  <c r="G2748" i="1"/>
  <c r="G2750" i="1"/>
  <c r="G2751" i="1"/>
  <c r="G2752" i="1"/>
  <c r="G2753" i="1"/>
  <c r="G2754" i="1"/>
  <c r="G2755" i="1"/>
  <c r="G2756" i="1"/>
  <c r="G2758" i="1"/>
  <c r="G2759" i="1"/>
  <c r="G2764" i="1"/>
  <c r="G2765" i="1"/>
  <c r="G2766" i="1"/>
  <c r="G2767" i="1"/>
  <c r="G2769" i="1"/>
  <c r="G2772" i="1"/>
  <c r="G2773" i="1"/>
  <c r="G2775" i="1"/>
  <c r="G2780" i="1"/>
  <c r="G2781" i="1"/>
  <c r="G2782" i="1"/>
  <c r="G2785" i="1"/>
  <c r="E2804" i="1"/>
  <c r="D2804" i="1"/>
  <c r="C2804" i="1"/>
  <c r="G2805" i="1"/>
  <c r="B2804" i="1"/>
  <c r="F2776" i="1"/>
  <c r="F2774" i="1"/>
  <c r="F2770" i="1"/>
  <c r="J202" i="3" l="1"/>
  <c r="J207" i="3"/>
  <c r="J204" i="3"/>
  <c r="J205" i="3"/>
  <c r="J203" i="3"/>
  <c r="J201" i="3"/>
  <c r="J208" i="3"/>
  <c r="F212" i="3"/>
  <c r="D212" i="3"/>
  <c r="C197" i="3"/>
  <c r="J197" i="3" s="1"/>
  <c r="I196" i="3"/>
  <c r="J196" i="3" s="1"/>
  <c r="B2631" i="1"/>
  <c r="C238" i="5"/>
  <c r="D238" i="5" s="1"/>
  <c r="J238" i="5" s="1"/>
  <c r="C246" i="5"/>
  <c r="D246" i="5" s="1"/>
  <c r="J246" i="5" s="1"/>
  <c r="C244" i="5"/>
  <c r="D244" i="5" s="1"/>
  <c r="J244" i="5" s="1"/>
  <c r="C241" i="5"/>
  <c r="D241" i="5" s="1"/>
  <c r="F228" i="5"/>
  <c r="F241" i="5"/>
  <c r="G241" i="5" s="1"/>
  <c r="J241" i="5" s="1"/>
  <c r="F230" i="5"/>
  <c r="G230" i="5" s="1"/>
  <c r="J230" i="5" s="1"/>
  <c r="C249" i="5"/>
  <c r="C245" i="5"/>
  <c r="D245" i="5" s="1"/>
  <c r="J245" i="5" s="1"/>
  <c r="F243" i="5"/>
  <c r="G243" i="5" s="1"/>
  <c r="J243" i="5" s="1"/>
  <c r="F237" i="5"/>
  <c r="G237" i="5" s="1"/>
  <c r="J237" i="5" s="1"/>
  <c r="B2613" i="1"/>
  <c r="F2809" i="1"/>
  <c r="C2971" i="1"/>
  <c r="F2971" i="1" s="1"/>
  <c r="E2902" i="1"/>
  <c r="E2900" i="1" s="1"/>
  <c r="E2888" i="1" s="1"/>
  <c r="D2902" i="1"/>
  <c r="C2902" i="1"/>
  <c r="C2900" i="1" s="1"/>
  <c r="C2863" i="1" s="1"/>
  <c r="F2852" i="1"/>
  <c r="F2850" i="1" s="1"/>
  <c r="F2844" i="1" s="1"/>
  <c r="E2852" i="1"/>
  <c r="D2852" i="1"/>
  <c r="D2850" i="1" s="1"/>
  <c r="D2814" i="1" s="1"/>
  <c r="E2737" i="1"/>
  <c r="C2783" i="1"/>
  <c r="E2719" i="1"/>
  <c r="E2717" i="1" s="1"/>
  <c r="E2706" i="1" s="1"/>
  <c r="D2719" i="1"/>
  <c r="D2717" i="1" s="1"/>
  <c r="C2719" i="1"/>
  <c r="C2717" i="1" s="1"/>
  <c r="C2703" i="1" s="1"/>
  <c r="C2650" i="1"/>
  <c r="F2650" i="1" s="1"/>
  <c r="E2631" i="1"/>
  <c r="D2631" i="1"/>
  <c r="C2631" i="1"/>
  <c r="E2613" i="1"/>
  <c r="E2610" i="1" s="1"/>
  <c r="D2613" i="1"/>
  <c r="D2610" i="1" s="1"/>
  <c r="C2613" i="1"/>
  <c r="E2596" i="1"/>
  <c r="E2594" i="1" s="1"/>
  <c r="D2596" i="1"/>
  <c r="D2594" i="1" s="1"/>
  <c r="C2596" i="1"/>
  <c r="C2594" i="1" s="1"/>
  <c r="J188" i="3"/>
  <c r="I174" i="3"/>
  <c r="I180" i="3"/>
  <c r="I181" i="3"/>
  <c r="I182" i="3"/>
  <c r="I183" i="3"/>
  <c r="I184" i="3"/>
  <c r="I186" i="3"/>
  <c r="I187" i="3"/>
  <c r="G181" i="3"/>
  <c r="G182" i="3"/>
  <c r="G183" i="3"/>
  <c r="G184" i="3"/>
  <c r="G185" i="3"/>
  <c r="C185" i="3"/>
  <c r="C2625" i="1" l="1"/>
  <c r="D2625" i="1" s="1"/>
  <c r="E2625" i="1" s="1"/>
  <c r="G228" i="5"/>
  <c r="J228" i="5" s="1"/>
  <c r="F249" i="5"/>
  <c r="D2703" i="1"/>
  <c r="F2613" i="1"/>
  <c r="F2610" i="1" s="1"/>
  <c r="C2610" i="1"/>
  <c r="E2663" i="1"/>
  <c r="E2667" i="1"/>
  <c r="E2671" i="1"/>
  <c r="E2675" i="1"/>
  <c r="E2679" i="1"/>
  <c r="E2683" i="1"/>
  <c r="E2687" i="1"/>
  <c r="E2691" i="1"/>
  <c r="E2695" i="1"/>
  <c r="E2699" i="1"/>
  <c r="E2703" i="1"/>
  <c r="F2703" i="1" s="1"/>
  <c r="E2659" i="1"/>
  <c r="C2662" i="1"/>
  <c r="C2666" i="1"/>
  <c r="C2670" i="1"/>
  <c r="C2674" i="1"/>
  <c r="C2677" i="1"/>
  <c r="C2681" i="1"/>
  <c r="C2685" i="1"/>
  <c r="C2689" i="1"/>
  <c r="C2693" i="1"/>
  <c r="C2697" i="1"/>
  <c r="C2701" i="1"/>
  <c r="C2705" i="1"/>
  <c r="E2660" i="1"/>
  <c r="E2664" i="1"/>
  <c r="E2668" i="1"/>
  <c r="E2672" i="1"/>
  <c r="E2676" i="1"/>
  <c r="E2680" i="1"/>
  <c r="E2684" i="1"/>
  <c r="E2688" i="1"/>
  <c r="E2692" i="1"/>
  <c r="E2696" i="1"/>
  <c r="E2700" i="1"/>
  <c r="E2704" i="1"/>
  <c r="C2660" i="1"/>
  <c r="C2664" i="1"/>
  <c r="C2669" i="1"/>
  <c r="C2673" i="1"/>
  <c r="C2678" i="1"/>
  <c r="C2682" i="1"/>
  <c r="C2686" i="1"/>
  <c r="C2690" i="1"/>
  <c r="C2694" i="1"/>
  <c r="C2698" i="1"/>
  <c r="C2702" i="1"/>
  <c r="C2706" i="1"/>
  <c r="C2628" i="1"/>
  <c r="C2624" i="1"/>
  <c r="E2661" i="1"/>
  <c r="C2629" i="1"/>
  <c r="C2622" i="1"/>
  <c r="F2594" i="1"/>
  <c r="E2665" i="1"/>
  <c r="E2669" i="1"/>
  <c r="E2673" i="1"/>
  <c r="E2677" i="1"/>
  <c r="E2681" i="1"/>
  <c r="E2685" i="1"/>
  <c r="E2689" i="1"/>
  <c r="E2693" i="1"/>
  <c r="E2697" i="1"/>
  <c r="E2701" i="1"/>
  <c r="E2705" i="1"/>
  <c r="C2661" i="1"/>
  <c r="C2665" i="1"/>
  <c r="C2667" i="1"/>
  <c r="C2671" i="1"/>
  <c r="C2675" i="1"/>
  <c r="C2680" i="1"/>
  <c r="C2684" i="1"/>
  <c r="C2688" i="1"/>
  <c r="C2692" i="1"/>
  <c r="C2696" i="1"/>
  <c r="C2700" i="1"/>
  <c r="C2704" i="1"/>
  <c r="C2659" i="1"/>
  <c r="E2662" i="1"/>
  <c r="E2666" i="1"/>
  <c r="E2670" i="1"/>
  <c r="E2674" i="1"/>
  <c r="E2678" i="1"/>
  <c r="E2682" i="1"/>
  <c r="E2686" i="1"/>
  <c r="E2690" i="1"/>
  <c r="E2694" i="1"/>
  <c r="E2698" i="1"/>
  <c r="E2702" i="1"/>
  <c r="C2663" i="1"/>
  <c r="C2668" i="1"/>
  <c r="C2672" i="1"/>
  <c r="C2676" i="1"/>
  <c r="C2679" i="1"/>
  <c r="C2683" i="1"/>
  <c r="C2687" i="1"/>
  <c r="C2691" i="1"/>
  <c r="C2695" i="1"/>
  <c r="C2699" i="1"/>
  <c r="C2627" i="1"/>
  <c r="C2621" i="1"/>
  <c r="C2626" i="1"/>
  <c r="C2623" i="1"/>
  <c r="D2813" i="1"/>
  <c r="F2813" i="1"/>
  <c r="E2869" i="1"/>
  <c r="E2873" i="1"/>
  <c r="E2877" i="1"/>
  <c r="E2881" i="1"/>
  <c r="E2885" i="1"/>
  <c r="E2889" i="1"/>
  <c r="C2867" i="1"/>
  <c r="C2871" i="1"/>
  <c r="C2875" i="1"/>
  <c r="C2879" i="1"/>
  <c r="C2883" i="1"/>
  <c r="C2887" i="1"/>
  <c r="D2825" i="1"/>
  <c r="E2866" i="1"/>
  <c r="E2870" i="1"/>
  <c r="E2874" i="1"/>
  <c r="E2878" i="1"/>
  <c r="E2882" i="1"/>
  <c r="E2886" i="1"/>
  <c r="E2863" i="1"/>
  <c r="C2864" i="1"/>
  <c r="C2868" i="1"/>
  <c r="C2872" i="1"/>
  <c r="C2876" i="1"/>
  <c r="C2880" i="1"/>
  <c r="C2884" i="1"/>
  <c r="C2888" i="1"/>
  <c r="E2865" i="1"/>
  <c r="F2902" i="1"/>
  <c r="F2900" i="1" s="1"/>
  <c r="D2900" i="1"/>
  <c r="F2825" i="1"/>
  <c r="E2867" i="1"/>
  <c r="E2871" i="1"/>
  <c r="E2875" i="1"/>
  <c r="E2879" i="1"/>
  <c r="E2883" i="1"/>
  <c r="E2887" i="1"/>
  <c r="C2865" i="1"/>
  <c r="C2869" i="1"/>
  <c r="C2873" i="1"/>
  <c r="C2877" i="1"/>
  <c r="C2881" i="1"/>
  <c r="C2885" i="1"/>
  <c r="C2889" i="1"/>
  <c r="E2864" i="1"/>
  <c r="E2868" i="1"/>
  <c r="E2872" i="1"/>
  <c r="E2876" i="1"/>
  <c r="E2880" i="1"/>
  <c r="E2884" i="1"/>
  <c r="C2866" i="1"/>
  <c r="C2870" i="1"/>
  <c r="C2874" i="1"/>
  <c r="C2878" i="1"/>
  <c r="C2882" i="1"/>
  <c r="C2886" i="1"/>
  <c r="G2852" i="1"/>
  <c r="G2850" i="1" s="1"/>
  <c r="E2850" i="1"/>
  <c r="E2813" i="1" s="1"/>
  <c r="F2596" i="1"/>
  <c r="F2631" i="1"/>
  <c r="F2719" i="1"/>
  <c r="F2717" i="1" s="1"/>
  <c r="F2814" i="1"/>
  <c r="D2844" i="1"/>
  <c r="G2804" i="1"/>
  <c r="D2743" i="1"/>
  <c r="D2749" i="1"/>
  <c r="D2761" i="1"/>
  <c r="D2771" i="1"/>
  <c r="D2779" i="1"/>
  <c r="D2787" i="1"/>
  <c r="E2745" i="1"/>
  <c r="E2757" i="1"/>
  <c r="E2763" i="1"/>
  <c r="E2777" i="1"/>
  <c r="E2783" i="1"/>
  <c r="C2744" i="1"/>
  <c r="C2760" i="1"/>
  <c r="C2768" i="1"/>
  <c r="C2774" i="1"/>
  <c r="C2778" i="1"/>
  <c r="C2786" i="1"/>
  <c r="D2744" i="1"/>
  <c r="D2760" i="1"/>
  <c r="D2768" i="1"/>
  <c r="D2774" i="1"/>
  <c r="D2778" i="1"/>
  <c r="D2786" i="1"/>
  <c r="E2744" i="1"/>
  <c r="E2760" i="1"/>
  <c r="E2768" i="1"/>
  <c r="E2774" i="1"/>
  <c r="E2778" i="1"/>
  <c r="E2786" i="1"/>
  <c r="C2743" i="1"/>
  <c r="C2749" i="1"/>
  <c r="C2761" i="1"/>
  <c r="C2771" i="1"/>
  <c r="C2779" i="1"/>
  <c r="C2787" i="1"/>
  <c r="D2745" i="1"/>
  <c r="D2757" i="1"/>
  <c r="D2763" i="1"/>
  <c r="D2777" i="1"/>
  <c r="D2783" i="1"/>
  <c r="E2743" i="1"/>
  <c r="E2749" i="1"/>
  <c r="E2761" i="1"/>
  <c r="E2771" i="1"/>
  <c r="E2779" i="1"/>
  <c r="E2787" i="1"/>
  <c r="C2746" i="1"/>
  <c r="C2762" i="1"/>
  <c r="C2770" i="1"/>
  <c r="C2776" i="1"/>
  <c r="C2784" i="1"/>
  <c r="C2737" i="1"/>
  <c r="D2746" i="1"/>
  <c r="D2762" i="1"/>
  <c r="D2770" i="1"/>
  <c r="D2776" i="1"/>
  <c r="D2784" i="1"/>
  <c r="D2737" i="1"/>
  <c r="E2746" i="1"/>
  <c r="E2762" i="1"/>
  <c r="E2770" i="1"/>
  <c r="E2776" i="1"/>
  <c r="E2784" i="1"/>
  <c r="C2745" i="1"/>
  <c r="C2757" i="1"/>
  <c r="C2763" i="1"/>
  <c r="C2777" i="1"/>
  <c r="J222" i="5"/>
  <c r="G2777" i="1" l="1"/>
  <c r="G2757" i="1"/>
  <c r="D2623" i="1"/>
  <c r="E2623" i="1" s="1"/>
  <c r="D2621" i="1"/>
  <c r="E2621" i="1" s="1"/>
  <c r="D2699" i="1"/>
  <c r="F2699" i="1" s="1"/>
  <c r="D2691" i="1"/>
  <c r="F2691" i="1" s="1"/>
  <c r="D2683" i="1"/>
  <c r="F2683" i="1" s="1"/>
  <c r="D2676" i="1"/>
  <c r="F2676" i="1" s="1"/>
  <c r="D2668" i="1"/>
  <c r="F2668" i="1" s="1"/>
  <c r="D2704" i="1"/>
  <c r="F2704" i="1" s="1"/>
  <c r="D2696" i="1"/>
  <c r="F2696" i="1" s="1"/>
  <c r="D2688" i="1"/>
  <c r="F2688" i="1" s="1"/>
  <c r="D2680" i="1"/>
  <c r="F2680" i="1" s="1"/>
  <c r="D2671" i="1"/>
  <c r="F2671" i="1" s="1"/>
  <c r="D2665" i="1"/>
  <c r="F2665" i="1" s="1"/>
  <c r="D2622" i="1"/>
  <c r="E2622" i="1" s="1"/>
  <c r="D2628" i="1"/>
  <c r="E2628" i="1" s="1"/>
  <c r="D2702" i="1"/>
  <c r="F2702" i="1" s="1"/>
  <c r="D2694" i="1"/>
  <c r="F2694" i="1" s="1"/>
  <c r="D2686" i="1"/>
  <c r="F2686" i="1" s="1"/>
  <c r="D2678" i="1"/>
  <c r="F2678" i="1" s="1"/>
  <c r="D2669" i="1"/>
  <c r="F2669" i="1" s="1"/>
  <c r="D2660" i="1"/>
  <c r="F2660" i="1" s="1"/>
  <c r="D2701" i="1"/>
  <c r="F2701" i="1" s="1"/>
  <c r="D2693" i="1"/>
  <c r="F2693" i="1" s="1"/>
  <c r="D2685" i="1"/>
  <c r="F2685" i="1" s="1"/>
  <c r="D2677" i="1"/>
  <c r="F2677" i="1" s="1"/>
  <c r="D2670" i="1"/>
  <c r="F2670" i="1" s="1"/>
  <c r="D2662" i="1"/>
  <c r="F2662" i="1" s="1"/>
  <c r="F2625" i="1"/>
  <c r="D2626" i="1"/>
  <c r="E2626" i="1" s="1"/>
  <c r="D2627" i="1"/>
  <c r="E2627" i="1" s="1"/>
  <c r="D2695" i="1"/>
  <c r="F2695" i="1" s="1"/>
  <c r="D2687" i="1"/>
  <c r="F2687" i="1" s="1"/>
  <c r="D2679" i="1"/>
  <c r="F2679" i="1" s="1"/>
  <c r="D2672" i="1"/>
  <c r="F2672" i="1" s="1"/>
  <c r="D2663" i="1"/>
  <c r="F2663" i="1" s="1"/>
  <c r="D2659" i="1"/>
  <c r="F2659" i="1" s="1"/>
  <c r="D2700" i="1"/>
  <c r="F2700" i="1" s="1"/>
  <c r="D2692" i="1"/>
  <c r="F2692" i="1" s="1"/>
  <c r="D2684" i="1"/>
  <c r="F2684" i="1" s="1"/>
  <c r="D2675" i="1"/>
  <c r="F2675" i="1" s="1"/>
  <c r="D2667" i="1"/>
  <c r="F2667" i="1" s="1"/>
  <c r="D2661" i="1"/>
  <c r="F2661" i="1" s="1"/>
  <c r="D2629" i="1"/>
  <c r="E2629" i="1" s="1"/>
  <c r="D2624" i="1"/>
  <c r="E2624" i="1" s="1"/>
  <c r="D2706" i="1"/>
  <c r="F2706" i="1" s="1"/>
  <c r="D2698" i="1"/>
  <c r="F2698" i="1" s="1"/>
  <c r="D2690" i="1"/>
  <c r="F2690" i="1" s="1"/>
  <c r="D2682" i="1"/>
  <c r="F2682" i="1" s="1"/>
  <c r="D2673" i="1"/>
  <c r="F2673" i="1" s="1"/>
  <c r="D2664" i="1"/>
  <c r="F2664" i="1" s="1"/>
  <c r="D2705" i="1"/>
  <c r="F2705" i="1" s="1"/>
  <c r="D2697" i="1"/>
  <c r="F2697" i="1" s="1"/>
  <c r="D2689" i="1"/>
  <c r="F2689" i="1" s="1"/>
  <c r="D2681" i="1"/>
  <c r="F2681" i="1" s="1"/>
  <c r="D2674" i="1"/>
  <c r="F2674" i="1" s="1"/>
  <c r="D2666" i="1"/>
  <c r="F2666" i="1" s="1"/>
  <c r="C2606" i="1"/>
  <c r="C2604" i="1"/>
  <c r="C2605" i="1"/>
  <c r="D2889" i="1"/>
  <c r="F2889" i="1" s="1"/>
  <c r="D2885" i="1"/>
  <c r="F2885" i="1" s="1"/>
  <c r="D2881" i="1"/>
  <c r="F2881" i="1" s="1"/>
  <c r="D2877" i="1"/>
  <c r="F2877" i="1" s="1"/>
  <c r="D2873" i="1"/>
  <c r="D2869" i="1"/>
  <c r="D2865" i="1"/>
  <c r="D2888" i="1"/>
  <c r="D2884" i="1"/>
  <c r="D2880" i="1"/>
  <c r="D2876" i="1"/>
  <c r="F2876" i="1" s="1"/>
  <c r="D2872" i="1"/>
  <c r="D2868" i="1"/>
  <c r="D2864" i="1"/>
  <c r="F2864" i="1" s="1"/>
  <c r="D2887" i="1"/>
  <c r="D2883" i="1"/>
  <c r="F2883" i="1" s="1"/>
  <c r="D2879" i="1"/>
  <c r="F2879" i="1" s="1"/>
  <c r="D2875" i="1"/>
  <c r="F2875" i="1" s="1"/>
  <c r="D2871" i="1"/>
  <c r="F2871" i="1" s="1"/>
  <c r="D2867" i="1"/>
  <c r="F2867" i="1" s="1"/>
  <c r="D2863" i="1"/>
  <c r="F2863" i="1" s="1"/>
  <c r="D2886" i="1"/>
  <c r="F2886" i="1" s="1"/>
  <c r="D2882" i="1"/>
  <c r="F2882" i="1" s="1"/>
  <c r="D2878" i="1"/>
  <c r="F2878" i="1" s="1"/>
  <c r="D2874" i="1"/>
  <c r="F2874" i="1" s="1"/>
  <c r="D2870" i="1"/>
  <c r="F2870" i="1" s="1"/>
  <c r="D2866" i="1"/>
  <c r="F2866" i="1" s="1"/>
  <c r="E2809" i="1"/>
  <c r="F2869" i="1"/>
  <c r="F2888" i="1"/>
  <c r="F2880" i="1"/>
  <c r="F2872" i="1"/>
  <c r="G2763" i="1"/>
  <c r="G2745" i="1"/>
  <c r="D2809" i="1"/>
  <c r="G2783" i="1"/>
  <c r="F2873" i="1"/>
  <c r="F2865" i="1"/>
  <c r="F2884" i="1"/>
  <c r="F2868" i="1"/>
  <c r="F2887" i="1"/>
  <c r="G2784" i="1"/>
  <c r="G2770" i="1"/>
  <c r="G2746" i="1"/>
  <c r="G2787" i="1"/>
  <c r="G2771" i="1"/>
  <c r="G2749" i="1"/>
  <c r="G2786" i="1"/>
  <c r="G2774" i="1"/>
  <c r="G2760" i="1"/>
  <c r="C2809" i="1"/>
  <c r="G2737" i="1"/>
  <c r="E2844" i="1"/>
  <c r="G2844" i="1" s="1"/>
  <c r="E2814" i="1"/>
  <c r="G2814" i="1" s="1"/>
  <c r="G2776" i="1"/>
  <c r="G2762" i="1"/>
  <c r="G2779" i="1"/>
  <c r="G2761" i="1"/>
  <c r="G2743" i="1"/>
  <c r="G2778" i="1"/>
  <c r="G2768" i="1"/>
  <c r="G2744" i="1"/>
  <c r="D187" i="3"/>
  <c r="E187" i="3" s="1"/>
  <c r="D186" i="3"/>
  <c r="E186" i="3" s="1"/>
  <c r="D185" i="3"/>
  <c r="E185" i="3" s="1"/>
  <c r="D184" i="3"/>
  <c r="E184" i="3" s="1"/>
  <c r="J184" i="3" s="1"/>
  <c r="D183" i="3"/>
  <c r="E183" i="3" s="1"/>
  <c r="J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D174" i="3"/>
  <c r="E174" i="3" s="1"/>
  <c r="D173" i="3"/>
  <c r="E173" i="3" s="1"/>
  <c r="D172" i="3"/>
  <c r="E172" i="3" s="1"/>
  <c r="H185" i="3"/>
  <c r="I185" i="3" s="1"/>
  <c r="H179" i="3"/>
  <c r="I179" i="3" s="1"/>
  <c r="J179" i="3" s="1"/>
  <c r="H178" i="3"/>
  <c r="I178" i="3" s="1"/>
  <c r="J178" i="3" s="1"/>
  <c r="H177" i="3"/>
  <c r="I177" i="3" s="1"/>
  <c r="J177" i="3" s="1"/>
  <c r="H176" i="3"/>
  <c r="I176" i="3" s="1"/>
  <c r="H175" i="3"/>
  <c r="I175" i="3" s="1"/>
  <c r="H173" i="3"/>
  <c r="I173" i="3" s="1"/>
  <c r="H172" i="3"/>
  <c r="I172" i="3" s="1"/>
  <c r="F187" i="3"/>
  <c r="G187" i="3" s="1"/>
  <c r="J187" i="3" s="1"/>
  <c r="F186" i="3"/>
  <c r="G186" i="3" s="1"/>
  <c r="J186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B187" i="3"/>
  <c r="C187" i="3" s="1"/>
  <c r="B186" i="3"/>
  <c r="C186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E218" i="5"/>
  <c r="E216" i="5"/>
  <c r="E214" i="5"/>
  <c r="E217" i="5"/>
  <c r="E208" i="5"/>
  <c r="E207" i="5"/>
  <c r="E205" i="5"/>
  <c r="E202" i="5"/>
  <c r="E200" i="5"/>
  <c r="E222" i="5" s="1"/>
  <c r="F202" i="5" s="1"/>
  <c r="G202" i="5" s="1"/>
  <c r="J202" i="5" s="1"/>
  <c r="B214" i="5"/>
  <c r="B215" i="5"/>
  <c r="B222" i="5" s="1"/>
  <c r="C214" i="5" s="1"/>
  <c r="D214" i="5" s="1"/>
  <c r="B221" i="5"/>
  <c r="B219" i="5"/>
  <c r="B217" i="5"/>
  <c r="B211" i="5"/>
  <c r="B218" i="5"/>
  <c r="D2339" i="1"/>
  <c r="F2339" i="1" s="1"/>
  <c r="B2310" i="1"/>
  <c r="B2298" i="1"/>
  <c r="B2307" i="1"/>
  <c r="B2294" i="1"/>
  <c r="B2295" i="1"/>
  <c r="B2322" i="1"/>
  <c r="B2318" i="1"/>
  <c r="B2308" i="1"/>
  <c r="B2291" i="1"/>
  <c r="B2325" i="1"/>
  <c r="B2321" i="1"/>
  <c r="B2323" i="1"/>
  <c r="B2328" i="1"/>
  <c r="B2297" i="1"/>
  <c r="B2423" i="1"/>
  <c r="C2365" i="1" s="1"/>
  <c r="E2425" i="1"/>
  <c r="C2425" i="1"/>
  <c r="D2423" i="1"/>
  <c r="F2423" i="1"/>
  <c r="F2399" i="1" s="1"/>
  <c r="C2469" i="1"/>
  <c r="F2443" i="1" s="1"/>
  <c r="B2469" i="1"/>
  <c r="E2469" i="1"/>
  <c r="G2469" i="1" s="1"/>
  <c r="B2516" i="1"/>
  <c r="C2481" i="1" s="1"/>
  <c r="D2516" i="1"/>
  <c r="F2516" i="1" s="1"/>
  <c r="D2271" i="1"/>
  <c r="F2271" i="1" s="1"/>
  <c r="B2212" i="1"/>
  <c r="B2211" i="1"/>
  <c r="D2216" i="1"/>
  <c r="F2216" i="1" s="1"/>
  <c r="F2233" i="1"/>
  <c r="E2252" i="1"/>
  <c r="D2252" i="1"/>
  <c r="J164" i="3"/>
  <c r="I150" i="3"/>
  <c r="J150" i="3" s="1"/>
  <c r="I151" i="3"/>
  <c r="I152" i="3"/>
  <c r="J152" i="3" s="1"/>
  <c r="I153" i="3"/>
  <c r="J153" i="3" s="1"/>
  <c r="I156" i="3"/>
  <c r="J156" i="3" s="1"/>
  <c r="I157" i="3"/>
  <c r="I158" i="3"/>
  <c r="J158" i="3" s="1"/>
  <c r="I159" i="3"/>
  <c r="I160" i="3"/>
  <c r="J160" i="3" s="1"/>
  <c r="I161" i="3"/>
  <c r="J161" i="3" s="1"/>
  <c r="I162" i="3"/>
  <c r="I163" i="3"/>
  <c r="G150" i="3"/>
  <c r="G151" i="3"/>
  <c r="G153" i="3"/>
  <c r="G156" i="3"/>
  <c r="G157" i="3"/>
  <c r="G158" i="3"/>
  <c r="G159" i="3"/>
  <c r="G160" i="3"/>
  <c r="G161" i="3"/>
  <c r="G163" i="3"/>
  <c r="G148" i="3"/>
  <c r="E152" i="3"/>
  <c r="E153" i="3"/>
  <c r="E156" i="3"/>
  <c r="E160" i="3"/>
  <c r="E161" i="3"/>
  <c r="E148" i="3"/>
  <c r="C150" i="3"/>
  <c r="C151" i="3"/>
  <c r="C152" i="3"/>
  <c r="C153" i="3"/>
  <c r="C158" i="3"/>
  <c r="C159" i="3"/>
  <c r="C160" i="3"/>
  <c r="C161" i="3"/>
  <c r="J173" i="5"/>
  <c r="J174" i="5"/>
  <c r="J175" i="5"/>
  <c r="J176" i="5"/>
  <c r="J178" i="5"/>
  <c r="J180" i="5"/>
  <c r="J181" i="5"/>
  <c r="J182" i="5"/>
  <c r="J184" i="5"/>
  <c r="J192" i="5"/>
  <c r="J194" i="5"/>
  <c r="E194" i="5"/>
  <c r="F177" i="5" s="1"/>
  <c r="G177" i="5" s="1"/>
  <c r="J177" i="5" s="1"/>
  <c r="B194" i="5"/>
  <c r="C187" i="5" s="1"/>
  <c r="D187" i="5" s="1"/>
  <c r="J187" i="5" s="1"/>
  <c r="D163" i="3"/>
  <c r="E163" i="3" s="1"/>
  <c r="J163" i="3" s="1"/>
  <c r="D162" i="3"/>
  <c r="E162" i="3" s="1"/>
  <c r="D161" i="3"/>
  <c r="D160" i="3"/>
  <c r="D159" i="3"/>
  <c r="E159" i="3" s="1"/>
  <c r="D158" i="3"/>
  <c r="E158" i="3" s="1"/>
  <c r="D157" i="3"/>
  <c r="E157" i="3" s="1"/>
  <c r="D156" i="3"/>
  <c r="D155" i="3"/>
  <c r="E155" i="3" s="1"/>
  <c r="D154" i="3"/>
  <c r="E154" i="3" s="1"/>
  <c r="D153" i="3"/>
  <c r="D152" i="3"/>
  <c r="D151" i="3"/>
  <c r="E151" i="3" s="1"/>
  <c r="D150" i="3"/>
  <c r="E150" i="3" s="1"/>
  <c r="D149" i="3"/>
  <c r="E149" i="3" s="1"/>
  <c r="D148" i="3"/>
  <c r="D164" i="3" s="1"/>
  <c r="F162" i="3"/>
  <c r="G162" i="3" s="1"/>
  <c r="J162" i="3" s="1"/>
  <c r="F156" i="3"/>
  <c r="F155" i="3"/>
  <c r="G155" i="3" s="1"/>
  <c r="F154" i="3"/>
  <c r="G154" i="3" s="1"/>
  <c r="F153" i="3"/>
  <c r="F152" i="3"/>
  <c r="G152" i="3" s="1"/>
  <c r="F151" i="3"/>
  <c r="F150" i="3"/>
  <c r="F149" i="3"/>
  <c r="F164" i="3" s="1"/>
  <c r="F148" i="3"/>
  <c r="H161" i="3"/>
  <c r="H155" i="3"/>
  <c r="I155" i="3" s="1"/>
  <c r="H154" i="3"/>
  <c r="I154" i="3" s="1"/>
  <c r="J154" i="3" s="1"/>
  <c r="H153" i="3"/>
  <c r="H152" i="3"/>
  <c r="H151" i="3"/>
  <c r="H150" i="3"/>
  <c r="H149" i="3"/>
  <c r="I149" i="3" s="1"/>
  <c r="H148" i="3"/>
  <c r="I148" i="3" s="1"/>
  <c r="J148" i="3" s="1"/>
  <c r="B163" i="3"/>
  <c r="C163" i="3" s="1"/>
  <c r="B162" i="3"/>
  <c r="C162" i="3" s="1"/>
  <c r="B160" i="3"/>
  <c r="B159" i="3"/>
  <c r="B158" i="3"/>
  <c r="B157" i="3"/>
  <c r="C157" i="3" s="1"/>
  <c r="B156" i="3"/>
  <c r="C156" i="3" s="1"/>
  <c r="B155" i="3"/>
  <c r="C155" i="3" s="1"/>
  <c r="B154" i="3"/>
  <c r="C154" i="3" s="1"/>
  <c r="B153" i="3"/>
  <c r="B152" i="3"/>
  <c r="B151" i="3"/>
  <c r="B150" i="3"/>
  <c r="B149" i="3"/>
  <c r="C149" i="3" s="1"/>
  <c r="B148" i="3"/>
  <c r="C148" i="3" s="1"/>
  <c r="B2249" i="1"/>
  <c r="B2246" i="1"/>
  <c r="B2245" i="1"/>
  <c r="B2244" i="1"/>
  <c r="B2242" i="1"/>
  <c r="B2241" i="1"/>
  <c r="B1466" i="1"/>
  <c r="G5" i="1" s="1"/>
  <c r="G2045" i="1"/>
  <c r="G2046" i="1"/>
  <c r="B2206" i="1"/>
  <c r="C2143" i="1" s="1"/>
  <c r="E2206" i="1"/>
  <c r="D2206" i="1"/>
  <c r="C2206" i="1"/>
  <c r="B1964" i="1"/>
  <c r="E1964" i="1"/>
  <c r="D1964" i="1"/>
  <c r="C1964" i="1"/>
  <c r="F1894" i="1"/>
  <c r="F1895" i="1"/>
  <c r="F1896" i="1"/>
  <c r="F1897" i="1"/>
  <c r="F1898" i="1"/>
  <c r="F1893" i="1"/>
  <c r="F1856" i="1"/>
  <c r="F1857" i="1"/>
  <c r="F1858" i="1"/>
  <c r="F1859" i="1"/>
  <c r="B1855" i="1"/>
  <c r="B1854" i="1"/>
  <c r="B1852" i="1"/>
  <c r="B1851" i="1"/>
  <c r="E1860" i="1"/>
  <c r="D1860" i="1"/>
  <c r="C1860" i="1"/>
  <c r="F1876" i="1"/>
  <c r="F1878" i="1"/>
  <c r="F1877" i="1"/>
  <c r="F1879" i="1"/>
  <c r="E2092" i="1"/>
  <c r="D2137" i="1"/>
  <c r="C2066" i="1"/>
  <c r="C2092" i="1" s="1"/>
  <c r="B2066" i="1"/>
  <c r="B2092" i="1" s="1"/>
  <c r="F2092" i="1"/>
  <c r="D2092" i="1"/>
  <c r="B2137" i="1"/>
  <c r="C2137" i="1"/>
  <c r="J151" i="3" l="1"/>
  <c r="J157" i="3"/>
  <c r="J159" i="3"/>
  <c r="J155" i="3"/>
  <c r="J149" i="3"/>
  <c r="F188" i="3"/>
  <c r="H188" i="3"/>
  <c r="G2092" i="1"/>
  <c r="C1916" i="1"/>
  <c r="D1916" i="1" s="1"/>
  <c r="E1916" i="1" s="1"/>
  <c r="B2252" i="1"/>
  <c r="C2244" i="1" s="1"/>
  <c r="G149" i="3"/>
  <c r="J172" i="3"/>
  <c r="J185" i="3"/>
  <c r="B164" i="3"/>
  <c r="J180" i="3"/>
  <c r="J174" i="3"/>
  <c r="H164" i="3"/>
  <c r="D188" i="3"/>
  <c r="J175" i="3"/>
  <c r="J181" i="3"/>
  <c r="J173" i="3"/>
  <c r="B188" i="3"/>
  <c r="J176" i="3"/>
  <c r="J182" i="3"/>
  <c r="F2626" i="1"/>
  <c r="C194" i="5"/>
  <c r="C191" i="5"/>
  <c r="D191" i="5" s="1"/>
  <c r="J191" i="5" s="1"/>
  <c r="C189" i="5"/>
  <c r="D189" i="5" s="1"/>
  <c r="C186" i="5"/>
  <c r="D186" i="5" s="1"/>
  <c r="J186" i="5" s="1"/>
  <c r="F194" i="5"/>
  <c r="F188" i="5"/>
  <c r="G188" i="5" s="1"/>
  <c r="J188" i="5" s="1"/>
  <c r="F179" i="5"/>
  <c r="G179" i="5" s="1"/>
  <c r="J179" i="5" s="1"/>
  <c r="C211" i="5"/>
  <c r="D211" i="5" s="1"/>
  <c r="J211" i="5" s="1"/>
  <c r="C221" i="5"/>
  <c r="D221" i="5" s="1"/>
  <c r="J221" i="5" s="1"/>
  <c r="C218" i="5"/>
  <c r="D218" i="5" s="1"/>
  <c r="C215" i="5"/>
  <c r="D215" i="5" s="1"/>
  <c r="J215" i="5" s="1"/>
  <c r="F200" i="5"/>
  <c r="G200" i="5" s="1"/>
  <c r="J200" i="5" s="1"/>
  <c r="F218" i="5"/>
  <c r="G218" i="5" s="1"/>
  <c r="F216" i="5"/>
  <c r="G216" i="5" s="1"/>
  <c r="J216" i="5" s="1"/>
  <c r="F208" i="5"/>
  <c r="G208" i="5" s="1"/>
  <c r="J208" i="5" s="1"/>
  <c r="F205" i="5"/>
  <c r="G205" i="5" s="1"/>
  <c r="J205" i="5" s="1"/>
  <c r="C183" i="5"/>
  <c r="D183" i="5" s="1"/>
  <c r="J183" i="5" s="1"/>
  <c r="C193" i="5"/>
  <c r="D193" i="5" s="1"/>
  <c r="J193" i="5" s="1"/>
  <c r="C190" i="5"/>
  <c r="D190" i="5" s="1"/>
  <c r="J190" i="5" s="1"/>
  <c r="F172" i="5"/>
  <c r="G172" i="5" s="1"/>
  <c r="J172" i="5" s="1"/>
  <c r="F189" i="5"/>
  <c r="G189" i="5" s="1"/>
  <c r="F185" i="5"/>
  <c r="G185" i="5" s="1"/>
  <c r="J185" i="5" s="1"/>
  <c r="C222" i="5"/>
  <c r="C219" i="5"/>
  <c r="D219" i="5" s="1"/>
  <c r="J219" i="5" s="1"/>
  <c r="C217" i="5"/>
  <c r="D217" i="5" s="1"/>
  <c r="F222" i="5"/>
  <c r="F217" i="5"/>
  <c r="G217" i="5" s="1"/>
  <c r="J217" i="5" s="1"/>
  <c r="F214" i="5"/>
  <c r="G214" i="5" s="1"/>
  <c r="J214" i="5" s="1"/>
  <c r="F207" i="5"/>
  <c r="G207" i="5" s="1"/>
  <c r="J207" i="5" s="1"/>
  <c r="F2252" i="1"/>
  <c r="F2624" i="1"/>
  <c r="F2623" i="1"/>
  <c r="D2604" i="1"/>
  <c r="E2604" i="1" s="1"/>
  <c r="D2605" i="1"/>
  <c r="E2605" i="1" s="1"/>
  <c r="F2605" i="1" s="1"/>
  <c r="D2606" i="1"/>
  <c r="E2606" i="1" s="1"/>
  <c r="F2629" i="1"/>
  <c r="F2627" i="1"/>
  <c r="F2628" i="1"/>
  <c r="F2622" i="1"/>
  <c r="F2621" i="1"/>
  <c r="B2339" i="1"/>
  <c r="C2294" i="1" s="1"/>
  <c r="F2060" i="1"/>
  <c r="F1860" i="1"/>
  <c r="B1860" i="1"/>
  <c r="C1855" i="1" s="1"/>
  <c r="D1855" i="1" s="1"/>
  <c r="E1855" i="1" s="1"/>
  <c r="F1964" i="1"/>
  <c r="F2206" i="1"/>
  <c r="G2423" i="1"/>
  <c r="D2425" i="1"/>
  <c r="D2143" i="1"/>
  <c r="E2143" i="1" s="1"/>
  <c r="F2143" i="1"/>
  <c r="D2481" i="1"/>
  <c r="E2481" i="1" s="1"/>
  <c r="C1950" i="1"/>
  <c r="C1949" i="1"/>
  <c r="C1946" i="1"/>
  <c r="C1945" i="1"/>
  <c r="C1942" i="1"/>
  <c r="C1941" i="1"/>
  <c r="C1938" i="1"/>
  <c r="C1937" i="1"/>
  <c r="C1934" i="1"/>
  <c r="C1933" i="1"/>
  <c r="C1930" i="1"/>
  <c r="C1929" i="1"/>
  <c r="C1926" i="1"/>
  <c r="C1925" i="1"/>
  <c r="C1922" i="1"/>
  <c r="C1921" i="1"/>
  <c r="C1918" i="1"/>
  <c r="C1917" i="1"/>
  <c r="C2187" i="1"/>
  <c r="C2186" i="1"/>
  <c r="C2183" i="1"/>
  <c r="C2182" i="1"/>
  <c r="C2179" i="1"/>
  <c r="C2178" i="1"/>
  <c r="C2175" i="1"/>
  <c r="C2174" i="1"/>
  <c r="C2171" i="1"/>
  <c r="C2170" i="1"/>
  <c r="C2167" i="1"/>
  <c r="C2166" i="1"/>
  <c r="C2163" i="1"/>
  <c r="C2162" i="1"/>
  <c r="C2159" i="1"/>
  <c r="C2158" i="1"/>
  <c r="C2156" i="1"/>
  <c r="C2154" i="1"/>
  <c r="C2153" i="1"/>
  <c r="C2151" i="1"/>
  <c r="C2149" i="1"/>
  <c r="C2148" i="1"/>
  <c r="C2145" i="1"/>
  <c r="C2144" i="1"/>
  <c r="B2216" i="1"/>
  <c r="C2212" i="1" s="1"/>
  <c r="C2503" i="1"/>
  <c r="C2502" i="1"/>
  <c r="C2499" i="1"/>
  <c r="C2498" i="1"/>
  <c r="C2495" i="1"/>
  <c r="C2494" i="1"/>
  <c r="C2491" i="1"/>
  <c r="C2490" i="1"/>
  <c r="C2487" i="1"/>
  <c r="C2486" i="1"/>
  <c r="C2483" i="1"/>
  <c r="C2482" i="1"/>
  <c r="E2442" i="1"/>
  <c r="F2401" i="1"/>
  <c r="C2107" i="1"/>
  <c r="E2059" i="1"/>
  <c r="F2137" i="1"/>
  <c r="C1915" i="1"/>
  <c r="C1951" i="1"/>
  <c r="C1948" i="1"/>
  <c r="C1947" i="1"/>
  <c r="C1944" i="1"/>
  <c r="C1943" i="1"/>
  <c r="C1940" i="1"/>
  <c r="C1939" i="1"/>
  <c r="C1936" i="1"/>
  <c r="C1935" i="1"/>
  <c r="C1932" i="1"/>
  <c r="C1931" i="1"/>
  <c r="C1928" i="1"/>
  <c r="C1927" i="1"/>
  <c r="C1924" i="1"/>
  <c r="C1923" i="1"/>
  <c r="C1920" i="1"/>
  <c r="C1919" i="1"/>
  <c r="C2142" i="1"/>
  <c r="C2188" i="1"/>
  <c r="C2185" i="1"/>
  <c r="C2184" i="1"/>
  <c r="C2181" i="1"/>
  <c r="C2180" i="1"/>
  <c r="C2177" i="1"/>
  <c r="C2176" i="1"/>
  <c r="C2173" i="1"/>
  <c r="C2172" i="1"/>
  <c r="C2169" i="1"/>
  <c r="C2168" i="1"/>
  <c r="C2165" i="1"/>
  <c r="C2164" i="1"/>
  <c r="C2161" i="1"/>
  <c r="C2160" i="1"/>
  <c r="C2157" i="1"/>
  <c r="C2155" i="1"/>
  <c r="C2152" i="1"/>
  <c r="C2150" i="1"/>
  <c r="C2147" i="1"/>
  <c r="C2146" i="1"/>
  <c r="C2480" i="1"/>
  <c r="C2504" i="1"/>
  <c r="C2501" i="1"/>
  <c r="C2500" i="1"/>
  <c r="C2497" i="1"/>
  <c r="C2496" i="1"/>
  <c r="C2493" i="1"/>
  <c r="C2492" i="1"/>
  <c r="C2489" i="1"/>
  <c r="C2488" i="1"/>
  <c r="C2485" i="1"/>
  <c r="C2484" i="1"/>
  <c r="F2388" i="1"/>
  <c r="D2294" i="1"/>
  <c r="E2294" i="1" s="1"/>
  <c r="C2291" i="1"/>
  <c r="C2325" i="1"/>
  <c r="C2322" i="1"/>
  <c r="C2318" i="1"/>
  <c r="C2316" i="1"/>
  <c r="C2308" i="1"/>
  <c r="C2307" i="1"/>
  <c r="C2298" i="1"/>
  <c r="C2297" i="1"/>
  <c r="C2295" i="1"/>
  <c r="C2292" i="1"/>
  <c r="C2328" i="1"/>
  <c r="C2326" i="1"/>
  <c r="C2323" i="1"/>
  <c r="C2321" i="1"/>
  <c r="C2310" i="1"/>
  <c r="C2302" i="1"/>
  <c r="D2365" i="1"/>
  <c r="E2365" i="1" s="1"/>
  <c r="C2402" i="1"/>
  <c r="C2401" i="1"/>
  <c r="C2396" i="1"/>
  <c r="C2393" i="1"/>
  <c r="C2389" i="1"/>
  <c r="C2386" i="1"/>
  <c r="C2380" i="1"/>
  <c r="C2379" i="1"/>
  <c r="C2364" i="1"/>
  <c r="C2357" i="1"/>
  <c r="C2353" i="1"/>
  <c r="C2404" i="1"/>
  <c r="C2403" i="1"/>
  <c r="C2400" i="1"/>
  <c r="C2399" i="1"/>
  <c r="C2397" i="1"/>
  <c r="C2395" i="1"/>
  <c r="C2391" i="1"/>
  <c r="C2390" i="1"/>
  <c r="C2388" i="1"/>
  <c r="C2381" i="1"/>
  <c r="C2378" i="1"/>
  <c r="C2377" i="1"/>
  <c r="D2430" i="1"/>
  <c r="D2452" i="1"/>
  <c r="D2445" i="1"/>
  <c r="D2442" i="1"/>
  <c r="E2456" i="1"/>
  <c r="E2447" i="1"/>
  <c r="E2443" i="1"/>
  <c r="F2430" i="1"/>
  <c r="F2452" i="1"/>
  <c r="F2445" i="1"/>
  <c r="F2442" i="1"/>
  <c r="D2456" i="1"/>
  <c r="D2447" i="1"/>
  <c r="D2443" i="1"/>
  <c r="G2443" i="1" s="1"/>
  <c r="E2430" i="1"/>
  <c r="E2452" i="1"/>
  <c r="E2445" i="1"/>
  <c r="F2456" i="1"/>
  <c r="F2447" i="1"/>
  <c r="D2244" i="1"/>
  <c r="E2244" i="1" s="1"/>
  <c r="C2241" i="1"/>
  <c r="C2249" i="1"/>
  <c r="C2245" i="1"/>
  <c r="C2242" i="1"/>
  <c r="C2246" i="1"/>
  <c r="D2078" i="1"/>
  <c r="D2076" i="1"/>
  <c r="D2074" i="1"/>
  <c r="D2072" i="1"/>
  <c r="D2070" i="1"/>
  <c r="D2068" i="1"/>
  <c r="D2066" i="1"/>
  <c r="D2064" i="1"/>
  <c r="D2062" i="1"/>
  <c r="D2060" i="1"/>
  <c r="F2058" i="1"/>
  <c r="F2077" i="1"/>
  <c r="F2075" i="1"/>
  <c r="F2073" i="1"/>
  <c r="F2071" i="1"/>
  <c r="F2069" i="1"/>
  <c r="F2067" i="1"/>
  <c r="F2065" i="1"/>
  <c r="F2063" i="1"/>
  <c r="F2061" i="1"/>
  <c r="F2059" i="1"/>
  <c r="D2058" i="1"/>
  <c r="D2077" i="1"/>
  <c r="D2075" i="1"/>
  <c r="D2073" i="1"/>
  <c r="D2071" i="1"/>
  <c r="D2069" i="1"/>
  <c r="D2067" i="1"/>
  <c r="D2065" i="1"/>
  <c r="D2063" i="1"/>
  <c r="D2061" i="1"/>
  <c r="D2059" i="1"/>
  <c r="G2059" i="1" s="1"/>
  <c r="F2078" i="1"/>
  <c r="F2076" i="1"/>
  <c r="F2074" i="1"/>
  <c r="F2072" i="1"/>
  <c r="F2070" i="1"/>
  <c r="F2068" i="1"/>
  <c r="F2066" i="1"/>
  <c r="F2064" i="1"/>
  <c r="F2062" i="1"/>
  <c r="E2078" i="1"/>
  <c r="E2076" i="1"/>
  <c r="G2076" i="1" s="1"/>
  <c r="E2074" i="1"/>
  <c r="G2074" i="1" s="1"/>
  <c r="E2072" i="1"/>
  <c r="E2070" i="1"/>
  <c r="E2068" i="1"/>
  <c r="G2068" i="1" s="1"/>
  <c r="E2066" i="1"/>
  <c r="G2066" i="1" s="1"/>
  <c r="E2064" i="1"/>
  <c r="G2064" i="1" s="1"/>
  <c r="E2062" i="1"/>
  <c r="E2060" i="1"/>
  <c r="G2060" i="1" s="1"/>
  <c r="E2058" i="1"/>
  <c r="G2058" i="1" s="1"/>
  <c r="E2077" i="1"/>
  <c r="E2075" i="1"/>
  <c r="E2073" i="1"/>
  <c r="E2071" i="1"/>
  <c r="G2071" i="1" s="1"/>
  <c r="E2069" i="1"/>
  <c r="G2069" i="1" s="1"/>
  <c r="E2067" i="1"/>
  <c r="E2065" i="1"/>
  <c r="G2065" i="1" s="1"/>
  <c r="E2063" i="1"/>
  <c r="G2063" i="1" s="1"/>
  <c r="E2061" i="1"/>
  <c r="D2107" i="1"/>
  <c r="E2107" i="1" s="1"/>
  <c r="C2122" i="1"/>
  <c r="C2120" i="1"/>
  <c r="C2118" i="1"/>
  <c r="C2116" i="1"/>
  <c r="C2114" i="1"/>
  <c r="C2112" i="1"/>
  <c r="C2110" i="1"/>
  <c r="C2108" i="1"/>
  <c r="C2106" i="1"/>
  <c r="C2105" i="1"/>
  <c r="C2123" i="1"/>
  <c r="C2121" i="1"/>
  <c r="C2119" i="1"/>
  <c r="C2117" i="1"/>
  <c r="C2115" i="1"/>
  <c r="C2113" i="1"/>
  <c r="C2111" i="1"/>
  <c r="C2109" i="1"/>
  <c r="C1851" i="1" l="1"/>
  <c r="G2067" i="1"/>
  <c r="G2062" i="1"/>
  <c r="G2078" i="1"/>
  <c r="C1854" i="1"/>
  <c r="C1863" i="1" s="1"/>
  <c r="J189" i="5"/>
  <c r="J218" i="5"/>
  <c r="C1853" i="1"/>
  <c r="D1853" i="1" s="1"/>
  <c r="E1853" i="1" s="1"/>
  <c r="G2075" i="1"/>
  <c r="G2070" i="1"/>
  <c r="G2073" i="1"/>
  <c r="G2061" i="1"/>
  <c r="G2077" i="1"/>
  <c r="G2072" i="1"/>
  <c r="F2606" i="1"/>
  <c r="F2604" i="1"/>
  <c r="C1852" i="1"/>
  <c r="D1852" i="1" s="1"/>
  <c r="E1852" i="1" s="1"/>
  <c r="D2212" i="1"/>
  <c r="E2212" i="1" s="1"/>
  <c r="D2484" i="1"/>
  <c r="E2484" i="1" s="1"/>
  <c r="D2488" i="1"/>
  <c r="E2488" i="1" s="1"/>
  <c r="F2488" i="1" s="1"/>
  <c r="D2492" i="1"/>
  <c r="E2492" i="1" s="1"/>
  <c r="D2496" i="1"/>
  <c r="E2496" i="1" s="1"/>
  <c r="D2500" i="1"/>
  <c r="E2500" i="1" s="1"/>
  <c r="D2504" i="1"/>
  <c r="E2504" i="1" s="1"/>
  <c r="D2146" i="1"/>
  <c r="E2146" i="1" s="1"/>
  <c r="D2150" i="1"/>
  <c r="E2150" i="1" s="1"/>
  <c r="D2155" i="1"/>
  <c r="E2155" i="1" s="1"/>
  <c r="D2160" i="1"/>
  <c r="E2160" i="1" s="1"/>
  <c r="D2164" i="1"/>
  <c r="E2164" i="1" s="1"/>
  <c r="D2168" i="1"/>
  <c r="E2168" i="1" s="1"/>
  <c r="D2172" i="1"/>
  <c r="E2172" i="1" s="1"/>
  <c r="D2176" i="1"/>
  <c r="E2176" i="1" s="1"/>
  <c r="D2180" i="1"/>
  <c r="E2180" i="1" s="1"/>
  <c r="D2184" i="1"/>
  <c r="E2184" i="1" s="1"/>
  <c r="D2188" i="1"/>
  <c r="E2188" i="1" s="1"/>
  <c r="D1919" i="1"/>
  <c r="E1919" i="1" s="1"/>
  <c r="D1923" i="1"/>
  <c r="E1923" i="1" s="1"/>
  <c r="D1927" i="1"/>
  <c r="E1927" i="1" s="1"/>
  <c r="D1931" i="1"/>
  <c r="E1931" i="1" s="1"/>
  <c r="D1935" i="1"/>
  <c r="E1935" i="1" s="1"/>
  <c r="D1939" i="1"/>
  <c r="E1939" i="1" s="1"/>
  <c r="D1943" i="1"/>
  <c r="E1943" i="1" s="1"/>
  <c r="D1947" i="1"/>
  <c r="E1947" i="1" s="1"/>
  <c r="D1951" i="1"/>
  <c r="E1951" i="1" s="1"/>
  <c r="D2483" i="1"/>
  <c r="E2483" i="1" s="1"/>
  <c r="D2487" i="1"/>
  <c r="E2487" i="1" s="1"/>
  <c r="D2491" i="1"/>
  <c r="E2491" i="1" s="1"/>
  <c r="D2495" i="1"/>
  <c r="E2495" i="1" s="1"/>
  <c r="D2499" i="1"/>
  <c r="E2499" i="1" s="1"/>
  <c r="D2503" i="1"/>
  <c r="E2503" i="1" s="1"/>
  <c r="D2144" i="1"/>
  <c r="E2144" i="1" s="1"/>
  <c r="D2148" i="1"/>
  <c r="E2148" i="1" s="1"/>
  <c r="D2151" i="1"/>
  <c r="E2151" i="1" s="1"/>
  <c r="D2154" i="1"/>
  <c r="E2154" i="1" s="1"/>
  <c r="D2158" i="1"/>
  <c r="E2158" i="1" s="1"/>
  <c r="D2162" i="1"/>
  <c r="E2162" i="1" s="1"/>
  <c r="D2166" i="1"/>
  <c r="E2166" i="1" s="1"/>
  <c r="F2166" i="1" s="1"/>
  <c r="D2170" i="1"/>
  <c r="E2170" i="1" s="1"/>
  <c r="D2174" i="1"/>
  <c r="E2174" i="1" s="1"/>
  <c r="D2178" i="1"/>
  <c r="E2178" i="1" s="1"/>
  <c r="D2182" i="1"/>
  <c r="E2182" i="1" s="1"/>
  <c r="D2186" i="1"/>
  <c r="E2186" i="1" s="1"/>
  <c r="D1917" i="1"/>
  <c r="E1917" i="1" s="1"/>
  <c r="D1921" i="1"/>
  <c r="E1921" i="1" s="1"/>
  <c r="D1925" i="1"/>
  <c r="E1925" i="1" s="1"/>
  <c r="D1929" i="1"/>
  <c r="E1929" i="1" s="1"/>
  <c r="D1933" i="1"/>
  <c r="E1933" i="1" s="1"/>
  <c r="D1937" i="1"/>
  <c r="E1937" i="1" s="1"/>
  <c r="D1941" i="1"/>
  <c r="E1941" i="1" s="1"/>
  <c r="D1945" i="1"/>
  <c r="E1945" i="1" s="1"/>
  <c r="D1949" i="1"/>
  <c r="E1949" i="1" s="1"/>
  <c r="C2211" i="1"/>
  <c r="D2485" i="1"/>
  <c r="E2485" i="1" s="1"/>
  <c r="D2489" i="1"/>
  <c r="E2489" i="1" s="1"/>
  <c r="D2493" i="1"/>
  <c r="E2493" i="1" s="1"/>
  <c r="D2497" i="1"/>
  <c r="E2497" i="1" s="1"/>
  <c r="D2501" i="1"/>
  <c r="E2501" i="1" s="1"/>
  <c r="D2480" i="1"/>
  <c r="E2480" i="1" s="1"/>
  <c r="D2147" i="1"/>
  <c r="E2147" i="1" s="1"/>
  <c r="D2152" i="1"/>
  <c r="E2152" i="1" s="1"/>
  <c r="D2157" i="1"/>
  <c r="E2157" i="1" s="1"/>
  <c r="D2161" i="1"/>
  <c r="E2161" i="1" s="1"/>
  <c r="D2165" i="1"/>
  <c r="E2165" i="1" s="1"/>
  <c r="D2169" i="1"/>
  <c r="E2169" i="1" s="1"/>
  <c r="D2173" i="1"/>
  <c r="E2173" i="1" s="1"/>
  <c r="D2177" i="1"/>
  <c r="E2177" i="1" s="1"/>
  <c r="D2181" i="1"/>
  <c r="E2181" i="1" s="1"/>
  <c r="D2185" i="1"/>
  <c r="E2185" i="1" s="1"/>
  <c r="D2142" i="1"/>
  <c r="E2142" i="1" s="1"/>
  <c r="D1920" i="1"/>
  <c r="E1920" i="1" s="1"/>
  <c r="D1924" i="1"/>
  <c r="E1924" i="1" s="1"/>
  <c r="D1928" i="1"/>
  <c r="E1928" i="1" s="1"/>
  <c r="D1932" i="1"/>
  <c r="E1932" i="1" s="1"/>
  <c r="D1936" i="1"/>
  <c r="E1936" i="1" s="1"/>
  <c r="D1940" i="1"/>
  <c r="E1940" i="1" s="1"/>
  <c r="D1944" i="1"/>
  <c r="E1944" i="1" s="1"/>
  <c r="D1948" i="1"/>
  <c r="E1948" i="1" s="1"/>
  <c r="D1915" i="1"/>
  <c r="E1915" i="1" s="1"/>
  <c r="D2482" i="1"/>
  <c r="E2482" i="1" s="1"/>
  <c r="D2486" i="1"/>
  <c r="E2486" i="1" s="1"/>
  <c r="D2490" i="1"/>
  <c r="E2490" i="1" s="1"/>
  <c r="D2494" i="1"/>
  <c r="E2494" i="1" s="1"/>
  <c r="D2498" i="1"/>
  <c r="E2498" i="1" s="1"/>
  <c r="D2502" i="1"/>
  <c r="E2502" i="1" s="1"/>
  <c r="D2145" i="1"/>
  <c r="E2145" i="1" s="1"/>
  <c r="D2149" i="1"/>
  <c r="E2149" i="1" s="1"/>
  <c r="D2153" i="1"/>
  <c r="E2153" i="1" s="1"/>
  <c r="D2156" i="1"/>
  <c r="E2156" i="1" s="1"/>
  <c r="D2159" i="1"/>
  <c r="E2159" i="1" s="1"/>
  <c r="D2163" i="1"/>
  <c r="E2163" i="1" s="1"/>
  <c r="D2167" i="1"/>
  <c r="E2167" i="1" s="1"/>
  <c r="D2171" i="1"/>
  <c r="E2171" i="1" s="1"/>
  <c r="D2175" i="1"/>
  <c r="E2175" i="1" s="1"/>
  <c r="D2179" i="1"/>
  <c r="E2179" i="1" s="1"/>
  <c r="D2183" i="1"/>
  <c r="E2183" i="1" s="1"/>
  <c r="D2187" i="1"/>
  <c r="E2187" i="1" s="1"/>
  <c r="D1918" i="1"/>
  <c r="E1918" i="1" s="1"/>
  <c r="D1922" i="1"/>
  <c r="E1922" i="1" s="1"/>
  <c r="D1926" i="1"/>
  <c r="E1926" i="1" s="1"/>
  <c r="D1930" i="1"/>
  <c r="E1930" i="1" s="1"/>
  <c r="D1934" i="1"/>
  <c r="E1934" i="1" s="1"/>
  <c r="D1938" i="1"/>
  <c r="E1938" i="1" s="1"/>
  <c r="D1942" i="1"/>
  <c r="E1942" i="1" s="1"/>
  <c r="D1946" i="1"/>
  <c r="E1946" i="1" s="1"/>
  <c r="D1950" i="1"/>
  <c r="E1950" i="1" s="1"/>
  <c r="D1851" i="1"/>
  <c r="E1851" i="1" s="1"/>
  <c r="F2481" i="1"/>
  <c r="F1855" i="1"/>
  <c r="F1916" i="1"/>
  <c r="F1852" i="1"/>
  <c r="F2294" i="1"/>
  <c r="D2302" i="1"/>
  <c r="E2302" i="1" s="1"/>
  <c r="D2321" i="1"/>
  <c r="E2321" i="1" s="1"/>
  <c r="D2326" i="1"/>
  <c r="E2326" i="1" s="1"/>
  <c r="D2292" i="1"/>
  <c r="E2292" i="1" s="1"/>
  <c r="D2297" i="1"/>
  <c r="E2297" i="1" s="1"/>
  <c r="D2307" i="1"/>
  <c r="E2307" i="1" s="1"/>
  <c r="D2316" i="1"/>
  <c r="E2316" i="1" s="1"/>
  <c r="D2322" i="1"/>
  <c r="E2322" i="1" s="1"/>
  <c r="D2291" i="1"/>
  <c r="E2291" i="1" s="1"/>
  <c r="D2310" i="1"/>
  <c r="E2310" i="1" s="1"/>
  <c r="D2323" i="1"/>
  <c r="E2323" i="1" s="1"/>
  <c r="D2328" i="1"/>
  <c r="E2328" i="1" s="1"/>
  <c r="F2328" i="1" s="1"/>
  <c r="D2295" i="1"/>
  <c r="E2295" i="1" s="1"/>
  <c r="D2298" i="1"/>
  <c r="E2298" i="1" s="1"/>
  <c r="D2308" i="1"/>
  <c r="E2308" i="1" s="1"/>
  <c r="D2318" i="1"/>
  <c r="E2318" i="1" s="1"/>
  <c r="D2325" i="1"/>
  <c r="E2325" i="1" s="1"/>
  <c r="D2377" i="1"/>
  <c r="E2377" i="1" s="1"/>
  <c r="D2381" i="1"/>
  <c r="E2381" i="1" s="1"/>
  <c r="D2390" i="1"/>
  <c r="E2390" i="1" s="1"/>
  <c r="D2395" i="1"/>
  <c r="E2395" i="1" s="1"/>
  <c r="D2399" i="1"/>
  <c r="E2399" i="1" s="1"/>
  <c r="D2403" i="1"/>
  <c r="E2403" i="1" s="1"/>
  <c r="D2353" i="1"/>
  <c r="E2353" i="1" s="1"/>
  <c r="D2364" i="1"/>
  <c r="E2364" i="1" s="1"/>
  <c r="D2380" i="1"/>
  <c r="E2380" i="1" s="1"/>
  <c r="D2389" i="1"/>
  <c r="E2389" i="1" s="1"/>
  <c r="D2396" i="1"/>
  <c r="E2396" i="1" s="1"/>
  <c r="D2402" i="1"/>
  <c r="E2402" i="1" s="1"/>
  <c r="G2365" i="1"/>
  <c r="D2378" i="1"/>
  <c r="E2378" i="1" s="1"/>
  <c r="D2388" i="1"/>
  <c r="E2388" i="1" s="1"/>
  <c r="D2391" i="1"/>
  <c r="E2391" i="1" s="1"/>
  <c r="D2397" i="1"/>
  <c r="E2397" i="1" s="1"/>
  <c r="D2400" i="1"/>
  <c r="E2400" i="1" s="1"/>
  <c r="D2404" i="1"/>
  <c r="E2404" i="1" s="1"/>
  <c r="D2357" i="1"/>
  <c r="E2357" i="1" s="1"/>
  <c r="D2379" i="1"/>
  <c r="E2379" i="1" s="1"/>
  <c r="D2386" i="1"/>
  <c r="E2386" i="1" s="1"/>
  <c r="D2393" i="1"/>
  <c r="E2393" i="1" s="1"/>
  <c r="G2393" i="1" s="1"/>
  <c r="D2401" i="1"/>
  <c r="E2401" i="1" s="1"/>
  <c r="G2447" i="1"/>
  <c r="G2445" i="1"/>
  <c r="G2430" i="1"/>
  <c r="G2456" i="1"/>
  <c r="G2442" i="1"/>
  <c r="G2452" i="1"/>
  <c r="F2244" i="1"/>
  <c r="D2246" i="1"/>
  <c r="E2246" i="1" s="1"/>
  <c r="D2245" i="1"/>
  <c r="E2245" i="1" s="1"/>
  <c r="D2241" i="1"/>
  <c r="E2241" i="1" s="1"/>
  <c r="D2242" i="1"/>
  <c r="E2242" i="1" s="1"/>
  <c r="D2249" i="1"/>
  <c r="E2249" i="1" s="1"/>
  <c r="D2111" i="1"/>
  <c r="E2111" i="1" s="1"/>
  <c r="D2115" i="1"/>
  <c r="E2115" i="1" s="1"/>
  <c r="D2119" i="1"/>
  <c r="E2119" i="1" s="1"/>
  <c r="D2123" i="1"/>
  <c r="E2123" i="1" s="1"/>
  <c r="D2106" i="1"/>
  <c r="E2106" i="1" s="1"/>
  <c r="D2110" i="1"/>
  <c r="E2110" i="1" s="1"/>
  <c r="D2114" i="1"/>
  <c r="E2114" i="1" s="1"/>
  <c r="D2118" i="1"/>
  <c r="E2118" i="1" s="1"/>
  <c r="D2122" i="1"/>
  <c r="E2122" i="1" s="1"/>
  <c r="D2109" i="1"/>
  <c r="E2109" i="1" s="1"/>
  <c r="D2113" i="1"/>
  <c r="E2113" i="1" s="1"/>
  <c r="D2117" i="1"/>
  <c r="E2117" i="1" s="1"/>
  <c r="D2121" i="1"/>
  <c r="E2121" i="1" s="1"/>
  <c r="D2105" i="1"/>
  <c r="E2105" i="1" s="1"/>
  <c r="F2105" i="1" s="1"/>
  <c r="D2108" i="1"/>
  <c r="E2108" i="1" s="1"/>
  <c r="D2112" i="1"/>
  <c r="E2112" i="1" s="1"/>
  <c r="D2116" i="1"/>
  <c r="E2116" i="1" s="1"/>
  <c r="D2120" i="1"/>
  <c r="E2120" i="1" s="1"/>
  <c r="F2107" i="1"/>
  <c r="D1854" i="1" l="1"/>
  <c r="F2120" i="1"/>
  <c r="F2116" i="1"/>
  <c r="F2112" i="1"/>
  <c r="F2108" i="1"/>
  <c r="F2153" i="1"/>
  <c r="F1915" i="1"/>
  <c r="F2142" i="1"/>
  <c r="F2155" i="1"/>
  <c r="F2150" i="1"/>
  <c r="G2378" i="1"/>
  <c r="F1853" i="1"/>
  <c r="F2157" i="1"/>
  <c r="F2480" i="1"/>
  <c r="F2162" i="1"/>
  <c r="F2158" i="1"/>
  <c r="F2154" i="1"/>
  <c r="F2151" i="1"/>
  <c r="F2148" i="1"/>
  <c r="F2144" i="1"/>
  <c r="F2503" i="1"/>
  <c r="F2499" i="1"/>
  <c r="F2495" i="1"/>
  <c r="F2491" i="1"/>
  <c r="F2487" i="1"/>
  <c r="F2483" i="1"/>
  <c r="F2484" i="1"/>
  <c r="E1854" i="1"/>
  <c r="D1863" i="1"/>
  <c r="F1951" i="1"/>
  <c r="F1947" i="1"/>
  <c r="F1943" i="1"/>
  <c r="F1939" i="1"/>
  <c r="F1935" i="1"/>
  <c r="F1931" i="1"/>
  <c r="F1927" i="1"/>
  <c r="F1923" i="1"/>
  <c r="F1919" i="1"/>
  <c r="F2188" i="1"/>
  <c r="F2184" i="1"/>
  <c r="F2180" i="1"/>
  <c r="F2176" i="1"/>
  <c r="F2172" i="1"/>
  <c r="F2168" i="1"/>
  <c r="F2164" i="1"/>
  <c r="F2160" i="1"/>
  <c r="F2146" i="1"/>
  <c r="F2504" i="1"/>
  <c r="F2500" i="1"/>
  <c r="F2496" i="1"/>
  <c r="F2492" i="1"/>
  <c r="D2211" i="1"/>
  <c r="E2211" i="1" s="1"/>
  <c r="F2211" i="1" s="1"/>
  <c r="F2122" i="1"/>
  <c r="F2118" i="1"/>
  <c r="F2114" i="1"/>
  <c r="F2110" i="1"/>
  <c r="F2106" i="1"/>
  <c r="F1851" i="1"/>
  <c r="F1950" i="1"/>
  <c r="F1946" i="1"/>
  <c r="F1942" i="1"/>
  <c r="F1938" i="1"/>
  <c r="F1934" i="1"/>
  <c r="F1930" i="1"/>
  <c r="F1926" i="1"/>
  <c r="F1922" i="1"/>
  <c r="F1918" i="1"/>
  <c r="F2187" i="1"/>
  <c r="F2183" i="1"/>
  <c r="F2179" i="1"/>
  <c r="F2175" i="1"/>
  <c r="F2171" i="1"/>
  <c r="F2167" i="1"/>
  <c r="F2163" i="1"/>
  <c r="F2159" i="1"/>
  <c r="F2156" i="1"/>
  <c r="F2149" i="1"/>
  <c r="F2145" i="1"/>
  <c r="F2502" i="1"/>
  <c r="F2498" i="1"/>
  <c r="F2494" i="1"/>
  <c r="F2490" i="1"/>
  <c r="F2486" i="1"/>
  <c r="F2482" i="1"/>
  <c r="F1948" i="1"/>
  <c r="F1944" i="1"/>
  <c r="F1940" i="1"/>
  <c r="F1936" i="1"/>
  <c r="F1932" i="1"/>
  <c r="F1928" i="1"/>
  <c r="F1924" i="1"/>
  <c r="F1920" i="1"/>
  <c r="F2185" i="1"/>
  <c r="F2181" i="1"/>
  <c r="F2177" i="1"/>
  <c r="F2173" i="1"/>
  <c r="F2169" i="1"/>
  <c r="F2165" i="1"/>
  <c r="F2161" i="1"/>
  <c r="F2152" i="1"/>
  <c r="F2147" i="1"/>
  <c r="F2501" i="1"/>
  <c r="F2497" i="1"/>
  <c r="F2493" i="1"/>
  <c r="F2489" i="1"/>
  <c r="F2485" i="1"/>
  <c r="F1949" i="1"/>
  <c r="F1945" i="1"/>
  <c r="F1941" i="1"/>
  <c r="F1937" i="1"/>
  <c r="F1933" i="1"/>
  <c r="F1929" i="1"/>
  <c r="F1925" i="1"/>
  <c r="F1921" i="1"/>
  <c r="F1917" i="1"/>
  <c r="F2186" i="1"/>
  <c r="F2182" i="1"/>
  <c r="F2178" i="1"/>
  <c r="F2174" i="1"/>
  <c r="F2170" i="1"/>
  <c r="F2212" i="1"/>
  <c r="F2291" i="1"/>
  <c r="F2297" i="1"/>
  <c r="F2316" i="1"/>
  <c r="F2326" i="1"/>
  <c r="F2325" i="1"/>
  <c r="F2318" i="1"/>
  <c r="F2308" i="1"/>
  <c r="F2298" i="1"/>
  <c r="F2295" i="1"/>
  <c r="F2323" i="1"/>
  <c r="F2310" i="1"/>
  <c r="F2322" i="1"/>
  <c r="F2307" i="1"/>
  <c r="F2292" i="1"/>
  <c r="F2321" i="1"/>
  <c r="F2302" i="1"/>
  <c r="G2386" i="1"/>
  <c r="G2357" i="1"/>
  <c r="G2404" i="1"/>
  <c r="G2400" i="1"/>
  <c r="G2353" i="1"/>
  <c r="G2403" i="1"/>
  <c r="G2399" i="1"/>
  <c r="G2377" i="1"/>
  <c r="G2391" i="1"/>
  <c r="G2388" i="1"/>
  <c r="G2390" i="1"/>
  <c r="G2401" i="1"/>
  <c r="G2379" i="1"/>
  <c r="G2397" i="1"/>
  <c r="G2402" i="1"/>
  <c r="G2396" i="1"/>
  <c r="G2389" i="1"/>
  <c r="G2380" i="1"/>
  <c r="G2364" i="1"/>
  <c r="G2395" i="1"/>
  <c r="G2381" i="1"/>
  <c r="F2241" i="1"/>
  <c r="F2246" i="1"/>
  <c r="F2249" i="1"/>
  <c r="F2242" i="1"/>
  <c r="F2245" i="1"/>
  <c r="F2121" i="1"/>
  <c r="F2117" i="1"/>
  <c r="F2113" i="1"/>
  <c r="F2109" i="1"/>
  <c r="F2123" i="1"/>
  <c r="F2119" i="1"/>
  <c r="F2115" i="1"/>
  <c r="F2111" i="1"/>
  <c r="E1863" i="1" l="1"/>
  <c r="F1854" i="1"/>
  <c r="J140" i="3"/>
  <c r="E125" i="3"/>
  <c r="E126" i="3"/>
  <c r="E129" i="3"/>
  <c r="J129" i="3" s="1"/>
  <c r="E130" i="3"/>
  <c r="E133" i="3"/>
  <c r="E134" i="3"/>
  <c r="J134" i="3" s="1"/>
  <c r="E137" i="3"/>
  <c r="E138" i="3"/>
  <c r="D139" i="3"/>
  <c r="E139" i="3" s="1"/>
  <c r="D138" i="3"/>
  <c r="D137" i="3"/>
  <c r="D136" i="3"/>
  <c r="E136" i="3" s="1"/>
  <c r="D135" i="3"/>
  <c r="E135" i="3" s="1"/>
  <c r="J135" i="3" s="1"/>
  <c r="D134" i="3"/>
  <c r="D133" i="3"/>
  <c r="D132" i="3"/>
  <c r="E132" i="3" s="1"/>
  <c r="D131" i="3"/>
  <c r="E131" i="3" s="1"/>
  <c r="D130" i="3"/>
  <c r="D129" i="3"/>
  <c r="D128" i="3"/>
  <c r="E128" i="3" s="1"/>
  <c r="D127" i="3"/>
  <c r="E127" i="3" s="1"/>
  <c r="D126" i="3"/>
  <c r="D125" i="3"/>
  <c r="D124" i="3"/>
  <c r="D140" i="3" s="1"/>
  <c r="C125" i="3"/>
  <c r="C128" i="3"/>
  <c r="C129" i="3"/>
  <c r="C132" i="3"/>
  <c r="C133" i="3"/>
  <c r="C136" i="3"/>
  <c r="C137" i="3"/>
  <c r="C139" i="3"/>
  <c r="C124" i="3"/>
  <c r="G125" i="3"/>
  <c r="G128" i="3"/>
  <c r="G129" i="3"/>
  <c r="G132" i="3"/>
  <c r="G133" i="3"/>
  <c r="G134" i="3"/>
  <c r="G135" i="3"/>
  <c r="G136" i="3"/>
  <c r="G137" i="3"/>
  <c r="G139" i="3"/>
  <c r="G124" i="3"/>
  <c r="I125" i="3"/>
  <c r="J125" i="3" s="1"/>
  <c r="I126" i="3"/>
  <c r="I128" i="3"/>
  <c r="I129" i="3"/>
  <c r="I132" i="3"/>
  <c r="I133" i="3"/>
  <c r="J133" i="3" s="1"/>
  <c r="I134" i="3"/>
  <c r="I135" i="3"/>
  <c r="I136" i="3"/>
  <c r="J136" i="3" s="1"/>
  <c r="I138" i="3"/>
  <c r="I139" i="3"/>
  <c r="I124" i="3"/>
  <c r="H137" i="3"/>
  <c r="I137" i="3" s="1"/>
  <c r="J137" i="3" s="1"/>
  <c r="H133" i="3"/>
  <c r="H131" i="3"/>
  <c r="I131" i="3" s="1"/>
  <c r="H130" i="3"/>
  <c r="I130" i="3" s="1"/>
  <c r="J130" i="3" s="1"/>
  <c r="H128" i="3"/>
  <c r="H127" i="3"/>
  <c r="I127" i="3" s="1"/>
  <c r="H125" i="3"/>
  <c r="H140" i="3" s="1"/>
  <c r="F140" i="3"/>
  <c r="F138" i="3"/>
  <c r="G138" i="3" s="1"/>
  <c r="F133" i="3"/>
  <c r="F131" i="3"/>
  <c r="G131" i="3" s="1"/>
  <c r="F130" i="3"/>
  <c r="G130" i="3" s="1"/>
  <c r="F129" i="3"/>
  <c r="F128" i="3"/>
  <c r="F127" i="3"/>
  <c r="G127" i="3" s="1"/>
  <c r="F126" i="3"/>
  <c r="G126" i="3" s="1"/>
  <c r="J126" i="3" s="1"/>
  <c r="F125" i="3"/>
  <c r="F124" i="3"/>
  <c r="B139" i="3"/>
  <c r="B138" i="3"/>
  <c r="C138" i="3" s="1"/>
  <c r="B136" i="3"/>
  <c r="B135" i="3"/>
  <c r="C135" i="3" s="1"/>
  <c r="B134" i="3"/>
  <c r="C134" i="3" s="1"/>
  <c r="B133" i="3"/>
  <c r="B132" i="3"/>
  <c r="B131" i="3"/>
  <c r="C131" i="3" s="1"/>
  <c r="B130" i="3"/>
  <c r="C130" i="3" s="1"/>
  <c r="B129" i="3"/>
  <c r="B128" i="3"/>
  <c r="B127" i="3"/>
  <c r="C127" i="3" s="1"/>
  <c r="B126" i="3"/>
  <c r="C126" i="3" s="1"/>
  <c r="B125" i="3"/>
  <c r="B124" i="3"/>
  <c r="J166" i="5"/>
  <c r="E166" i="5"/>
  <c r="F149" i="5" s="1"/>
  <c r="G149" i="5" s="1"/>
  <c r="J149" i="5" s="1"/>
  <c r="B166" i="5"/>
  <c r="C159" i="5" s="1"/>
  <c r="D159" i="5" s="1"/>
  <c r="J159" i="5" s="1"/>
  <c r="B1764" i="1"/>
  <c r="C1733" i="1" s="1"/>
  <c r="E1833" i="1"/>
  <c r="D1833" i="1"/>
  <c r="F1833" i="1" s="1"/>
  <c r="B1833" i="1"/>
  <c r="C1771" i="1" s="1"/>
  <c r="D1764" i="1"/>
  <c r="F1764" i="1" s="1"/>
  <c r="C1716" i="1"/>
  <c r="C1715" i="1"/>
  <c r="C1720" i="1" s="1"/>
  <c r="F1687" i="1" s="1"/>
  <c r="C1717" i="1"/>
  <c r="B1717" i="1"/>
  <c r="B1716" i="1"/>
  <c r="B1715" i="1"/>
  <c r="B1720" i="1" s="1"/>
  <c r="E1720" i="1"/>
  <c r="D1720" i="1"/>
  <c r="B1674" i="1"/>
  <c r="D1674" i="1"/>
  <c r="G1673" i="1"/>
  <c r="E1674" i="1"/>
  <c r="E1672" i="1" s="1"/>
  <c r="G1672" i="1" s="1"/>
  <c r="C1674" i="1"/>
  <c r="B1592" i="1"/>
  <c r="C1562" i="1" s="1"/>
  <c r="E1591" i="1"/>
  <c r="F1591" i="1" s="1"/>
  <c r="E1592" i="1"/>
  <c r="C1592" i="1"/>
  <c r="D1592" i="1"/>
  <c r="E1468" i="1"/>
  <c r="E1466" i="1" s="1"/>
  <c r="F1466" i="1" s="1"/>
  <c r="F1526" i="1"/>
  <c r="F1471" i="1"/>
  <c r="B1482" i="1"/>
  <c r="B1480" i="1"/>
  <c r="E1488" i="1"/>
  <c r="C1488" i="1"/>
  <c r="D1488" i="1"/>
  <c r="D1507" i="1"/>
  <c r="C1507" i="1"/>
  <c r="B1504" i="1"/>
  <c r="B1501" i="1"/>
  <c r="B1500" i="1"/>
  <c r="B1499" i="1"/>
  <c r="J131" i="3" l="1"/>
  <c r="J138" i="3"/>
  <c r="J132" i="3"/>
  <c r="J139" i="3"/>
  <c r="J128" i="3"/>
  <c r="J127" i="3"/>
  <c r="B140" i="3"/>
  <c r="E124" i="3"/>
  <c r="J124" i="3" s="1"/>
  <c r="F1507" i="1"/>
  <c r="C166" i="5"/>
  <c r="C163" i="5"/>
  <c r="D163" i="5" s="1"/>
  <c r="J163" i="5" s="1"/>
  <c r="C161" i="5"/>
  <c r="D161" i="5" s="1"/>
  <c r="C158" i="5"/>
  <c r="D158" i="5" s="1"/>
  <c r="J158" i="5" s="1"/>
  <c r="F145" i="5"/>
  <c r="G145" i="5" s="1"/>
  <c r="J145" i="5" s="1"/>
  <c r="F161" i="5"/>
  <c r="G161" i="5" s="1"/>
  <c r="F157" i="5"/>
  <c r="G157" i="5" s="1"/>
  <c r="J157" i="5" s="1"/>
  <c r="F154" i="5"/>
  <c r="G154" i="5" s="1"/>
  <c r="J154" i="5" s="1"/>
  <c r="F150" i="5"/>
  <c r="G150" i="5" s="1"/>
  <c r="J150" i="5" s="1"/>
  <c r="C155" i="5"/>
  <c r="D155" i="5" s="1"/>
  <c r="C165" i="5"/>
  <c r="D165" i="5" s="1"/>
  <c r="J165" i="5" s="1"/>
  <c r="C162" i="5"/>
  <c r="D162" i="5" s="1"/>
  <c r="J162" i="5" s="1"/>
  <c r="F166" i="5"/>
  <c r="F160" i="5"/>
  <c r="G160" i="5" s="1"/>
  <c r="J160" i="5" s="1"/>
  <c r="F155" i="5"/>
  <c r="G155" i="5" s="1"/>
  <c r="F151" i="5"/>
  <c r="G151" i="5" s="1"/>
  <c r="J151" i="5" s="1"/>
  <c r="F1488" i="1"/>
  <c r="B1488" i="1"/>
  <c r="D1480" i="1" s="1"/>
  <c r="F1480" i="1" s="1"/>
  <c r="D1733" i="1"/>
  <c r="E1733" i="1" s="1"/>
  <c r="C1762" i="1"/>
  <c r="C1761" i="1"/>
  <c r="C1758" i="1"/>
  <c r="C1757" i="1"/>
  <c r="C1755" i="1"/>
  <c r="C1753" i="1"/>
  <c r="C1752" i="1"/>
  <c r="C1749" i="1"/>
  <c r="C1747" i="1"/>
  <c r="C1745" i="1"/>
  <c r="C1743" i="1"/>
  <c r="C1742" i="1"/>
  <c r="C1740" i="1"/>
  <c r="C1736" i="1"/>
  <c r="C1735" i="1"/>
  <c r="C1732" i="1"/>
  <c r="C1731" i="1"/>
  <c r="C1760" i="1"/>
  <c r="C1759" i="1"/>
  <c r="C1756" i="1"/>
  <c r="C1754" i="1"/>
  <c r="C1751" i="1"/>
  <c r="C1750" i="1"/>
  <c r="C1748" i="1"/>
  <c r="C1744" i="1"/>
  <c r="C1741" i="1"/>
  <c r="C1738" i="1"/>
  <c r="C1739" i="1"/>
  <c r="C1734" i="1"/>
  <c r="D1771" i="1"/>
  <c r="E1771" i="1" s="1"/>
  <c r="G1720" i="1"/>
  <c r="E1687" i="1"/>
  <c r="C1813" i="1"/>
  <c r="C1811" i="1"/>
  <c r="C1809" i="1"/>
  <c r="C1808" i="1"/>
  <c r="C1806" i="1"/>
  <c r="C1805" i="1"/>
  <c r="C1802" i="1"/>
  <c r="C1801" i="1"/>
  <c r="C1798" i="1"/>
  <c r="C1796" i="1"/>
  <c r="C1794" i="1"/>
  <c r="C1790" i="1"/>
  <c r="C1788" i="1"/>
  <c r="C1786" i="1"/>
  <c r="C1784" i="1"/>
  <c r="C1782" i="1"/>
  <c r="C1779" i="1"/>
  <c r="C1777" i="1"/>
  <c r="C1774" i="1"/>
  <c r="C1773" i="1"/>
  <c r="C1770" i="1"/>
  <c r="C1769" i="1"/>
  <c r="C1815" i="1"/>
  <c r="C1814" i="1"/>
  <c r="C1812" i="1"/>
  <c r="C1810" i="1"/>
  <c r="C1807" i="1"/>
  <c r="C1804" i="1"/>
  <c r="C1803" i="1"/>
  <c r="C1800" i="1"/>
  <c r="C1799" i="1"/>
  <c r="C1797" i="1"/>
  <c r="C1795" i="1"/>
  <c r="C1793" i="1"/>
  <c r="C1792" i="1"/>
  <c r="C1791" i="1"/>
  <c r="C1789" i="1"/>
  <c r="C1787" i="1"/>
  <c r="C1785" i="1"/>
  <c r="C1783" i="1"/>
  <c r="C1781" i="1"/>
  <c r="C1780" i="1"/>
  <c r="C1778" i="1"/>
  <c r="C1776" i="1"/>
  <c r="C1775" i="1"/>
  <c r="C1772" i="1"/>
  <c r="D1686" i="1"/>
  <c r="D1716" i="1"/>
  <c r="D1714" i="1"/>
  <c r="D1712" i="1"/>
  <c r="D1710" i="1"/>
  <c r="D1708" i="1"/>
  <c r="D1706" i="1"/>
  <c r="D1704" i="1"/>
  <c r="D1702" i="1"/>
  <c r="D1700" i="1"/>
  <c r="D1698" i="1"/>
  <c r="D1696" i="1"/>
  <c r="D1694" i="1"/>
  <c r="D1692" i="1"/>
  <c r="D1690" i="1"/>
  <c r="D1688" i="1"/>
  <c r="F1686" i="1"/>
  <c r="F1716" i="1"/>
  <c r="F1714" i="1"/>
  <c r="F1712" i="1"/>
  <c r="F1710" i="1"/>
  <c r="F1708" i="1"/>
  <c r="F1706" i="1"/>
  <c r="F1704" i="1"/>
  <c r="F1702" i="1"/>
  <c r="F1700" i="1"/>
  <c r="F1698" i="1"/>
  <c r="F1696" i="1"/>
  <c r="F1694" i="1"/>
  <c r="F1692" i="1"/>
  <c r="F1690" i="1"/>
  <c r="F1688" i="1"/>
  <c r="D1717" i="1"/>
  <c r="D1715" i="1"/>
  <c r="D1713" i="1"/>
  <c r="D1711" i="1"/>
  <c r="D1709" i="1"/>
  <c r="D1707" i="1"/>
  <c r="D1705" i="1"/>
  <c r="D1703" i="1"/>
  <c r="D1701" i="1"/>
  <c r="D1699" i="1"/>
  <c r="D1697" i="1"/>
  <c r="D1695" i="1"/>
  <c r="D1693" i="1"/>
  <c r="D1691" i="1"/>
  <c r="D1689" i="1"/>
  <c r="D1687" i="1"/>
  <c r="G1687" i="1" s="1"/>
  <c r="F1717" i="1"/>
  <c r="F1715" i="1"/>
  <c r="F1713" i="1"/>
  <c r="F1711" i="1"/>
  <c r="F1709" i="1"/>
  <c r="F1707" i="1"/>
  <c r="F1705" i="1"/>
  <c r="F1703" i="1"/>
  <c r="F1701" i="1"/>
  <c r="F1699" i="1"/>
  <c r="F1697" i="1"/>
  <c r="F1695" i="1"/>
  <c r="F1693" i="1"/>
  <c r="F1691" i="1"/>
  <c r="F1689" i="1"/>
  <c r="E1686" i="1"/>
  <c r="G1686" i="1" s="1"/>
  <c r="E1718" i="1"/>
  <c r="G1718" i="1" s="1"/>
  <c r="E1716" i="1"/>
  <c r="G1716" i="1" s="1"/>
  <c r="E1714" i="1"/>
  <c r="G1714" i="1" s="1"/>
  <c r="E1712" i="1"/>
  <c r="G1712" i="1" s="1"/>
  <c r="E1710" i="1"/>
  <c r="G1710" i="1" s="1"/>
  <c r="E1708" i="1"/>
  <c r="G1708" i="1" s="1"/>
  <c r="E1706" i="1"/>
  <c r="G1706" i="1" s="1"/>
  <c r="E1704" i="1"/>
  <c r="G1704" i="1" s="1"/>
  <c r="E1702" i="1"/>
  <c r="G1702" i="1" s="1"/>
  <c r="E1700" i="1"/>
  <c r="G1700" i="1" s="1"/>
  <c r="E1698" i="1"/>
  <c r="G1698" i="1" s="1"/>
  <c r="E1696" i="1"/>
  <c r="G1696" i="1" s="1"/>
  <c r="E1694" i="1"/>
  <c r="G1694" i="1" s="1"/>
  <c r="E1692" i="1"/>
  <c r="G1692" i="1" s="1"/>
  <c r="E1690" i="1"/>
  <c r="G1690" i="1" s="1"/>
  <c r="E1688" i="1"/>
  <c r="G1688" i="1" s="1"/>
  <c r="E1719" i="1"/>
  <c r="G1719" i="1" s="1"/>
  <c r="E1717" i="1"/>
  <c r="G1717" i="1" s="1"/>
  <c r="E1715" i="1"/>
  <c r="E1713" i="1"/>
  <c r="G1713" i="1" s="1"/>
  <c r="E1711" i="1"/>
  <c r="E1709" i="1"/>
  <c r="E1707" i="1"/>
  <c r="E1705" i="1"/>
  <c r="G1705" i="1" s="1"/>
  <c r="E1703" i="1"/>
  <c r="E1701" i="1"/>
  <c r="G1701" i="1" s="1"/>
  <c r="E1699" i="1"/>
  <c r="E1697" i="1"/>
  <c r="G1697" i="1" s="1"/>
  <c r="E1695" i="1"/>
  <c r="E1693" i="1"/>
  <c r="E1691" i="1"/>
  <c r="E1689" i="1"/>
  <c r="G1689" i="1" s="1"/>
  <c r="G1674" i="1"/>
  <c r="E1590" i="1"/>
  <c r="F1590" i="1" s="1"/>
  <c r="E1602" i="1"/>
  <c r="C1600" i="1"/>
  <c r="D1600" i="1" s="1"/>
  <c r="C1654" i="1"/>
  <c r="D1654" i="1" s="1"/>
  <c r="C1652" i="1"/>
  <c r="D1652" i="1" s="1"/>
  <c r="C1650" i="1"/>
  <c r="D1650" i="1" s="1"/>
  <c r="C1648" i="1"/>
  <c r="D1648" i="1" s="1"/>
  <c r="C1646" i="1"/>
  <c r="D1646" i="1" s="1"/>
  <c r="C1644" i="1"/>
  <c r="D1644" i="1" s="1"/>
  <c r="C1642" i="1"/>
  <c r="D1642" i="1" s="1"/>
  <c r="C1640" i="1"/>
  <c r="D1640" i="1" s="1"/>
  <c r="C1638" i="1"/>
  <c r="D1638" i="1" s="1"/>
  <c r="C1636" i="1"/>
  <c r="D1636" i="1" s="1"/>
  <c r="C1634" i="1"/>
  <c r="D1634" i="1" s="1"/>
  <c r="C1632" i="1"/>
  <c r="D1632" i="1" s="1"/>
  <c r="C1630" i="1"/>
  <c r="D1630" i="1" s="1"/>
  <c r="C1628" i="1"/>
  <c r="D1628" i="1" s="1"/>
  <c r="C1626" i="1"/>
  <c r="D1626" i="1" s="1"/>
  <c r="C1624" i="1"/>
  <c r="D1624" i="1" s="1"/>
  <c r="C1622" i="1"/>
  <c r="D1622" i="1" s="1"/>
  <c r="C1620" i="1"/>
  <c r="D1620" i="1" s="1"/>
  <c r="C1618" i="1"/>
  <c r="D1618" i="1" s="1"/>
  <c r="C1616" i="1"/>
  <c r="D1616" i="1" s="1"/>
  <c r="C1614" i="1"/>
  <c r="D1614" i="1" s="1"/>
  <c r="C1612" i="1"/>
  <c r="D1612" i="1" s="1"/>
  <c r="C1610" i="1"/>
  <c r="D1610" i="1" s="1"/>
  <c r="C1608" i="1"/>
  <c r="D1608" i="1" s="1"/>
  <c r="C1606" i="1"/>
  <c r="D1606" i="1" s="1"/>
  <c r="C1604" i="1"/>
  <c r="D1604" i="1" s="1"/>
  <c r="C1602" i="1"/>
  <c r="D1602" i="1" s="1"/>
  <c r="E1600" i="1"/>
  <c r="E1653" i="1"/>
  <c r="E1651" i="1"/>
  <c r="E1649" i="1"/>
  <c r="E1647" i="1"/>
  <c r="E1645" i="1"/>
  <c r="E1643" i="1"/>
  <c r="E1641" i="1"/>
  <c r="E1639" i="1"/>
  <c r="E1637" i="1"/>
  <c r="E1635" i="1"/>
  <c r="E1633" i="1"/>
  <c r="E1631" i="1"/>
  <c r="E1629" i="1"/>
  <c r="E1627" i="1"/>
  <c r="E1625" i="1"/>
  <c r="E1623" i="1"/>
  <c r="E1621" i="1"/>
  <c r="E1619" i="1"/>
  <c r="E1617" i="1"/>
  <c r="E1615" i="1"/>
  <c r="E1613" i="1"/>
  <c r="E1611" i="1"/>
  <c r="E1609" i="1"/>
  <c r="E1607" i="1"/>
  <c r="E1605" i="1"/>
  <c r="E1603" i="1"/>
  <c r="E1601" i="1"/>
  <c r="F1592" i="1"/>
  <c r="C1653" i="1"/>
  <c r="D1653" i="1" s="1"/>
  <c r="G1653" i="1" s="1"/>
  <c r="C1651" i="1"/>
  <c r="D1651" i="1" s="1"/>
  <c r="C1649" i="1"/>
  <c r="D1649" i="1" s="1"/>
  <c r="C1647" i="1"/>
  <c r="D1647" i="1" s="1"/>
  <c r="C1645" i="1"/>
  <c r="D1645" i="1" s="1"/>
  <c r="C1643" i="1"/>
  <c r="D1643" i="1" s="1"/>
  <c r="G1643" i="1" s="1"/>
  <c r="C1641" i="1"/>
  <c r="D1641" i="1" s="1"/>
  <c r="G1641" i="1" s="1"/>
  <c r="C1639" i="1"/>
  <c r="D1639" i="1" s="1"/>
  <c r="G1639" i="1" s="1"/>
  <c r="C1637" i="1"/>
  <c r="D1637" i="1" s="1"/>
  <c r="G1637" i="1" s="1"/>
  <c r="C1635" i="1"/>
  <c r="D1635" i="1" s="1"/>
  <c r="C1633" i="1"/>
  <c r="D1633" i="1" s="1"/>
  <c r="C1631" i="1"/>
  <c r="D1631" i="1" s="1"/>
  <c r="C1629" i="1"/>
  <c r="D1629" i="1" s="1"/>
  <c r="C1627" i="1"/>
  <c r="D1627" i="1" s="1"/>
  <c r="G1627" i="1" s="1"/>
  <c r="C1625" i="1"/>
  <c r="D1625" i="1" s="1"/>
  <c r="G1625" i="1" s="1"/>
  <c r="C1623" i="1"/>
  <c r="D1623" i="1" s="1"/>
  <c r="G1623" i="1" s="1"/>
  <c r="C1621" i="1"/>
  <c r="D1621" i="1" s="1"/>
  <c r="G1621" i="1" s="1"/>
  <c r="C1619" i="1"/>
  <c r="D1619" i="1" s="1"/>
  <c r="C1617" i="1"/>
  <c r="D1617" i="1" s="1"/>
  <c r="C1615" i="1"/>
  <c r="D1615" i="1" s="1"/>
  <c r="C1613" i="1"/>
  <c r="D1613" i="1" s="1"/>
  <c r="C1611" i="1"/>
  <c r="D1611" i="1" s="1"/>
  <c r="G1611" i="1" s="1"/>
  <c r="C1609" i="1"/>
  <c r="D1609" i="1" s="1"/>
  <c r="G1609" i="1" s="1"/>
  <c r="C1607" i="1"/>
  <c r="D1607" i="1" s="1"/>
  <c r="G1607" i="1" s="1"/>
  <c r="C1605" i="1"/>
  <c r="D1605" i="1" s="1"/>
  <c r="G1605" i="1" s="1"/>
  <c r="C1603" i="1"/>
  <c r="D1603" i="1" s="1"/>
  <c r="C1601" i="1"/>
  <c r="D1601" i="1" s="1"/>
  <c r="E1654" i="1"/>
  <c r="E1652" i="1"/>
  <c r="E1650" i="1"/>
  <c r="E1648" i="1"/>
  <c r="E1646" i="1"/>
  <c r="E1644" i="1"/>
  <c r="E1642" i="1"/>
  <c r="E1640" i="1"/>
  <c r="E1638" i="1"/>
  <c r="E1636" i="1"/>
  <c r="E1634" i="1"/>
  <c r="E1632" i="1"/>
  <c r="E1630" i="1"/>
  <c r="E1628" i="1"/>
  <c r="E1626" i="1"/>
  <c r="E1624" i="1"/>
  <c r="E1622" i="1"/>
  <c r="E1620" i="1"/>
  <c r="E1618" i="1"/>
  <c r="E1616" i="1"/>
  <c r="E1614" i="1"/>
  <c r="E1612" i="1"/>
  <c r="E1610" i="1"/>
  <c r="E1608" i="1"/>
  <c r="E1606" i="1"/>
  <c r="E1604" i="1"/>
  <c r="D1562" i="1"/>
  <c r="E1562" i="1" s="1"/>
  <c r="C1561" i="1"/>
  <c r="C1579" i="1"/>
  <c r="C1577" i="1"/>
  <c r="C1575" i="1"/>
  <c r="C1573" i="1"/>
  <c r="C1571" i="1"/>
  <c r="C1569" i="1"/>
  <c r="C1567" i="1"/>
  <c r="C1565" i="1"/>
  <c r="C1563" i="1"/>
  <c r="C1578" i="1"/>
  <c r="C1576" i="1"/>
  <c r="C1574" i="1"/>
  <c r="C1572" i="1"/>
  <c r="C1570" i="1"/>
  <c r="C1568" i="1"/>
  <c r="C1566" i="1"/>
  <c r="C1564" i="1"/>
  <c r="B1507" i="1"/>
  <c r="D1482" i="1"/>
  <c r="F1482" i="1" s="1"/>
  <c r="G1613" i="1" l="1"/>
  <c r="G1629" i="1"/>
  <c r="G1645" i="1"/>
  <c r="G1631" i="1"/>
  <c r="G1601" i="1"/>
  <c r="G1617" i="1"/>
  <c r="G1633" i="1"/>
  <c r="G1649" i="1"/>
  <c r="G1602" i="1"/>
  <c r="G1615" i="1"/>
  <c r="G1647" i="1"/>
  <c r="G1603" i="1"/>
  <c r="G1619" i="1"/>
  <c r="G1635" i="1"/>
  <c r="G1651" i="1"/>
  <c r="G1693" i="1"/>
  <c r="G1709" i="1"/>
  <c r="G1691" i="1"/>
  <c r="G1695" i="1"/>
  <c r="G1699" i="1"/>
  <c r="G1703" i="1"/>
  <c r="G1707" i="1"/>
  <c r="G1711" i="1"/>
  <c r="G1715" i="1"/>
  <c r="J161" i="5"/>
  <c r="J155" i="5"/>
  <c r="F1771" i="1"/>
  <c r="F1733" i="1"/>
  <c r="D1734" i="1"/>
  <c r="E1734" i="1" s="1"/>
  <c r="D1738" i="1"/>
  <c r="E1738" i="1" s="1"/>
  <c r="D1744" i="1"/>
  <c r="E1744" i="1" s="1"/>
  <c r="D1750" i="1"/>
  <c r="E1750" i="1" s="1"/>
  <c r="D1754" i="1"/>
  <c r="E1754" i="1" s="1"/>
  <c r="D1759" i="1"/>
  <c r="E1759" i="1" s="1"/>
  <c r="D1731" i="1"/>
  <c r="E1731" i="1" s="1"/>
  <c r="D1735" i="1"/>
  <c r="E1735" i="1" s="1"/>
  <c r="D1740" i="1"/>
  <c r="E1740" i="1" s="1"/>
  <c r="D1743" i="1"/>
  <c r="E1743" i="1" s="1"/>
  <c r="F1743" i="1" s="1"/>
  <c r="D1747" i="1"/>
  <c r="E1747" i="1" s="1"/>
  <c r="D1752" i="1"/>
  <c r="E1752" i="1" s="1"/>
  <c r="D1755" i="1"/>
  <c r="E1755" i="1" s="1"/>
  <c r="F1755" i="1" s="1"/>
  <c r="D1758" i="1"/>
  <c r="E1758" i="1" s="1"/>
  <c r="D1762" i="1"/>
  <c r="E1762" i="1" s="1"/>
  <c r="D1739" i="1"/>
  <c r="E1739" i="1" s="1"/>
  <c r="D1741" i="1"/>
  <c r="E1741" i="1" s="1"/>
  <c r="D1748" i="1"/>
  <c r="E1748" i="1" s="1"/>
  <c r="D1751" i="1"/>
  <c r="E1751" i="1" s="1"/>
  <c r="D1756" i="1"/>
  <c r="E1756" i="1" s="1"/>
  <c r="D1760" i="1"/>
  <c r="E1760" i="1" s="1"/>
  <c r="D1732" i="1"/>
  <c r="E1732" i="1" s="1"/>
  <c r="D1736" i="1"/>
  <c r="E1736" i="1" s="1"/>
  <c r="D1742" i="1"/>
  <c r="E1742" i="1" s="1"/>
  <c r="D1745" i="1"/>
  <c r="E1745" i="1" s="1"/>
  <c r="D1749" i="1"/>
  <c r="E1749" i="1" s="1"/>
  <c r="D1753" i="1"/>
  <c r="E1753" i="1" s="1"/>
  <c r="D1757" i="1"/>
  <c r="E1757" i="1" s="1"/>
  <c r="D1761" i="1"/>
  <c r="E1761" i="1" s="1"/>
  <c r="D1775" i="1"/>
  <c r="E1775" i="1" s="1"/>
  <c r="D1778" i="1"/>
  <c r="E1778" i="1" s="1"/>
  <c r="D1781" i="1"/>
  <c r="E1781" i="1" s="1"/>
  <c r="D1785" i="1"/>
  <c r="E1785" i="1" s="1"/>
  <c r="D1789" i="1"/>
  <c r="E1789" i="1" s="1"/>
  <c r="D1792" i="1"/>
  <c r="E1792" i="1" s="1"/>
  <c r="D1795" i="1"/>
  <c r="E1795" i="1" s="1"/>
  <c r="D1799" i="1"/>
  <c r="E1799" i="1" s="1"/>
  <c r="D1803" i="1"/>
  <c r="E1803" i="1" s="1"/>
  <c r="F1803" i="1" s="1"/>
  <c r="D1807" i="1"/>
  <c r="E1807" i="1" s="1"/>
  <c r="D1812" i="1"/>
  <c r="E1812" i="1" s="1"/>
  <c r="D1815" i="1"/>
  <c r="E1815" i="1" s="1"/>
  <c r="D1770" i="1"/>
  <c r="E1770" i="1" s="1"/>
  <c r="D1774" i="1"/>
  <c r="E1774" i="1" s="1"/>
  <c r="D1779" i="1"/>
  <c r="E1779" i="1" s="1"/>
  <c r="D1784" i="1"/>
  <c r="E1784" i="1" s="1"/>
  <c r="D1788" i="1"/>
  <c r="E1788" i="1" s="1"/>
  <c r="D1794" i="1"/>
  <c r="E1794" i="1" s="1"/>
  <c r="D1798" i="1"/>
  <c r="E1798" i="1" s="1"/>
  <c r="D1802" i="1"/>
  <c r="E1802" i="1" s="1"/>
  <c r="D1806" i="1"/>
  <c r="E1806" i="1" s="1"/>
  <c r="D1809" i="1"/>
  <c r="E1809" i="1" s="1"/>
  <c r="D1813" i="1"/>
  <c r="E1813" i="1" s="1"/>
  <c r="D1772" i="1"/>
  <c r="E1772" i="1" s="1"/>
  <c r="D1776" i="1"/>
  <c r="E1776" i="1" s="1"/>
  <c r="D1780" i="1"/>
  <c r="E1780" i="1" s="1"/>
  <c r="F1780" i="1" s="1"/>
  <c r="D1783" i="1"/>
  <c r="E1783" i="1" s="1"/>
  <c r="D1787" i="1"/>
  <c r="E1787" i="1" s="1"/>
  <c r="D1791" i="1"/>
  <c r="E1791" i="1" s="1"/>
  <c r="D1793" i="1"/>
  <c r="E1793" i="1" s="1"/>
  <c r="D1797" i="1"/>
  <c r="E1797" i="1" s="1"/>
  <c r="D1800" i="1"/>
  <c r="E1800" i="1" s="1"/>
  <c r="D1804" i="1"/>
  <c r="E1804" i="1" s="1"/>
  <c r="D1810" i="1"/>
  <c r="E1810" i="1" s="1"/>
  <c r="D1814" i="1"/>
  <c r="E1814" i="1" s="1"/>
  <c r="D1769" i="1"/>
  <c r="E1769" i="1" s="1"/>
  <c r="D1773" i="1"/>
  <c r="E1773" i="1" s="1"/>
  <c r="D1777" i="1"/>
  <c r="E1777" i="1" s="1"/>
  <c r="D1782" i="1"/>
  <c r="E1782" i="1" s="1"/>
  <c r="D1786" i="1"/>
  <c r="E1786" i="1" s="1"/>
  <c r="D1790" i="1"/>
  <c r="E1790" i="1" s="1"/>
  <c r="D1796" i="1"/>
  <c r="E1796" i="1" s="1"/>
  <c r="D1801" i="1"/>
  <c r="E1801" i="1" s="1"/>
  <c r="D1805" i="1"/>
  <c r="E1805" i="1" s="1"/>
  <c r="D1808" i="1"/>
  <c r="E1808" i="1" s="1"/>
  <c r="D1811" i="1"/>
  <c r="E1811" i="1" s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00" i="1"/>
  <c r="D1566" i="1"/>
  <c r="E1566" i="1" s="1"/>
  <c r="F1566" i="1" s="1"/>
  <c r="D1570" i="1"/>
  <c r="E1570" i="1" s="1"/>
  <c r="D1574" i="1"/>
  <c r="E1574" i="1" s="1"/>
  <c r="F1574" i="1" s="1"/>
  <c r="D1578" i="1"/>
  <c r="E1578" i="1" s="1"/>
  <c r="F1578" i="1" s="1"/>
  <c r="D1565" i="1"/>
  <c r="E1565" i="1" s="1"/>
  <c r="D1569" i="1"/>
  <c r="E1569" i="1" s="1"/>
  <c r="D1573" i="1"/>
  <c r="E1573" i="1" s="1"/>
  <c r="D1577" i="1"/>
  <c r="E1577" i="1" s="1"/>
  <c r="D1561" i="1"/>
  <c r="E1561" i="1" s="1"/>
  <c r="F1561" i="1" s="1"/>
  <c r="D1564" i="1"/>
  <c r="E1564" i="1" s="1"/>
  <c r="D1568" i="1"/>
  <c r="E1568" i="1" s="1"/>
  <c r="D1572" i="1"/>
  <c r="E1572" i="1" s="1"/>
  <c r="D1576" i="1"/>
  <c r="E1576" i="1" s="1"/>
  <c r="D1563" i="1"/>
  <c r="E1563" i="1" s="1"/>
  <c r="D1567" i="1"/>
  <c r="E1567" i="1" s="1"/>
  <c r="D1571" i="1"/>
  <c r="E1571" i="1" s="1"/>
  <c r="D1575" i="1"/>
  <c r="E1575" i="1" s="1"/>
  <c r="D1579" i="1"/>
  <c r="E1579" i="1" s="1"/>
  <c r="F1562" i="1"/>
  <c r="C1502" i="1"/>
  <c r="C1503" i="1"/>
  <c r="C1500" i="1"/>
  <c r="C1499" i="1"/>
  <c r="C1504" i="1"/>
  <c r="C1501" i="1"/>
  <c r="F1799" i="1" l="1"/>
  <c r="F1791" i="1"/>
  <c r="F1808" i="1"/>
  <c r="F1769" i="1"/>
  <c r="F1814" i="1"/>
  <c r="F1792" i="1"/>
  <c r="F1775" i="1"/>
  <c r="F1740" i="1"/>
  <c r="F1735" i="1"/>
  <c r="F1754" i="1"/>
  <c r="F1762" i="1"/>
  <c r="F1758" i="1"/>
  <c r="F1761" i="1"/>
  <c r="F1757" i="1"/>
  <c r="F1753" i="1"/>
  <c r="F1749" i="1"/>
  <c r="F1745" i="1"/>
  <c r="F1742" i="1"/>
  <c r="F1736" i="1"/>
  <c r="F1732" i="1"/>
  <c r="F1760" i="1"/>
  <c r="F1756" i="1"/>
  <c r="F1751" i="1"/>
  <c r="F1748" i="1"/>
  <c r="F1741" i="1"/>
  <c r="F1744" i="1"/>
  <c r="F1738" i="1"/>
  <c r="F1734" i="1"/>
  <c r="F1739" i="1"/>
  <c r="F1752" i="1"/>
  <c r="F1747" i="1"/>
  <c r="F1731" i="1"/>
  <c r="F1759" i="1"/>
  <c r="F1750" i="1"/>
  <c r="F1811" i="1"/>
  <c r="F1805" i="1"/>
  <c r="F1801" i="1"/>
  <c r="F1796" i="1"/>
  <c r="F1790" i="1"/>
  <c r="F1786" i="1"/>
  <c r="F1782" i="1"/>
  <c r="F1777" i="1"/>
  <c r="F1773" i="1"/>
  <c r="F1810" i="1"/>
  <c r="F1804" i="1"/>
  <c r="F1800" i="1"/>
  <c r="F1797" i="1"/>
  <c r="F1793" i="1"/>
  <c r="F1787" i="1"/>
  <c r="F1783" i="1"/>
  <c r="F1776" i="1"/>
  <c r="F1772" i="1"/>
  <c r="F1813" i="1"/>
  <c r="F1809" i="1"/>
  <c r="F1806" i="1"/>
  <c r="F1802" i="1"/>
  <c r="F1798" i="1"/>
  <c r="F1794" i="1"/>
  <c r="F1788" i="1"/>
  <c r="F1784" i="1"/>
  <c r="F1779" i="1"/>
  <c r="F1774" i="1"/>
  <c r="F1770" i="1"/>
  <c r="F1815" i="1"/>
  <c r="F1812" i="1"/>
  <c r="F1807" i="1"/>
  <c r="F1795" i="1"/>
  <c r="F1789" i="1"/>
  <c r="F1785" i="1"/>
  <c r="F1781" i="1"/>
  <c r="F1778" i="1"/>
  <c r="F1576" i="1"/>
  <c r="F1572" i="1"/>
  <c r="F1568" i="1"/>
  <c r="F1564" i="1"/>
  <c r="F1570" i="1"/>
  <c r="F1579" i="1"/>
  <c r="F1575" i="1"/>
  <c r="F1571" i="1"/>
  <c r="F1567" i="1"/>
  <c r="F1563" i="1"/>
  <c r="F1577" i="1"/>
  <c r="F1573" i="1"/>
  <c r="F1569" i="1"/>
  <c r="F1565" i="1"/>
  <c r="D1504" i="1"/>
  <c r="E1504" i="1" s="1"/>
  <c r="D1500" i="1"/>
  <c r="E1500" i="1" s="1"/>
  <c r="D1502" i="1"/>
  <c r="E1502" i="1" s="1"/>
  <c r="D1501" i="1"/>
  <c r="E1501" i="1" s="1"/>
  <c r="D1499" i="1"/>
  <c r="E1499" i="1" s="1"/>
  <c r="D1503" i="1"/>
  <c r="E1503" i="1" s="1"/>
  <c r="F1503" i="1" l="1"/>
  <c r="F1501" i="1"/>
  <c r="F1499" i="1"/>
  <c r="F1502" i="1"/>
  <c r="F1500" i="1"/>
  <c r="F1504" i="1"/>
  <c r="J116" i="3" l="1"/>
  <c r="G101" i="3"/>
  <c r="G104" i="3"/>
  <c r="G106" i="3"/>
  <c r="J106" i="3" s="1"/>
  <c r="G107" i="3"/>
  <c r="G108" i="3"/>
  <c r="G110" i="3"/>
  <c r="G111" i="3"/>
  <c r="G112" i="3"/>
  <c r="G113" i="3"/>
  <c r="G114" i="3"/>
  <c r="J114" i="3" s="1"/>
  <c r="G115" i="3"/>
  <c r="E101" i="3"/>
  <c r="E105" i="3"/>
  <c r="E106" i="3"/>
  <c r="E107" i="3"/>
  <c r="E109" i="3"/>
  <c r="E113" i="3"/>
  <c r="E114" i="3"/>
  <c r="E115" i="3"/>
  <c r="D113" i="3"/>
  <c r="D115" i="3"/>
  <c r="D114" i="3"/>
  <c r="D112" i="3"/>
  <c r="E112" i="3" s="1"/>
  <c r="D111" i="3"/>
  <c r="E111" i="3" s="1"/>
  <c r="D110" i="3"/>
  <c r="E110" i="3" s="1"/>
  <c r="D109" i="3"/>
  <c r="D108" i="3"/>
  <c r="E108" i="3" s="1"/>
  <c r="J108" i="3" s="1"/>
  <c r="D107" i="3"/>
  <c r="D106" i="3"/>
  <c r="D105" i="3"/>
  <c r="D104" i="3"/>
  <c r="E104" i="3" s="1"/>
  <c r="D103" i="3"/>
  <c r="E103" i="3" s="1"/>
  <c r="D102" i="3"/>
  <c r="D116" i="3" s="1"/>
  <c r="D101" i="3"/>
  <c r="D100" i="3"/>
  <c r="E100" i="3" s="1"/>
  <c r="F114" i="3"/>
  <c r="F109" i="3"/>
  <c r="G109" i="3" s="1"/>
  <c r="F107" i="3"/>
  <c r="F106" i="3"/>
  <c r="F105" i="3"/>
  <c r="G105" i="3" s="1"/>
  <c r="F104" i="3"/>
  <c r="F103" i="3"/>
  <c r="G103" i="3" s="1"/>
  <c r="F102" i="3"/>
  <c r="G102" i="3" s="1"/>
  <c r="F101" i="3"/>
  <c r="F100" i="3"/>
  <c r="G100" i="3" s="1"/>
  <c r="C101" i="3"/>
  <c r="C102" i="3"/>
  <c r="C103" i="3"/>
  <c r="C106" i="3"/>
  <c r="C108" i="3"/>
  <c r="C111" i="3"/>
  <c r="C113" i="3"/>
  <c r="C114" i="3"/>
  <c r="I102" i="3"/>
  <c r="I103" i="3"/>
  <c r="J103" i="3" s="1"/>
  <c r="I106" i="3"/>
  <c r="I108" i="3"/>
  <c r="I110" i="3"/>
  <c r="I111" i="3"/>
  <c r="J111" i="3" s="1"/>
  <c r="I112" i="3"/>
  <c r="I114" i="3"/>
  <c r="I115" i="3"/>
  <c r="H113" i="3"/>
  <c r="I113" i="3" s="1"/>
  <c r="J113" i="3" s="1"/>
  <c r="H109" i="3"/>
  <c r="I109" i="3" s="1"/>
  <c r="H107" i="3"/>
  <c r="I107" i="3" s="1"/>
  <c r="J107" i="3" s="1"/>
  <c r="H106" i="3"/>
  <c r="H105" i="3"/>
  <c r="I105" i="3" s="1"/>
  <c r="H104" i="3"/>
  <c r="I104" i="3" s="1"/>
  <c r="H103" i="3"/>
  <c r="H102" i="3"/>
  <c r="H101" i="3"/>
  <c r="I101" i="3" s="1"/>
  <c r="J101" i="3" s="1"/>
  <c r="H100" i="3"/>
  <c r="I100" i="3" s="1"/>
  <c r="B101" i="3"/>
  <c r="B115" i="3"/>
  <c r="C115" i="3" s="1"/>
  <c r="B114" i="3"/>
  <c r="B112" i="3"/>
  <c r="C112" i="3" s="1"/>
  <c r="B111" i="3"/>
  <c r="B110" i="3"/>
  <c r="C110" i="3" s="1"/>
  <c r="B109" i="3"/>
  <c r="C109" i="3" s="1"/>
  <c r="B107" i="3"/>
  <c r="C107" i="3" s="1"/>
  <c r="B106" i="3"/>
  <c r="B105" i="3"/>
  <c r="C105" i="3" s="1"/>
  <c r="B104" i="3"/>
  <c r="C104" i="3" s="1"/>
  <c r="B103" i="3"/>
  <c r="B100" i="3"/>
  <c r="B116" i="3" s="1"/>
  <c r="E138" i="5"/>
  <c r="F121" i="5" s="1"/>
  <c r="G121" i="5" s="1"/>
  <c r="B138" i="5"/>
  <c r="C130" i="5" s="1"/>
  <c r="D130" i="5" s="1"/>
  <c r="C1320" i="1"/>
  <c r="B1320" i="1"/>
  <c r="B1348" i="1" s="1"/>
  <c r="C1348" i="1"/>
  <c r="F1322" i="1" s="1"/>
  <c r="E1348" i="1"/>
  <c r="G1348" i="1" s="1"/>
  <c r="B1391" i="1"/>
  <c r="C1361" i="1" s="1"/>
  <c r="E1391" i="1"/>
  <c r="D1391" i="1"/>
  <c r="F1278" i="1"/>
  <c r="F1271" i="1"/>
  <c r="F1266" i="1"/>
  <c r="B1301" i="1"/>
  <c r="E1244" i="1" s="1"/>
  <c r="D1301" i="1"/>
  <c r="C1301" i="1"/>
  <c r="C1271" i="1" s="1"/>
  <c r="E1217" i="1"/>
  <c r="F1217" i="1" s="1"/>
  <c r="F1207" i="1"/>
  <c r="F1208" i="1"/>
  <c r="F1209" i="1"/>
  <c r="F1210" i="1"/>
  <c r="B1218" i="1"/>
  <c r="D1169" i="1" s="1"/>
  <c r="D1218" i="1"/>
  <c r="C1218" i="1"/>
  <c r="B1460" i="1"/>
  <c r="E1460" i="1"/>
  <c r="D1460" i="1"/>
  <c r="C1460" i="1"/>
  <c r="B1092" i="1"/>
  <c r="B1091" i="1"/>
  <c r="D1096" i="1"/>
  <c r="C1096" i="1"/>
  <c r="F1112" i="1"/>
  <c r="B1128" i="1"/>
  <c r="B1125" i="1"/>
  <c r="B1124" i="1"/>
  <c r="B1123" i="1"/>
  <c r="F1150" i="1"/>
  <c r="B1150" i="1"/>
  <c r="E1141" i="1" s="1"/>
  <c r="E1131" i="1"/>
  <c r="D1131" i="1"/>
  <c r="C1131" i="1"/>
  <c r="E77" i="3"/>
  <c r="E78" i="3"/>
  <c r="E80" i="3"/>
  <c r="E84" i="3"/>
  <c r="J84" i="3" s="1"/>
  <c r="E85" i="3"/>
  <c r="E86" i="3"/>
  <c r="J86" i="3" s="1"/>
  <c r="E88" i="3"/>
  <c r="D91" i="3"/>
  <c r="E91" i="3" s="1"/>
  <c r="J91" i="3" s="1"/>
  <c r="D90" i="3"/>
  <c r="E90" i="3" s="1"/>
  <c r="D88" i="3"/>
  <c r="D87" i="3"/>
  <c r="E87" i="3" s="1"/>
  <c r="J87" i="3" s="1"/>
  <c r="D86" i="3"/>
  <c r="D85" i="3"/>
  <c r="D84" i="3"/>
  <c r="D83" i="3"/>
  <c r="E83" i="3" s="1"/>
  <c r="D82" i="3"/>
  <c r="E82" i="3" s="1"/>
  <c r="D81" i="3"/>
  <c r="E81" i="3" s="1"/>
  <c r="D80" i="3"/>
  <c r="D79" i="3"/>
  <c r="E79" i="3" s="1"/>
  <c r="D78" i="3"/>
  <c r="D77" i="3"/>
  <c r="D76" i="3"/>
  <c r="E76" i="3" s="1"/>
  <c r="I79" i="3"/>
  <c r="J79" i="3" s="1"/>
  <c r="I80" i="3"/>
  <c r="J80" i="3" s="1"/>
  <c r="I81" i="3"/>
  <c r="J81" i="3" s="1"/>
  <c r="H85" i="3"/>
  <c r="I85" i="3" s="1"/>
  <c r="J85" i="3" s="1"/>
  <c r="H83" i="3"/>
  <c r="I83" i="3" s="1"/>
  <c r="H82" i="3"/>
  <c r="I82" i="3" s="1"/>
  <c r="H81" i="3"/>
  <c r="H80" i="3"/>
  <c r="H79" i="3"/>
  <c r="H76" i="3"/>
  <c r="I76" i="3" s="1"/>
  <c r="J76" i="3" s="1"/>
  <c r="G79" i="3"/>
  <c r="G80" i="3"/>
  <c r="G83" i="3"/>
  <c r="G85" i="3"/>
  <c r="G76" i="3"/>
  <c r="F90" i="3"/>
  <c r="G90" i="3" s="1"/>
  <c r="F85" i="3"/>
  <c r="F83" i="3"/>
  <c r="F82" i="3"/>
  <c r="G82" i="3" s="1"/>
  <c r="F81" i="3"/>
  <c r="G81" i="3" s="1"/>
  <c r="F80" i="3"/>
  <c r="F79" i="3"/>
  <c r="F78" i="3"/>
  <c r="G78" i="3" s="1"/>
  <c r="J78" i="3" s="1"/>
  <c r="F77" i="3"/>
  <c r="G77" i="3" s="1"/>
  <c r="J77" i="3" s="1"/>
  <c r="F76" i="3"/>
  <c r="C79" i="3"/>
  <c r="C83" i="3"/>
  <c r="C85" i="3"/>
  <c r="C86" i="3"/>
  <c r="C90" i="3"/>
  <c r="C76" i="3"/>
  <c r="B81" i="3"/>
  <c r="C81" i="3" s="1"/>
  <c r="B91" i="3"/>
  <c r="C91" i="3" s="1"/>
  <c r="B90" i="3"/>
  <c r="B88" i="3"/>
  <c r="C88" i="3" s="1"/>
  <c r="B87" i="3"/>
  <c r="C87" i="3" s="1"/>
  <c r="B86" i="3"/>
  <c r="B85" i="3"/>
  <c r="B83" i="3"/>
  <c r="B82" i="3"/>
  <c r="C82" i="3" s="1"/>
  <c r="B80" i="3"/>
  <c r="C80" i="3" s="1"/>
  <c r="B79" i="3"/>
  <c r="B76" i="3"/>
  <c r="J92" i="3"/>
  <c r="J110" i="5"/>
  <c r="E110" i="5"/>
  <c r="F94" i="5" s="1"/>
  <c r="G94" i="5" s="1"/>
  <c r="J94" i="5" s="1"/>
  <c r="B102" i="5"/>
  <c r="B110" i="5" s="1"/>
  <c r="C103" i="5" s="1"/>
  <c r="D103" i="5" s="1"/>
  <c r="J103" i="5" s="1"/>
  <c r="J104" i="3" l="1"/>
  <c r="J112" i="3"/>
  <c r="J105" i="3"/>
  <c r="J115" i="3"/>
  <c r="J90" i="3"/>
  <c r="J82" i="3"/>
  <c r="J88" i="3"/>
  <c r="J110" i="3"/>
  <c r="J83" i="3"/>
  <c r="J100" i="3"/>
  <c r="J109" i="3"/>
  <c r="B92" i="3"/>
  <c r="F92" i="3"/>
  <c r="H116" i="3"/>
  <c r="D92" i="3"/>
  <c r="C100" i="3"/>
  <c r="F116" i="3"/>
  <c r="E102" i="3"/>
  <c r="J102" i="3" s="1"/>
  <c r="H92" i="3"/>
  <c r="C110" i="5"/>
  <c r="C107" i="5"/>
  <c r="D107" i="5" s="1"/>
  <c r="J107" i="5" s="1"/>
  <c r="C105" i="5"/>
  <c r="D105" i="5" s="1"/>
  <c r="C102" i="5"/>
  <c r="D102" i="5" s="1"/>
  <c r="J102" i="5" s="1"/>
  <c r="F110" i="5"/>
  <c r="F104" i="5"/>
  <c r="G104" i="5" s="1"/>
  <c r="J104" i="5" s="1"/>
  <c r="F95" i="5"/>
  <c r="G95" i="5" s="1"/>
  <c r="J95" i="5" s="1"/>
  <c r="F93" i="5"/>
  <c r="G93" i="5" s="1"/>
  <c r="J93" i="5" s="1"/>
  <c r="C127" i="5"/>
  <c r="D127" i="5" s="1"/>
  <c r="C137" i="5"/>
  <c r="D137" i="5" s="1"/>
  <c r="C134" i="5"/>
  <c r="D134" i="5" s="1"/>
  <c r="C131" i="5"/>
  <c r="D131" i="5" s="1"/>
  <c r="F118" i="5"/>
  <c r="G118" i="5" s="1"/>
  <c r="F133" i="5"/>
  <c r="G133" i="5" s="1"/>
  <c r="F124" i="5"/>
  <c r="G124" i="5" s="1"/>
  <c r="F122" i="5"/>
  <c r="G122" i="5" s="1"/>
  <c r="C99" i="5"/>
  <c r="D99" i="5" s="1"/>
  <c r="J99" i="5" s="1"/>
  <c r="C109" i="5"/>
  <c r="D109" i="5" s="1"/>
  <c r="J109" i="5" s="1"/>
  <c r="C106" i="5"/>
  <c r="D106" i="5" s="1"/>
  <c r="J106" i="5" s="1"/>
  <c r="F89" i="5"/>
  <c r="G89" i="5" s="1"/>
  <c r="J89" i="5" s="1"/>
  <c r="F105" i="5"/>
  <c r="G105" i="5" s="1"/>
  <c r="F98" i="5"/>
  <c r="G98" i="5" s="1"/>
  <c r="J98" i="5" s="1"/>
  <c r="C138" i="5"/>
  <c r="C135" i="5"/>
  <c r="D135" i="5" s="1"/>
  <c r="C133" i="5"/>
  <c r="D133" i="5" s="1"/>
  <c r="F138" i="5"/>
  <c r="F127" i="5"/>
  <c r="G127" i="5" s="1"/>
  <c r="F123" i="5"/>
  <c r="G123" i="5" s="1"/>
  <c r="E1211" i="1"/>
  <c r="F1211" i="1" s="1"/>
  <c r="F1096" i="1"/>
  <c r="F1218" i="1"/>
  <c r="F1391" i="1"/>
  <c r="D1361" i="1"/>
  <c r="E1361" i="1" s="1"/>
  <c r="C1378" i="1"/>
  <c r="C1376" i="1"/>
  <c r="C1374" i="1"/>
  <c r="C1372" i="1"/>
  <c r="C1370" i="1"/>
  <c r="C1368" i="1"/>
  <c r="C1366" i="1"/>
  <c r="C1364" i="1"/>
  <c r="C1362" i="1"/>
  <c r="C1360" i="1"/>
  <c r="E1389" i="1"/>
  <c r="E1387" i="1"/>
  <c r="E1385" i="1"/>
  <c r="E1383" i="1"/>
  <c r="E1381" i="1"/>
  <c r="C1359" i="1"/>
  <c r="C1379" i="1"/>
  <c r="C1377" i="1"/>
  <c r="C1375" i="1"/>
  <c r="C1373" i="1"/>
  <c r="C1371" i="1"/>
  <c r="C1369" i="1"/>
  <c r="C1367" i="1"/>
  <c r="C1365" i="1"/>
  <c r="C1363" i="1"/>
  <c r="E1390" i="1"/>
  <c r="E1388" i="1"/>
  <c r="E1386" i="1"/>
  <c r="E1384" i="1"/>
  <c r="E1382" i="1"/>
  <c r="E1380" i="1"/>
  <c r="E1321" i="1"/>
  <c r="D1331" i="1"/>
  <c r="D1329" i="1"/>
  <c r="D1327" i="1"/>
  <c r="D1325" i="1"/>
  <c r="D1323" i="1"/>
  <c r="D1321" i="1"/>
  <c r="F1331" i="1"/>
  <c r="F1329" i="1"/>
  <c r="F1327" i="1"/>
  <c r="F1325" i="1"/>
  <c r="F1323" i="1"/>
  <c r="F1321" i="1"/>
  <c r="D1320" i="1"/>
  <c r="D1330" i="1"/>
  <c r="D1328" i="1"/>
  <c r="D1326" i="1"/>
  <c r="D1324" i="1"/>
  <c r="D1322" i="1"/>
  <c r="F1320" i="1"/>
  <c r="F1330" i="1"/>
  <c r="F1328" i="1"/>
  <c r="F1326" i="1"/>
  <c r="F1324" i="1"/>
  <c r="E1320" i="1"/>
  <c r="E1330" i="1"/>
  <c r="E1328" i="1"/>
  <c r="G1328" i="1" s="1"/>
  <c r="E1326" i="1"/>
  <c r="E1324" i="1"/>
  <c r="E1322" i="1"/>
  <c r="E1331" i="1"/>
  <c r="E1329" i="1"/>
  <c r="E1327" i="1"/>
  <c r="E1325" i="1"/>
  <c r="E1323" i="1"/>
  <c r="B1096" i="1"/>
  <c r="C1092" i="1" s="1"/>
  <c r="D1092" i="1" s="1"/>
  <c r="E1092" i="1" s="1"/>
  <c r="F1460" i="1"/>
  <c r="C1168" i="1"/>
  <c r="C1206" i="1"/>
  <c r="C1204" i="1"/>
  <c r="C1202" i="1"/>
  <c r="C1200" i="1"/>
  <c r="C1198" i="1"/>
  <c r="C1196" i="1"/>
  <c r="C1194" i="1"/>
  <c r="C1192" i="1"/>
  <c r="C1190" i="1"/>
  <c r="C1188" i="1"/>
  <c r="C1186" i="1"/>
  <c r="C1184" i="1"/>
  <c r="C1182" i="1"/>
  <c r="C1180" i="1"/>
  <c r="C1178" i="1"/>
  <c r="C1176" i="1"/>
  <c r="C1174" i="1"/>
  <c r="C1172" i="1"/>
  <c r="C1170" i="1"/>
  <c r="D1206" i="1"/>
  <c r="D1204" i="1"/>
  <c r="D1202" i="1"/>
  <c r="D1200" i="1"/>
  <c r="D1198" i="1"/>
  <c r="D1196" i="1"/>
  <c r="D1194" i="1"/>
  <c r="D1192" i="1"/>
  <c r="D1190" i="1"/>
  <c r="D1188" i="1"/>
  <c r="D1186" i="1"/>
  <c r="D1184" i="1"/>
  <c r="D1182" i="1"/>
  <c r="D1180" i="1"/>
  <c r="D1178" i="1"/>
  <c r="D1176" i="1"/>
  <c r="D1174" i="1"/>
  <c r="D1172" i="1"/>
  <c r="D1170" i="1"/>
  <c r="G1301" i="1"/>
  <c r="C1242" i="1"/>
  <c r="C1283" i="1"/>
  <c r="C1281" i="1"/>
  <c r="C1279" i="1"/>
  <c r="C1277" i="1"/>
  <c r="C1275" i="1"/>
  <c r="C1273" i="1"/>
  <c r="C1269" i="1"/>
  <c r="C1267" i="1"/>
  <c r="C1265" i="1"/>
  <c r="C1263" i="1"/>
  <c r="C1261" i="1"/>
  <c r="C1259" i="1"/>
  <c r="C1257" i="1"/>
  <c r="C1255" i="1"/>
  <c r="C1253" i="1"/>
  <c r="C1251" i="1"/>
  <c r="C1249" i="1"/>
  <c r="C1247" i="1"/>
  <c r="C1245" i="1"/>
  <c r="C1243" i="1"/>
  <c r="D1284" i="1"/>
  <c r="D1282" i="1"/>
  <c r="D1280" i="1"/>
  <c r="D1278" i="1"/>
  <c r="D1276" i="1"/>
  <c r="D1274" i="1"/>
  <c r="D1272" i="1"/>
  <c r="D1270" i="1"/>
  <c r="D1268" i="1"/>
  <c r="D1266" i="1"/>
  <c r="D1264" i="1"/>
  <c r="D1262" i="1"/>
  <c r="D1260" i="1"/>
  <c r="D1258" i="1"/>
  <c r="D1256" i="1"/>
  <c r="D1254" i="1"/>
  <c r="D1252" i="1"/>
  <c r="D1250" i="1"/>
  <c r="D1248" i="1"/>
  <c r="D1246" i="1"/>
  <c r="D1244" i="1"/>
  <c r="E1242" i="1"/>
  <c r="E1283" i="1"/>
  <c r="E1281" i="1"/>
  <c r="E1279" i="1"/>
  <c r="E1277" i="1"/>
  <c r="E1275" i="1"/>
  <c r="E1273" i="1"/>
  <c r="E1271" i="1"/>
  <c r="E1269" i="1"/>
  <c r="E1267" i="1"/>
  <c r="E1265" i="1"/>
  <c r="E1263" i="1"/>
  <c r="E1261" i="1"/>
  <c r="E1259" i="1"/>
  <c r="E1257" i="1"/>
  <c r="E1255" i="1"/>
  <c r="E1253" i="1"/>
  <c r="E1251" i="1"/>
  <c r="E1249" i="1"/>
  <c r="E1247" i="1"/>
  <c r="E1245" i="1"/>
  <c r="E1243" i="1"/>
  <c r="F1131" i="1"/>
  <c r="E1169" i="1"/>
  <c r="D1168" i="1"/>
  <c r="C1205" i="1"/>
  <c r="C1203" i="1"/>
  <c r="C1201" i="1"/>
  <c r="C1199" i="1"/>
  <c r="C1197" i="1"/>
  <c r="C1195" i="1"/>
  <c r="C1193" i="1"/>
  <c r="C1191" i="1"/>
  <c r="C1189" i="1"/>
  <c r="C1187" i="1"/>
  <c r="C1185" i="1"/>
  <c r="C1183" i="1"/>
  <c r="C1181" i="1"/>
  <c r="C1179" i="1"/>
  <c r="C1177" i="1"/>
  <c r="C1175" i="1"/>
  <c r="C1173" i="1"/>
  <c r="C1171" i="1"/>
  <c r="C1169" i="1"/>
  <c r="D1205" i="1"/>
  <c r="D1203" i="1"/>
  <c r="D1201" i="1"/>
  <c r="D1199" i="1"/>
  <c r="D1197" i="1"/>
  <c r="D1195" i="1"/>
  <c r="D1193" i="1"/>
  <c r="D1191" i="1"/>
  <c r="D1189" i="1"/>
  <c r="D1187" i="1"/>
  <c r="D1185" i="1"/>
  <c r="D1183" i="1"/>
  <c r="D1181" i="1"/>
  <c r="D1179" i="1"/>
  <c r="D1177" i="1"/>
  <c r="D1175" i="1"/>
  <c r="D1173" i="1"/>
  <c r="D1171" i="1"/>
  <c r="C1284" i="1"/>
  <c r="C1282" i="1"/>
  <c r="C1280" i="1"/>
  <c r="C1278" i="1"/>
  <c r="C1276" i="1"/>
  <c r="C1274" i="1"/>
  <c r="C1272" i="1"/>
  <c r="C1270" i="1"/>
  <c r="C1268" i="1"/>
  <c r="C1266" i="1"/>
  <c r="C1264" i="1"/>
  <c r="C1262" i="1"/>
  <c r="C1260" i="1"/>
  <c r="C1258" i="1"/>
  <c r="C1256" i="1"/>
  <c r="C1254" i="1"/>
  <c r="C1252" i="1"/>
  <c r="C1250" i="1"/>
  <c r="C1248" i="1"/>
  <c r="C1246" i="1"/>
  <c r="C1244" i="1"/>
  <c r="G1244" i="1" s="1"/>
  <c r="D1242" i="1"/>
  <c r="D1283" i="1"/>
  <c r="D1281" i="1"/>
  <c r="D1279" i="1"/>
  <c r="D1277" i="1"/>
  <c r="D1275" i="1"/>
  <c r="D1273" i="1"/>
  <c r="D1271" i="1"/>
  <c r="G1271" i="1" s="1"/>
  <c r="D1269" i="1"/>
  <c r="D1267" i="1"/>
  <c r="D1265" i="1"/>
  <c r="D1263" i="1"/>
  <c r="D1261" i="1"/>
  <c r="D1259" i="1"/>
  <c r="D1257" i="1"/>
  <c r="D1255" i="1"/>
  <c r="D1253" i="1"/>
  <c r="D1251" i="1"/>
  <c r="D1249" i="1"/>
  <c r="D1247" i="1"/>
  <c r="D1245" i="1"/>
  <c r="D1243" i="1"/>
  <c r="E1284" i="1"/>
  <c r="E1282" i="1"/>
  <c r="E1280" i="1"/>
  <c r="E1278" i="1"/>
  <c r="E1276" i="1"/>
  <c r="E1274" i="1"/>
  <c r="E1272" i="1"/>
  <c r="E1270" i="1"/>
  <c r="E1268" i="1"/>
  <c r="E1266" i="1"/>
  <c r="E1264" i="1"/>
  <c r="E1262" i="1"/>
  <c r="E1260" i="1"/>
  <c r="E1258" i="1"/>
  <c r="E1256" i="1"/>
  <c r="E1254" i="1"/>
  <c r="E1252" i="1"/>
  <c r="E1250" i="1"/>
  <c r="E1248" i="1"/>
  <c r="E1246" i="1"/>
  <c r="E1206" i="1"/>
  <c r="E1204" i="1"/>
  <c r="E1202" i="1"/>
  <c r="E1200" i="1"/>
  <c r="E1198" i="1"/>
  <c r="E1196" i="1"/>
  <c r="E1194" i="1"/>
  <c r="F1194" i="1" s="1"/>
  <c r="E1192" i="1"/>
  <c r="F1192" i="1" s="1"/>
  <c r="E1190" i="1"/>
  <c r="E1188" i="1"/>
  <c r="E1186" i="1"/>
  <c r="E1184" i="1"/>
  <c r="E1182" i="1"/>
  <c r="E1180" i="1"/>
  <c r="E1178" i="1"/>
  <c r="F1178" i="1" s="1"/>
  <c r="E1176" i="1"/>
  <c r="F1176" i="1" s="1"/>
  <c r="E1174" i="1"/>
  <c r="E1172" i="1"/>
  <c r="E1170" i="1"/>
  <c r="E1168" i="1"/>
  <c r="E1205" i="1"/>
  <c r="E1203" i="1"/>
  <c r="F1203" i="1" s="1"/>
  <c r="E1201" i="1"/>
  <c r="F1201" i="1" s="1"/>
  <c r="E1199" i="1"/>
  <c r="F1199" i="1" s="1"/>
  <c r="E1197" i="1"/>
  <c r="F1197" i="1" s="1"/>
  <c r="E1195" i="1"/>
  <c r="E1193" i="1"/>
  <c r="E1191" i="1"/>
  <c r="E1189" i="1"/>
  <c r="E1187" i="1"/>
  <c r="F1187" i="1" s="1"/>
  <c r="E1185" i="1"/>
  <c r="F1185" i="1" s="1"/>
  <c r="E1183" i="1"/>
  <c r="F1183" i="1" s="1"/>
  <c r="E1181" i="1"/>
  <c r="F1181" i="1" s="1"/>
  <c r="E1179" i="1"/>
  <c r="E1177" i="1"/>
  <c r="E1175" i="1"/>
  <c r="E1173" i="1"/>
  <c r="E1171" i="1"/>
  <c r="F1171" i="1" s="1"/>
  <c r="F1168" i="1"/>
  <c r="B1131" i="1"/>
  <c r="C1459" i="1"/>
  <c r="F1459" i="1" s="1"/>
  <c r="C1458" i="1"/>
  <c r="C1456" i="1"/>
  <c r="C1454" i="1"/>
  <c r="C1452" i="1"/>
  <c r="C1450" i="1"/>
  <c r="C1448" i="1"/>
  <c r="C1446" i="1"/>
  <c r="C1444" i="1"/>
  <c r="C1442" i="1"/>
  <c r="C1440" i="1"/>
  <c r="C1438" i="1"/>
  <c r="C1436" i="1"/>
  <c r="C1434" i="1"/>
  <c r="C1432" i="1"/>
  <c r="C1430" i="1"/>
  <c r="C1428" i="1"/>
  <c r="C1426" i="1"/>
  <c r="C1424" i="1"/>
  <c r="C1422" i="1"/>
  <c r="C1420" i="1"/>
  <c r="C1418" i="1"/>
  <c r="C1416" i="1"/>
  <c r="C1414" i="1"/>
  <c r="C1412" i="1"/>
  <c r="C1410" i="1"/>
  <c r="C1408" i="1"/>
  <c r="C1406" i="1"/>
  <c r="C1404" i="1"/>
  <c r="C1402" i="1"/>
  <c r="C1400" i="1"/>
  <c r="C1398" i="1"/>
  <c r="C1396" i="1"/>
  <c r="C1457" i="1"/>
  <c r="C1455" i="1"/>
  <c r="C1453" i="1"/>
  <c r="C1451" i="1"/>
  <c r="C1449" i="1"/>
  <c r="C1447" i="1"/>
  <c r="C1445" i="1"/>
  <c r="C1443" i="1"/>
  <c r="C1441" i="1"/>
  <c r="C1439" i="1"/>
  <c r="C1437" i="1"/>
  <c r="C1435" i="1"/>
  <c r="C1433" i="1"/>
  <c r="C1431" i="1"/>
  <c r="C1429" i="1"/>
  <c r="C1427" i="1"/>
  <c r="C1425" i="1"/>
  <c r="C1423" i="1"/>
  <c r="C1421" i="1"/>
  <c r="C1419" i="1"/>
  <c r="C1417" i="1"/>
  <c r="C1415" i="1"/>
  <c r="C1413" i="1"/>
  <c r="C1411" i="1"/>
  <c r="C1409" i="1"/>
  <c r="C1407" i="1"/>
  <c r="C1405" i="1"/>
  <c r="C1403" i="1"/>
  <c r="C1401" i="1"/>
  <c r="C1399" i="1"/>
  <c r="C1397" i="1"/>
  <c r="C1139" i="1"/>
  <c r="C1148" i="1"/>
  <c r="C1146" i="1"/>
  <c r="C1144" i="1"/>
  <c r="C1142" i="1"/>
  <c r="C1140" i="1"/>
  <c r="E1148" i="1"/>
  <c r="E1146" i="1"/>
  <c r="E1144" i="1"/>
  <c r="E1142" i="1"/>
  <c r="E1140" i="1"/>
  <c r="C1147" i="1"/>
  <c r="C1145" i="1"/>
  <c r="C1143" i="1"/>
  <c r="C1141" i="1"/>
  <c r="F1141" i="1" s="1"/>
  <c r="E1139" i="1"/>
  <c r="E1147" i="1"/>
  <c r="E1145" i="1"/>
  <c r="E1143" i="1"/>
  <c r="E848" i="1"/>
  <c r="D848" i="1"/>
  <c r="C848" i="1"/>
  <c r="B848" i="1"/>
  <c r="F908" i="1"/>
  <c r="F907" i="1"/>
  <c r="F900" i="1"/>
  <c r="F895" i="1"/>
  <c r="F871" i="1"/>
  <c r="B930" i="1"/>
  <c r="E930" i="1"/>
  <c r="D930" i="1"/>
  <c r="C930" i="1"/>
  <c r="C977" i="1"/>
  <c r="B977" i="1"/>
  <c r="F977" i="1"/>
  <c r="E977" i="1"/>
  <c r="D977" i="1"/>
  <c r="B1021" i="1"/>
  <c r="D1021" i="1"/>
  <c r="F1021" i="1" s="1"/>
  <c r="F1084" i="1"/>
  <c r="D719" i="1"/>
  <c r="E719" i="1"/>
  <c r="C719" i="1"/>
  <c r="F716" i="1"/>
  <c r="F719" i="1" s="1"/>
  <c r="E735" i="1"/>
  <c r="D735" i="1"/>
  <c r="F754" i="1"/>
  <c r="F782" i="1"/>
  <c r="B782" i="1"/>
  <c r="C774" i="1" s="1"/>
  <c r="C765" i="1"/>
  <c r="C764" i="1"/>
  <c r="E768" i="1"/>
  <c r="E764" i="1" s="1"/>
  <c r="D768" i="1"/>
  <c r="D765" i="1" s="1"/>
  <c r="J68" i="3"/>
  <c r="I54" i="3"/>
  <c r="I55" i="3"/>
  <c r="J55" i="3" s="1"/>
  <c r="I57" i="3"/>
  <c r="J57" i="3" s="1"/>
  <c r="I58" i="3"/>
  <c r="J58" i="3" s="1"/>
  <c r="I59" i="3"/>
  <c r="J59" i="3" s="1"/>
  <c r="I60" i="3"/>
  <c r="J60" i="3" s="1"/>
  <c r="I61" i="3"/>
  <c r="I62" i="3"/>
  <c r="J62" i="3" s="1"/>
  <c r="I63" i="3"/>
  <c r="I64" i="3"/>
  <c r="I65" i="3"/>
  <c r="J65" i="3" s="1"/>
  <c r="I66" i="3"/>
  <c r="J66" i="3" s="1"/>
  <c r="I67" i="3"/>
  <c r="I52" i="3"/>
  <c r="G58" i="3"/>
  <c r="G59" i="3"/>
  <c r="G60" i="3"/>
  <c r="G62" i="3"/>
  <c r="G63" i="3"/>
  <c r="G64" i="3"/>
  <c r="G65" i="3"/>
  <c r="G66" i="3"/>
  <c r="G52" i="3"/>
  <c r="E57" i="3"/>
  <c r="E58" i="3"/>
  <c r="E59" i="3"/>
  <c r="E65" i="3"/>
  <c r="E66" i="3"/>
  <c r="E67" i="3"/>
  <c r="C57" i="3"/>
  <c r="C58" i="3"/>
  <c r="C59" i="3"/>
  <c r="C60" i="3"/>
  <c r="C61" i="3"/>
  <c r="C65" i="3"/>
  <c r="C66" i="3"/>
  <c r="C67" i="3"/>
  <c r="D67" i="3"/>
  <c r="D66" i="3"/>
  <c r="D64" i="3"/>
  <c r="E64" i="3" s="1"/>
  <c r="J64" i="3" s="1"/>
  <c r="D63" i="3"/>
  <c r="E63" i="3" s="1"/>
  <c r="D62" i="3"/>
  <c r="E62" i="3" s="1"/>
  <c r="D61" i="3"/>
  <c r="E61" i="3" s="1"/>
  <c r="D60" i="3"/>
  <c r="E60" i="3" s="1"/>
  <c r="D59" i="3"/>
  <c r="D58" i="3"/>
  <c r="D57" i="3"/>
  <c r="D56" i="3"/>
  <c r="E56" i="3" s="1"/>
  <c r="D55" i="3"/>
  <c r="E55" i="3" s="1"/>
  <c r="D54" i="3"/>
  <c r="E54" i="3" s="1"/>
  <c r="D53" i="3"/>
  <c r="E53" i="3" s="1"/>
  <c r="D52" i="3"/>
  <c r="D68" i="3" s="1"/>
  <c r="H59" i="3"/>
  <c r="H58" i="3"/>
  <c r="H57" i="3"/>
  <c r="H56" i="3"/>
  <c r="I56" i="3" s="1"/>
  <c r="J56" i="3" s="1"/>
  <c r="H53" i="3"/>
  <c r="I53" i="3" s="1"/>
  <c r="F67" i="3"/>
  <c r="G67" i="3" s="1"/>
  <c r="F66" i="3"/>
  <c r="F61" i="3"/>
  <c r="G61" i="3" s="1"/>
  <c r="F59" i="3"/>
  <c r="F58" i="3"/>
  <c r="F57" i="3"/>
  <c r="G57" i="3" s="1"/>
  <c r="F56" i="3"/>
  <c r="G56" i="3" s="1"/>
  <c r="F55" i="3"/>
  <c r="G55" i="3" s="1"/>
  <c r="F54" i="3"/>
  <c r="G54" i="3" s="1"/>
  <c r="F53" i="3"/>
  <c r="G53" i="3" s="1"/>
  <c r="F52" i="3"/>
  <c r="B67" i="3"/>
  <c r="B66" i="3"/>
  <c r="B64" i="3"/>
  <c r="C64" i="3" s="1"/>
  <c r="B63" i="3"/>
  <c r="C63" i="3" s="1"/>
  <c r="B62" i="3"/>
  <c r="C62" i="3" s="1"/>
  <c r="B59" i="3"/>
  <c r="B58" i="3"/>
  <c r="B57" i="3"/>
  <c r="B56" i="3"/>
  <c r="C56" i="3" s="1"/>
  <c r="B55" i="3"/>
  <c r="C55" i="3" s="1"/>
  <c r="B54" i="3"/>
  <c r="C54" i="3" s="1"/>
  <c r="B53" i="3"/>
  <c r="C53" i="3" s="1"/>
  <c r="B52" i="3"/>
  <c r="C52" i="3" s="1"/>
  <c r="B726" i="1"/>
  <c r="B727" i="1"/>
  <c r="B729" i="1"/>
  <c r="E82" i="5"/>
  <c r="F61" i="5" s="1"/>
  <c r="B74" i="5"/>
  <c r="B75" i="5"/>
  <c r="B81" i="5"/>
  <c r="B79" i="5"/>
  <c r="B77" i="5"/>
  <c r="B71" i="5"/>
  <c r="B78" i="5"/>
  <c r="B62" i="5"/>
  <c r="B82" i="5" s="1"/>
  <c r="C65" i="5" s="1"/>
  <c r="B70" i="5"/>
  <c r="B69" i="5"/>
  <c r="B68" i="5"/>
  <c r="B66" i="5"/>
  <c r="B65" i="5"/>
  <c r="C594" i="1"/>
  <c r="C601" i="1" s="1"/>
  <c r="B594" i="1"/>
  <c r="B467" i="1"/>
  <c r="E474" i="1"/>
  <c r="D474" i="1"/>
  <c r="D473" i="1" s="1"/>
  <c r="C474" i="1"/>
  <c r="F355" i="1"/>
  <c r="B549" i="1"/>
  <c r="F555" i="1"/>
  <c r="F549" i="1" s="1"/>
  <c r="F534" i="1" s="1"/>
  <c r="D556" i="1"/>
  <c r="E556" i="1"/>
  <c r="E555" i="1" s="1"/>
  <c r="E549" i="1" s="1"/>
  <c r="C556" i="1"/>
  <c r="C555" i="1" s="1"/>
  <c r="B368" i="1"/>
  <c r="B366" i="1"/>
  <c r="B365" i="1"/>
  <c r="E374" i="1"/>
  <c r="E373" i="1" s="1"/>
  <c r="E371" i="1" s="1"/>
  <c r="D374" i="1"/>
  <c r="D373" i="1" s="1"/>
  <c r="C374" i="1"/>
  <c r="E392" i="1"/>
  <c r="F392" i="1" s="1"/>
  <c r="E390" i="1"/>
  <c r="C390" i="1"/>
  <c r="D393" i="1"/>
  <c r="D391" i="1" s="1"/>
  <c r="F391" i="1" s="1"/>
  <c r="C407" i="1"/>
  <c r="F708" i="1"/>
  <c r="F709" i="1"/>
  <c r="G569" i="1"/>
  <c r="G570" i="1"/>
  <c r="G571" i="1"/>
  <c r="G572" i="1"/>
  <c r="G573" i="1"/>
  <c r="G574" i="1"/>
  <c r="G575" i="1"/>
  <c r="G576" i="1"/>
  <c r="G577" i="1"/>
  <c r="G579" i="1"/>
  <c r="B580" i="1"/>
  <c r="B578" i="1"/>
  <c r="B568" i="1"/>
  <c r="F601" i="1"/>
  <c r="F600" i="1" s="1"/>
  <c r="E601" i="1"/>
  <c r="E600" i="1" s="1"/>
  <c r="D601" i="1"/>
  <c r="D600" i="1" s="1"/>
  <c r="E407" i="1"/>
  <c r="B407" i="1"/>
  <c r="C403" i="1" s="1"/>
  <c r="C642" i="1"/>
  <c r="C640" i="1" s="1"/>
  <c r="E645" i="1"/>
  <c r="E642" i="1" s="1"/>
  <c r="E640" i="1" s="1"/>
  <c r="D645" i="1"/>
  <c r="B625" i="1"/>
  <c r="B624" i="1"/>
  <c r="B623" i="1"/>
  <c r="B619" i="1"/>
  <c r="B616" i="1"/>
  <c r="D407" i="1"/>
  <c r="I29" i="3"/>
  <c r="I34" i="3"/>
  <c r="J34" i="3" s="1"/>
  <c r="I35" i="3"/>
  <c r="J35" i="3" s="1"/>
  <c r="I36" i="3"/>
  <c r="J36" i="3" s="1"/>
  <c r="I37" i="3"/>
  <c r="J37" i="3" s="1"/>
  <c r="I38" i="3"/>
  <c r="I39" i="3"/>
  <c r="I40" i="3"/>
  <c r="I41" i="3"/>
  <c r="I42" i="3"/>
  <c r="J42" i="3" s="1"/>
  <c r="I43" i="3"/>
  <c r="I28" i="3"/>
  <c r="G34" i="3"/>
  <c r="G35" i="3"/>
  <c r="G36" i="3"/>
  <c r="G37" i="3"/>
  <c r="G39" i="3"/>
  <c r="G40" i="3"/>
  <c r="G41" i="3"/>
  <c r="G43" i="3"/>
  <c r="G28" i="3"/>
  <c r="E29" i="3"/>
  <c r="E35" i="3"/>
  <c r="E36" i="3"/>
  <c r="E37" i="3"/>
  <c r="E41" i="3"/>
  <c r="E28" i="3"/>
  <c r="C34" i="3"/>
  <c r="C35" i="3"/>
  <c r="C36" i="3"/>
  <c r="C41" i="3"/>
  <c r="C42" i="3"/>
  <c r="C43" i="3"/>
  <c r="C28" i="3"/>
  <c r="J28" i="3" s="1"/>
  <c r="J41" i="3"/>
  <c r="J44" i="3"/>
  <c r="J54" i="5"/>
  <c r="J44" i="5"/>
  <c r="J45" i="5"/>
  <c r="E54" i="5"/>
  <c r="F35" i="5" s="1"/>
  <c r="G35" i="5" s="1"/>
  <c r="B54" i="5"/>
  <c r="C33" i="5" s="1"/>
  <c r="D33" i="5" s="1"/>
  <c r="J33" i="5" s="1"/>
  <c r="B34" i="5"/>
  <c r="D43" i="3"/>
  <c r="E43" i="3" s="1"/>
  <c r="D42" i="3"/>
  <c r="E42" i="3" s="1"/>
  <c r="D40" i="3"/>
  <c r="E40" i="3" s="1"/>
  <c r="D39" i="3"/>
  <c r="E39" i="3" s="1"/>
  <c r="D38" i="3"/>
  <c r="E38" i="3" s="1"/>
  <c r="D37" i="3"/>
  <c r="D36" i="3"/>
  <c r="D35" i="3"/>
  <c r="D34" i="3"/>
  <c r="E34" i="3" s="1"/>
  <c r="D33" i="3"/>
  <c r="E33" i="3" s="1"/>
  <c r="D32" i="3"/>
  <c r="E32" i="3" s="1"/>
  <c r="D31" i="3"/>
  <c r="E31" i="3" s="1"/>
  <c r="D30" i="3"/>
  <c r="E30" i="3" s="1"/>
  <c r="D29" i="3"/>
  <c r="D28" i="3"/>
  <c r="F31" i="3"/>
  <c r="G31" i="3" s="1"/>
  <c r="F42" i="3"/>
  <c r="G42" i="3" s="1"/>
  <c r="F38" i="3"/>
  <c r="G38" i="3" s="1"/>
  <c r="J38" i="3" s="1"/>
  <c r="F37" i="3"/>
  <c r="F36" i="3"/>
  <c r="F35" i="3"/>
  <c r="F34" i="3"/>
  <c r="F33" i="3"/>
  <c r="G33" i="3" s="1"/>
  <c r="F32" i="3"/>
  <c r="G32" i="3" s="1"/>
  <c r="F30" i="3"/>
  <c r="G30" i="3" s="1"/>
  <c r="F29" i="3"/>
  <c r="F44" i="3" s="1"/>
  <c r="F28" i="3"/>
  <c r="H35" i="3"/>
  <c r="H34" i="3"/>
  <c r="H33" i="3"/>
  <c r="I33" i="3" s="1"/>
  <c r="H32" i="3"/>
  <c r="I32" i="3" s="1"/>
  <c r="H31" i="3"/>
  <c r="I31" i="3" s="1"/>
  <c r="J31" i="3" s="1"/>
  <c r="H30" i="3"/>
  <c r="I30" i="3" s="1"/>
  <c r="H29" i="3"/>
  <c r="B43" i="3"/>
  <c r="B42" i="3"/>
  <c r="B40" i="3"/>
  <c r="C40" i="3" s="1"/>
  <c r="B39" i="3"/>
  <c r="C39" i="3" s="1"/>
  <c r="B38" i="3"/>
  <c r="C38" i="3" s="1"/>
  <c r="B37" i="3"/>
  <c r="C37" i="3" s="1"/>
  <c r="B36" i="3"/>
  <c r="B35" i="3"/>
  <c r="B34" i="3"/>
  <c r="B33" i="3"/>
  <c r="C33" i="3" s="1"/>
  <c r="B32" i="3"/>
  <c r="C32" i="3" s="1"/>
  <c r="B31" i="3"/>
  <c r="C31" i="3" s="1"/>
  <c r="B30" i="3"/>
  <c r="C30" i="3" s="1"/>
  <c r="B29" i="3"/>
  <c r="B44" i="3" s="1"/>
  <c r="B28" i="3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B115" i="1"/>
  <c r="E115" i="1"/>
  <c r="D115" i="1"/>
  <c r="F8" i="1"/>
  <c r="B19" i="1"/>
  <c r="B16" i="1"/>
  <c r="B15" i="1"/>
  <c r="B196" i="1"/>
  <c r="F196" i="1"/>
  <c r="D196" i="1"/>
  <c r="E196" i="1"/>
  <c r="C196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C241" i="1"/>
  <c r="B241" i="1"/>
  <c r="F241" i="1"/>
  <c r="F206" i="1" s="1"/>
  <c r="E241" i="1"/>
  <c r="D241" i="1"/>
  <c r="E284" i="1"/>
  <c r="D284" i="1"/>
  <c r="C284" i="1"/>
  <c r="B284" i="1"/>
  <c r="C348" i="1"/>
  <c r="F348" i="1" s="1"/>
  <c r="E24" i="1"/>
  <c r="D24" i="1"/>
  <c r="C24" i="1"/>
  <c r="F30" i="1"/>
  <c r="F31" i="1"/>
  <c r="F32" i="1"/>
  <c r="F33" i="1"/>
  <c r="F34" i="1"/>
  <c r="F35" i="1"/>
  <c r="F36" i="1"/>
  <c r="F37" i="1"/>
  <c r="E41" i="1"/>
  <c r="E29" i="1" s="1"/>
  <c r="D41" i="1"/>
  <c r="C41" i="1"/>
  <c r="C29" i="1" s="1"/>
  <c r="D50" i="1"/>
  <c r="F50" i="1" s="1"/>
  <c r="G5" i="3"/>
  <c r="J20" i="3"/>
  <c r="G7" i="3"/>
  <c r="G8" i="3"/>
  <c r="G11" i="3"/>
  <c r="G15" i="3"/>
  <c r="G16" i="3"/>
  <c r="G17" i="3"/>
  <c r="G19" i="3"/>
  <c r="E6" i="3"/>
  <c r="E9" i="3"/>
  <c r="E14" i="3"/>
  <c r="E17" i="3"/>
  <c r="D19" i="3"/>
  <c r="E19" i="3" s="1"/>
  <c r="D18" i="3"/>
  <c r="E18" i="3" s="1"/>
  <c r="D16" i="3"/>
  <c r="E16" i="3" s="1"/>
  <c r="D15" i="3"/>
  <c r="E15" i="3" s="1"/>
  <c r="J15" i="3" s="1"/>
  <c r="D14" i="3"/>
  <c r="D13" i="3"/>
  <c r="E13" i="3" s="1"/>
  <c r="D12" i="3"/>
  <c r="E12" i="3" s="1"/>
  <c r="D11" i="3"/>
  <c r="E11" i="3" s="1"/>
  <c r="D10" i="3"/>
  <c r="E10" i="3" s="1"/>
  <c r="D9" i="3"/>
  <c r="D8" i="3"/>
  <c r="E8" i="3" s="1"/>
  <c r="D7" i="3"/>
  <c r="E7" i="3" s="1"/>
  <c r="D6" i="3"/>
  <c r="D5" i="3"/>
  <c r="E5" i="3" s="1"/>
  <c r="D4" i="3"/>
  <c r="E4" i="3" s="1"/>
  <c r="F18" i="3"/>
  <c r="G18" i="3" s="1"/>
  <c r="F14" i="3"/>
  <c r="G14" i="3" s="1"/>
  <c r="F13" i="3"/>
  <c r="G13" i="3" s="1"/>
  <c r="F12" i="3"/>
  <c r="G12" i="3" s="1"/>
  <c r="F11" i="3"/>
  <c r="F10" i="3"/>
  <c r="G10" i="3" s="1"/>
  <c r="F9" i="3"/>
  <c r="G9" i="3" s="1"/>
  <c r="F8" i="3"/>
  <c r="F7" i="3"/>
  <c r="F6" i="3"/>
  <c r="G6" i="3" s="1"/>
  <c r="F5" i="3"/>
  <c r="F4" i="3"/>
  <c r="G4" i="3" s="1"/>
  <c r="I10" i="3"/>
  <c r="I11" i="3"/>
  <c r="I12" i="3"/>
  <c r="I14" i="3"/>
  <c r="I15" i="3"/>
  <c r="I16" i="3"/>
  <c r="I17" i="3"/>
  <c r="I18" i="3"/>
  <c r="I19" i="3"/>
  <c r="I4" i="3"/>
  <c r="H13" i="3"/>
  <c r="I13" i="3" s="1"/>
  <c r="H12" i="3"/>
  <c r="H11" i="3"/>
  <c r="H10" i="3"/>
  <c r="H9" i="3"/>
  <c r="I9" i="3" s="1"/>
  <c r="H8" i="3"/>
  <c r="I8" i="3" s="1"/>
  <c r="H7" i="3"/>
  <c r="I7" i="3" s="1"/>
  <c r="H6" i="3"/>
  <c r="I6" i="3" s="1"/>
  <c r="H5" i="3"/>
  <c r="I5" i="3" s="1"/>
  <c r="H4" i="3"/>
  <c r="H20" i="3" s="1"/>
  <c r="C9" i="3"/>
  <c r="C10" i="3"/>
  <c r="C15" i="3"/>
  <c r="C17" i="3"/>
  <c r="J17" i="3" s="1"/>
  <c r="C18" i="3"/>
  <c r="B10" i="3"/>
  <c r="B8" i="3"/>
  <c r="C8" i="3" s="1"/>
  <c r="B19" i="3"/>
  <c r="C19" i="3" s="1"/>
  <c r="B18" i="3"/>
  <c r="B16" i="3"/>
  <c r="C16" i="3" s="1"/>
  <c r="J16" i="3" s="1"/>
  <c r="B15" i="3"/>
  <c r="B14" i="3"/>
  <c r="C14" i="3" s="1"/>
  <c r="B13" i="3"/>
  <c r="C13" i="3" s="1"/>
  <c r="B12" i="3"/>
  <c r="C12" i="3" s="1"/>
  <c r="J12" i="3" s="1"/>
  <c r="B11" i="3"/>
  <c r="C11" i="3" s="1"/>
  <c r="B9" i="3"/>
  <c r="B7" i="3"/>
  <c r="C7" i="3" s="1"/>
  <c r="B6" i="3"/>
  <c r="C6" i="3" s="1"/>
  <c r="B5" i="3"/>
  <c r="C5" i="3" s="1"/>
  <c r="J5" i="3" s="1"/>
  <c r="B4" i="3"/>
  <c r="C4" i="3" s="1"/>
  <c r="J4" i="3" s="1"/>
  <c r="J26" i="5"/>
  <c r="E21" i="5"/>
  <c r="E26" i="5" s="1"/>
  <c r="F5" i="5" s="1"/>
  <c r="G5" i="5" s="1"/>
  <c r="B6" i="5"/>
  <c r="B26" i="5" s="1"/>
  <c r="C6" i="5" s="1"/>
  <c r="D6" i="5" s="1"/>
  <c r="J13" i="3" l="1"/>
  <c r="J18" i="3"/>
  <c r="J14" i="3"/>
  <c r="J30" i="3"/>
  <c r="J43" i="3"/>
  <c r="J53" i="3"/>
  <c r="J63" i="3"/>
  <c r="J54" i="3"/>
  <c r="J7" i="3"/>
  <c r="J33" i="3"/>
  <c r="J40" i="3"/>
  <c r="J19" i="3"/>
  <c r="J67" i="3"/>
  <c r="J6" i="3"/>
  <c r="J10" i="3"/>
  <c r="J32" i="3"/>
  <c r="J9" i="3"/>
  <c r="J11" i="3"/>
  <c r="J8" i="3"/>
  <c r="J39" i="3"/>
  <c r="J61" i="3"/>
  <c r="C29" i="3"/>
  <c r="G29" i="3"/>
  <c r="J29" i="3" s="1"/>
  <c r="F68" i="3"/>
  <c r="F1196" i="1"/>
  <c r="F1173" i="1"/>
  <c r="F1189" i="1"/>
  <c r="F1205" i="1"/>
  <c r="F1182" i="1"/>
  <c r="F1198" i="1"/>
  <c r="G1327" i="1"/>
  <c r="G1320" i="1"/>
  <c r="F20" i="3"/>
  <c r="D20" i="3"/>
  <c r="F1175" i="1"/>
  <c r="F1191" i="1"/>
  <c r="F1184" i="1"/>
  <c r="F1200" i="1"/>
  <c r="G1323" i="1"/>
  <c r="F1180" i="1"/>
  <c r="B20" i="3"/>
  <c r="D44" i="3"/>
  <c r="B68" i="3"/>
  <c r="F1177" i="1"/>
  <c r="F1170" i="1"/>
  <c r="F1202" i="1"/>
  <c r="H44" i="3"/>
  <c r="C1091" i="1"/>
  <c r="F1179" i="1"/>
  <c r="F1195" i="1"/>
  <c r="F1172" i="1"/>
  <c r="F1188" i="1"/>
  <c r="F1204" i="1"/>
  <c r="E52" i="3"/>
  <c r="J52" i="3" s="1"/>
  <c r="F1193" i="1"/>
  <c r="F1186" i="1"/>
  <c r="G1331" i="1"/>
  <c r="H68" i="3"/>
  <c r="F1174" i="1"/>
  <c r="F1190" i="1"/>
  <c r="F1206" i="1"/>
  <c r="G1324" i="1"/>
  <c r="G1321" i="1"/>
  <c r="J105" i="5"/>
  <c r="C4" i="5"/>
  <c r="D4" i="5" s="1"/>
  <c r="C25" i="5"/>
  <c r="D25" i="5" s="1"/>
  <c r="C23" i="5"/>
  <c r="D23" i="5" s="1"/>
  <c r="C21" i="5"/>
  <c r="D21" i="5" s="1"/>
  <c r="C19" i="5"/>
  <c r="D19" i="5" s="1"/>
  <c r="C17" i="5"/>
  <c r="D17" i="5" s="1"/>
  <c r="C15" i="5"/>
  <c r="D15" i="5" s="1"/>
  <c r="C13" i="5"/>
  <c r="D13" i="5" s="1"/>
  <c r="C11" i="5"/>
  <c r="D11" i="5" s="1"/>
  <c r="C9" i="5"/>
  <c r="D9" i="5" s="1"/>
  <c r="C7" i="5"/>
  <c r="D7" i="5" s="1"/>
  <c r="C5" i="5"/>
  <c r="D5" i="5" s="1"/>
  <c r="J5" i="5" s="1"/>
  <c r="F26" i="5"/>
  <c r="F24" i="5"/>
  <c r="G24" i="5" s="1"/>
  <c r="F22" i="5"/>
  <c r="G22" i="5" s="1"/>
  <c r="F20" i="5"/>
  <c r="G20" i="5" s="1"/>
  <c r="F18" i="5"/>
  <c r="G18" i="5" s="1"/>
  <c r="F16" i="5"/>
  <c r="G16" i="5" s="1"/>
  <c r="F14" i="5"/>
  <c r="G14" i="5" s="1"/>
  <c r="F12" i="5"/>
  <c r="G12" i="5" s="1"/>
  <c r="F10" i="5"/>
  <c r="G10" i="5" s="1"/>
  <c r="F8" i="5"/>
  <c r="G8" i="5" s="1"/>
  <c r="F6" i="5"/>
  <c r="G6" i="5" s="1"/>
  <c r="J6" i="5" s="1"/>
  <c r="C32" i="5"/>
  <c r="D32" i="5" s="1"/>
  <c r="J32" i="5" s="1"/>
  <c r="C53" i="5"/>
  <c r="D53" i="5" s="1"/>
  <c r="J53" i="5" s="1"/>
  <c r="C50" i="5"/>
  <c r="D50" i="5" s="1"/>
  <c r="J50" i="5" s="1"/>
  <c r="C48" i="5"/>
  <c r="D48" i="5" s="1"/>
  <c r="C46" i="5"/>
  <c r="D46" i="5" s="1"/>
  <c r="C42" i="5"/>
  <c r="D42" i="5" s="1"/>
  <c r="C40" i="5"/>
  <c r="D40" i="5" s="1"/>
  <c r="J40" i="5" s="1"/>
  <c r="C38" i="5"/>
  <c r="D38" i="5" s="1"/>
  <c r="C36" i="5"/>
  <c r="D36" i="5" s="1"/>
  <c r="J36" i="5" s="1"/>
  <c r="C34" i="5"/>
  <c r="D34" i="5" s="1"/>
  <c r="F34" i="5"/>
  <c r="G34" i="5" s="1"/>
  <c r="J34" i="5" s="1"/>
  <c r="F49" i="5"/>
  <c r="G49" i="5" s="1"/>
  <c r="F46" i="5"/>
  <c r="G46" i="5" s="1"/>
  <c r="J46" i="5" s="1"/>
  <c r="F39" i="5"/>
  <c r="G39" i="5" s="1"/>
  <c r="F37" i="5"/>
  <c r="G37" i="5" s="1"/>
  <c r="C60" i="5"/>
  <c r="C81" i="5"/>
  <c r="C78" i="5"/>
  <c r="C75" i="5"/>
  <c r="C71" i="5"/>
  <c r="C69" i="5"/>
  <c r="C66" i="5"/>
  <c r="C62" i="5"/>
  <c r="F82" i="5"/>
  <c r="F76" i="5"/>
  <c r="F63" i="5"/>
  <c r="C26" i="5"/>
  <c r="C24" i="5"/>
  <c r="D24" i="5" s="1"/>
  <c r="C22" i="5"/>
  <c r="D22" i="5" s="1"/>
  <c r="C20" i="5"/>
  <c r="D20" i="5" s="1"/>
  <c r="C18" i="5"/>
  <c r="D18" i="5" s="1"/>
  <c r="J18" i="5" s="1"/>
  <c r="C16" i="5"/>
  <c r="D16" i="5" s="1"/>
  <c r="C14" i="5"/>
  <c r="D14" i="5" s="1"/>
  <c r="J14" i="5" s="1"/>
  <c r="C12" i="5"/>
  <c r="D12" i="5" s="1"/>
  <c r="J12" i="5" s="1"/>
  <c r="C10" i="5"/>
  <c r="D10" i="5" s="1"/>
  <c r="J10" i="5" s="1"/>
  <c r="C8" i="5"/>
  <c r="D8" i="5" s="1"/>
  <c r="F4" i="5"/>
  <c r="G4" i="5" s="1"/>
  <c r="F25" i="5"/>
  <c r="G25" i="5" s="1"/>
  <c r="F23" i="5"/>
  <c r="G23" i="5" s="1"/>
  <c r="F21" i="5"/>
  <c r="G21" i="5" s="1"/>
  <c r="F19" i="5"/>
  <c r="G19" i="5" s="1"/>
  <c r="F17" i="5"/>
  <c r="G17" i="5" s="1"/>
  <c r="F15" i="5"/>
  <c r="G15" i="5" s="1"/>
  <c r="F13" i="5"/>
  <c r="G13" i="5" s="1"/>
  <c r="F11" i="5"/>
  <c r="G11" i="5" s="1"/>
  <c r="F9" i="5"/>
  <c r="G9" i="5" s="1"/>
  <c r="F7" i="5"/>
  <c r="G7" i="5" s="1"/>
  <c r="C54" i="5"/>
  <c r="C51" i="5"/>
  <c r="D51" i="5" s="1"/>
  <c r="J51" i="5" s="1"/>
  <c r="C49" i="5"/>
  <c r="D49" i="5" s="1"/>
  <c r="C47" i="5"/>
  <c r="D47" i="5" s="1"/>
  <c r="J47" i="5" s="1"/>
  <c r="C43" i="5"/>
  <c r="D43" i="5" s="1"/>
  <c r="J43" i="5" s="1"/>
  <c r="C41" i="5"/>
  <c r="D41" i="5" s="1"/>
  <c r="J41" i="5" s="1"/>
  <c r="C39" i="5"/>
  <c r="D39" i="5" s="1"/>
  <c r="C37" i="5"/>
  <c r="D37" i="5" s="1"/>
  <c r="C35" i="5"/>
  <c r="D35" i="5" s="1"/>
  <c r="J35" i="5" s="1"/>
  <c r="F54" i="5"/>
  <c r="F48" i="5"/>
  <c r="G48" i="5" s="1"/>
  <c r="J48" i="5" s="1"/>
  <c r="F42" i="5"/>
  <c r="G42" i="5" s="1"/>
  <c r="J42" i="5" s="1"/>
  <c r="F38" i="5"/>
  <c r="G38" i="5" s="1"/>
  <c r="C82" i="5"/>
  <c r="C79" i="5"/>
  <c r="C77" i="5"/>
  <c r="C74" i="5"/>
  <c r="C70" i="5"/>
  <c r="C68" i="5"/>
  <c r="F60" i="5"/>
  <c r="F77" i="5"/>
  <c r="F68" i="5"/>
  <c r="C130" i="1"/>
  <c r="F735" i="1"/>
  <c r="G977" i="1"/>
  <c r="F1145" i="1"/>
  <c r="F1139" i="1"/>
  <c r="G1325" i="1"/>
  <c r="G1329" i="1"/>
  <c r="G1322" i="1"/>
  <c r="G1326" i="1"/>
  <c r="G1330" i="1"/>
  <c r="F1142" i="1"/>
  <c r="F24" i="1"/>
  <c r="E21" i="1"/>
  <c r="D271" i="1"/>
  <c r="F271" i="1" s="1"/>
  <c r="F407" i="1"/>
  <c r="D1363" i="1"/>
  <c r="E1363" i="1" s="1"/>
  <c r="D1367" i="1"/>
  <c r="E1367" i="1" s="1"/>
  <c r="D1371" i="1"/>
  <c r="E1371" i="1" s="1"/>
  <c r="D1375" i="1"/>
  <c r="E1375" i="1" s="1"/>
  <c r="D1379" i="1"/>
  <c r="E1379" i="1" s="1"/>
  <c r="D1362" i="1"/>
  <c r="E1362" i="1" s="1"/>
  <c r="D1366" i="1"/>
  <c r="E1366" i="1" s="1"/>
  <c r="D1370" i="1"/>
  <c r="E1370" i="1" s="1"/>
  <c r="D1374" i="1"/>
  <c r="E1374" i="1" s="1"/>
  <c r="D1378" i="1"/>
  <c r="E1378" i="1" s="1"/>
  <c r="F1361" i="1"/>
  <c r="D1365" i="1"/>
  <c r="E1365" i="1" s="1"/>
  <c r="D1369" i="1"/>
  <c r="E1369" i="1" s="1"/>
  <c r="D1373" i="1"/>
  <c r="E1373" i="1" s="1"/>
  <c r="F1373" i="1" s="1"/>
  <c r="D1377" i="1"/>
  <c r="E1377" i="1" s="1"/>
  <c r="F1377" i="1" s="1"/>
  <c r="D1359" i="1"/>
  <c r="E1359" i="1" s="1"/>
  <c r="F1359" i="1" s="1"/>
  <c r="D1360" i="1"/>
  <c r="E1360" i="1" s="1"/>
  <c r="D1364" i="1"/>
  <c r="E1364" i="1" s="1"/>
  <c r="F1364" i="1" s="1"/>
  <c r="D1368" i="1"/>
  <c r="E1368" i="1" s="1"/>
  <c r="F1368" i="1" s="1"/>
  <c r="D1372" i="1"/>
  <c r="E1372" i="1" s="1"/>
  <c r="D1376" i="1"/>
  <c r="E1376" i="1" s="1"/>
  <c r="F1146" i="1"/>
  <c r="G1246" i="1"/>
  <c r="G1250" i="1"/>
  <c r="G1254" i="1"/>
  <c r="G1258" i="1"/>
  <c r="G1262" i="1"/>
  <c r="G1266" i="1"/>
  <c r="G1270" i="1"/>
  <c r="G1274" i="1"/>
  <c r="G1278" i="1"/>
  <c r="G1282" i="1"/>
  <c r="F1169" i="1"/>
  <c r="G1245" i="1"/>
  <c r="G1249" i="1"/>
  <c r="G1253" i="1"/>
  <c r="G1257" i="1"/>
  <c r="G1261" i="1"/>
  <c r="G1265" i="1"/>
  <c r="G1269" i="1"/>
  <c r="G1275" i="1"/>
  <c r="G1279" i="1"/>
  <c r="G1283" i="1"/>
  <c r="G1248" i="1"/>
  <c r="G1252" i="1"/>
  <c r="G1256" i="1"/>
  <c r="G1260" i="1"/>
  <c r="G1264" i="1"/>
  <c r="G1268" i="1"/>
  <c r="G1272" i="1"/>
  <c r="G1276" i="1"/>
  <c r="G1280" i="1"/>
  <c r="G1284" i="1"/>
  <c r="G1243" i="1"/>
  <c r="G1247" i="1"/>
  <c r="G1251" i="1"/>
  <c r="G1255" i="1"/>
  <c r="G1259" i="1"/>
  <c r="G1263" i="1"/>
  <c r="G1267" i="1"/>
  <c r="G1273" i="1"/>
  <c r="G1277" i="1"/>
  <c r="G1281" i="1"/>
  <c r="G1242" i="1"/>
  <c r="D1397" i="1"/>
  <c r="E1397" i="1" s="1"/>
  <c r="D1401" i="1"/>
  <c r="E1401" i="1" s="1"/>
  <c r="D1405" i="1"/>
  <c r="E1405" i="1" s="1"/>
  <c r="D1409" i="1"/>
  <c r="E1409" i="1" s="1"/>
  <c r="D1413" i="1"/>
  <c r="E1413" i="1" s="1"/>
  <c r="D1417" i="1"/>
  <c r="E1417" i="1" s="1"/>
  <c r="D1421" i="1"/>
  <c r="E1421" i="1" s="1"/>
  <c r="D1425" i="1"/>
  <c r="E1425" i="1" s="1"/>
  <c r="D1429" i="1"/>
  <c r="E1429" i="1" s="1"/>
  <c r="D1433" i="1"/>
  <c r="E1433" i="1" s="1"/>
  <c r="D1437" i="1"/>
  <c r="E1437" i="1" s="1"/>
  <c r="D1441" i="1"/>
  <c r="E1441" i="1" s="1"/>
  <c r="D1445" i="1"/>
  <c r="E1445" i="1" s="1"/>
  <c r="D1449" i="1"/>
  <c r="E1449" i="1" s="1"/>
  <c r="D1453" i="1"/>
  <c r="E1453" i="1" s="1"/>
  <c r="F1453" i="1" s="1"/>
  <c r="D1457" i="1"/>
  <c r="E1457" i="1" s="1"/>
  <c r="D1398" i="1"/>
  <c r="E1398" i="1" s="1"/>
  <c r="F1398" i="1" s="1"/>
  <c r="D1402" i="1"/>
  <c r="E1402" i="1" s="1"/>
  <c r="F1402" i="1" s="1"/>
  <c r="D1406" i="1"/>
  <c r="E1406" i="1" s="1"/>
  <c r="D1410" i="1"/>
  <c r="E1410" i="1" s="1"/>
  <c r="D1414" i="1"/>
  <c r="E1414" i="1" s="1"/>
  <c r="D1418" i="1"/>
  <c r="E1418" i="1" s="1"/>
  <c r="D1422" i="1"/>
  <c r="E1422" i="1" s="1"/>
  <c r="D1426" i="1"/>
  <c r="E1426" i="1" s="1"/>
  <c r="D1430" i="1"/>
  <c r="E1430" i="1" s="1"/>
  <c r="D1434" i="1"/>
  <c r="E1434" i="1" s="1"/>
  <c r="D1438" i="1"/>
  <c r="E1438" i="1" s="1"/>
  <c r="D1442" i="1"/>
  <c r="E1442" i="1" s="1"/>
  <c r="D1446" i="1"/>
  <c r="E1446" i="1" s="1"/>
  <c r="D1450" i="1"/>
  <c r="E1450" i="1" s="1"/>
  <c r="D1454" i="1"/>
  <c r="E1454" i="1" s="1"/>
  <c r="D1458" i="1"/>
  <c r="E1458" i="1" s="1"/>
  <c r="C1126" i="1"/>
  <c r="C1127" i="1"/>
  <c r="C1123" i="1"/>
  <c r="C1124" i="1"/>
  <c r="D1399" i="1"/>
  <c r="E1399" i="1" s="1"/>
  <c r="D1403" i="1"/>
  <c r="E1403" i="1" s="1"/>
  <c r="D1407" i="1"/>
  <c r="E1407" i="1" s="1"/>
  <c r="D1411" i="1"/>
  <c r="E1411" i="1" s="1"/>
  <c r="D1415" i="1"/>
  <c r="E1415" i="1" s="1"/>
  <c r="D1419" i="1"/>
  <c r="E1419" i="1" s="1"/>
  <c r="D1423" i="1"/>
  <c r="E1423" i="1" s="1"/>
  <c r="D1427" i="1"/>
  <c r="E1427" i="1" s="1"/>
  <c r="D1431" i="1"/>
  <c r="E1431" i="1" s="1"/>
  <c r="D1435" i="1"/>
  <c r="E1435" i="1" s="1"/>
  <c r="D1439" i="1"/>
  <c r="E1439" i="1" s="1"/>
  <c r="D1443" i="1"/>
  <c r="E1443" i="1" s="1"/>
  <c r="D1447" i="1"/>
  <c r="E1447" i="1" s="1"/>
  <c r="D1451" i="1"/>
  <c r="E1451" i="1" s="1"/>
  <c r="D1455" i="1"/>
  <c r="E1455" i="1" s="1"/>
  <c r="D1396" i="1"/>
  <c r="E1396" i="1" s="1"/>
  <c r="D1400" i="1"/>
  <c r="E1400" i="1" s="1"/>
  <c r="D1404" i="1"/>
  <c r="E1404" i="1" s="1"/>
  <c r="D1408" i="1"/>
  <c r="E1408" i="1" s="1"/>
  <c r="D1412" i="1"/>
  <c r="E1412" i="1" s="1"/>
  <c r="D1416" i="1"/>
  <c r="E1416" i="1" s="1"/>
  <c r="D1420" i="1"/>
  <c r="E1420" i="1" s="1"/>
  <c r="D1424" i="1"/>
  <c r="E1424" i="1" s="1"/>
  <c r="D1428" i="1"/>
  <c r="E1428" i="1" s="1"/>
  <c r="D1432" i="1"/>
  <c r="E1432" i="1" s="1"/>
  <c r="D1436" i="1"/>
  <c r="E1436" i="1" s="1"/>
  <c r="D1440" i="1"/>
  <c r="E1440" i="1" s="1"/>
  <c r="D1444" i="1"/>
  <c r="E1444" i="1" s="1"/>
  <c r="D1448" i="1"/>
  <c r="E1448" i="1" s="1"/>
  <c r="D1452" i="1"/>
  <c r="E1452" i="1" s="1"/>
  <c r="D1456" i="1"/>
  <c r="E1456" i="1" s="1"/>
  <c r="C1125" i="1"/>
  <c r="C1128" i="1"/>
  <c r="D1091" i="1"/>
  <c r="E1091" i="1" s="1"/>
  <c r="F1092" i="1"/>
  <c r="F1143" i="1"/>
  <c r="F1147" i="1"/>
  <c r="F1140" i="1"/>
  <c r="F1144" i="1"/>
  <c r="F1148" i="1"/>
  <c r="B601" i="1"/>
  <c r="C254" i="1"/>
  <c r="D254" i="1" s="1"/>
  <c r="E254" i="1" s="1"/>
  <c r="F959" i="1"/>
  <c r="F393" i="1"/>
  <c r="D390" i="1"/>
  <c r="F390" i="1" s="1"/>
  <c r="G930" i="1"/>
  <c r="C557" i="1"/>
  <c r="D774" i="1"/>
  <c r="E774" i="1" s="1"/>
  <c r="E206" i="1"/>
  <c r="D403" i="1"/>
  <c r="E403" i="1" s="1"/>
  <c r="F403" i="1" s="1"/>
  <c r="E595" i="1"/>
  <c r="E580" i="1" s="1"/>
  <c r="C373" i="1"/>
  <c r="F373" i="1" s="1"/>
  <c r="D371" i="1"/>
  <c r="G556" i="1"/>
  <c r="D555" i="1"/>
  <c r="D557" i="1" s="1"/>
  <c r="C549" i="1"/>
  <c r="C547" i="1" s="1"/>
  <c r="F497" i="1"/>
  <c r="E557" i="1"/>
  <c r="C473" i="1"/>
  <c r="E473" i="1"/>
  <c r="E467" i="1" s="1"/>
  <c r="D467" i="1"/>
  <c r="G241" i="1"/>
  <c r="F205" i="1"/>
  <c r="F115" i="1"/>
  <c r="D595" i="1"/>
  <c r="F595" i="1"/>
  <c r="F594" i="1" s="1"/>
  <c r="F374" i="1"/>
  <c r="B374" i="1"/>
  <c r="E484" i="1"/>
  <c r="F474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B735" i="1"/>
  <c r="C728" i="1" s="1"/>
  <c r="F768" i="1"/>
  <c r="D764" i="1"/>
  <c r="F764" i="1" s="1"/>
  <c r="E765" i="1"/>
  <c r="F765" i="1" s="1"/>
  <c r="C780" i="1"/>
  <c r="C778" i="1"/>
  <c r="C775" i="1"/>
  <c r="C773" i="1"/>
  <c r="C776" i="1"/>
  <c r="D776" i="1" s="1"/>
  <c r="E776" i="1" s="1"/>
  <c r="C1019" i="1"/>
  <c r="C1017" i="1"/>
  <c r="C1015" i="1"/>
  <c r="C1013" i="1"/>
  <c r="C1011" i="1"/>
  <c r="C1009" i="1"/>
  <c r="C1007" i="1"/>
  <c r="C1005" i="1"/>
  <c r="C1003" i="1"/>
  <c r="C1001" i="1"/>
  <c r="C999" i="1"/>
  <c r="C997" i="1"/>
  <c r="D957" i="1"/>
  <c r="D968" i="1"/>
  <c r="D966" i="1"/>
  <c r="D964" i="1"/>
  <c r="D962" i="1"/>
  <c r="D960" i="1"/>
  <c r="D958" i="1"/>
  <c r="F969" i="1"/>
  <c r="F967" i="1"/>
  <c r="F965" i="1"/>
  <c r="F963" i="1"/>
  <c r="F961" i="1"/>
  <c r="E957" i="1"/>
  <c r="E968" i="1"/>
  <c r="E966" i="1"/>
  <c r="E964" i="1"/>
  <c r="E962" i="1"/>
  <c r="E960" i="1"/>
  <c r="E958" i="1"/>
  <c r="C862" i="1"/>
  <c r="C909" i="1"/>
  <c r="C907" i="1"/>
  <c r="C905" i="1"/>
  <c r="C903" i="1"/>
  <c r="C901" i="1"/>
  <c r="C898" i="1"/>
  <c r="C894" i="1"/>
  <c r="C890" i="1"/>
  <c r="C886" i="1"/>
  <c r="C882" i="1"/>
  <c r="C878" i="1"/>
  <c r="C874" i="1"/>
  <c r="C870" i="1"/>
  <c r="C866" i="1"/>
  <c r="C828" i="1"/>
  <c r="C824" i="1"/>
  <c r="C820" i="1"/>
  <c r="C816" i="1"/>
  <c r="C812" i="1"/>
  <c r="C808" i="1"/>
  <c r="C804" i="1"/>
  <c r="D844" i="1"/>
  <c r="F844" i="1" s="1"/>
  <c r="D840" i="1"/>
  <c r="F840" i="1" s="1"/>
  <c r="D836" i="1"/>
  <c r="F836" i="1" s="1"/>
  <c r="D832" i="1"/>
  <c r="F832" i="1" s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03" i="1"/>
  <c r="D594" i="1"/>
  <c r="C772" i="1"/>
  <c r="C781" i="1"/>
  <c r="C779" i="1"/>
  <c r="C777" i="1"/>
  <c r="C995" i="1"/>
  <c r="C1020" i="1"/>
  <c r="C1018" i="1"/>
  <c r="C1016" i="1"/>
  <c r="C1014" i="1"/>
  <c r="C1012" i="1"/>
  <c r="C1010" i="1"/>
  <c r="C1008" i="1"/>
  <c r="C1006" i="1"/>
  <c r="C1004" i="1"/>
  <c r="C1002" i="1"/>
  <c r="C1000" i="1"/>
  <c r="C998" i="1"/>
  <c r="C996" i="1"/>
  <c r="D969" i="1"/>
  <c r="D967" i="1"/>
  <c r="D965" i="1"/>
  <c r="D963" i="1"/>
  <c r="D961" i="1"/>
  <c r="D959" i="1"/>
  <c r="F957" i="1"/>
  <c r="F968" i="1"/>
  <c r="F966" i="1"/>
  <c r="F964" i="1"/>
  <c r="F962" i="1"/>
  <c r="F960" i="1"/>
  <c r="F958" i="1"/>
  <c r="E969" i="1"/>
  <c r="E967" i="1"/>
  <c r="E965" i="1"/>
  <c r="E963" i="1"/>
  <c r="E961" i="1"/>
  <c r="E959" i="1"/>
  <c r="C908" i="1"/>
  <c r="C906" i="1"/>
  <c r="C904" i="1"/>
  <c r="C902" i="1"/>
  <c r="C900" i="1"/>
  <c r="C896" i="1"/>
  <c r="C892" i="1"/>
  <c r="C888" i="1"/>
  <c r="C884" i="1"/>
  <c r="C880" i="1"/>
  <c r="C876" i="1"/>
  <c r="C872" i="1"/>
  <c r="C868" i="1"/>
  <c r="C864" i="1"/>
  <c r="F848" i="1"/>
  <c r="C830" i="1"/>
  <c r="C826" i="1"/>
  <c r="C822" i="1"/>
  <c r="C818" i="1"/>
  <c r="C814" i="1"/>
  <c r="C810" i="1"/>
  <c r="C806" i="1"/>
  <c r="D846" i="1"/>
  <c r="F846" i="1" s="1"/>
  <c r="D842" i="1"/>
  <c r="F842" i="1" s="1"/>
  <c r="D838" i="1"/>
  <c r="F838" i="1" s="1"/>
  <c r="D834" i="1"/>
  <c r="F834" i="1" s="1"/>
  <c r="D847" i="1"/>
  <c r="F847" i="1" s="1"/>
  <c r="D845" i="1"/>
  <c r="F845" i="1" s="1"/>
  <c r="D843" i="1"/>
  <c r="F843" i="1" s="1"/>
  <c r="D841" i="1"/>
  <c r="F841" i="1" s="1"/>
  <c r="D839" i="1"/>
  <c r="F839" i="1" s="1"/>
  <c r="D837" i="1"/>
  <c r="F837" i="1" s="1"/>
  <c r="D835" i="1"/>
  <c r="F835" i="1" s="1"/>
  <c r="D833" i="1"/>
  <c r="F833" i="1" s="1"/>
  <c r="C482" i="1"/>
  <c r="C529" i="1"/>
  <c r="C517" i="1"/>
  <c r="C497" i="1"/>
  <c r="C485" i="1"/>
  <c r="E482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559" i="1" s="1"/>
  <c r="E495" i="1"/>
  <c r="E493" i="1"/>
  <c r="E491" i="1"/>
  <c r="E489" i="1"/>
  <c r="E487" i="1"/>
  <c r="E485" i="1"/>
  <c r="E483" i="1"/>
  <c r="C540" i="1"/>
  <c r="C528" i="1"/>
  <c r="C508" i="1"/>
  <c r="C496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D578" i="1"/>
  <c r="D568" i="1"/>
  <c r="D580" i="1"/>
  <c r="D130" i="1"/>
  <c r="E130" i="1" s="1"/>
  <c r="D29" i="1"/>
  <c r="F29" i="1" s="1"/>
  <c r="D40" i="1"/>
  <c r="E193" i="1"/>
  <c r="E19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56" i="1"/>
  <c r="G600" i="1"/>
  <c r="G601" i="1"/>
  <c r="E38" i="1"/>
  <c r="E40" i="1"/>
  <c r="E20" i="1"/>
  <c r="E22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402" i="1"/>
  <c r="D402" i="1" s="1"/>
  <c r="E402" i="1" s="1"/>
  <c r="F402" i="1" s="1"/>
  <c r="C404" i="1"/>
  <c r="D404" i="1" s="1"/>
  <c r="E404" i="1" s="1"/>
  <c r="F404" i="1" s="1"/>
  <c r="C406" i="1"/>
  <c r="D406" i="1" s="1"/>
  <c r="E406" i="1" s="1"/>
  <c r="F406" i="1" s="1"/>
  <c r="C401" i="1"/>
  <c r="D401" i="1" s="1"/>
  <c r="E401" i="1" s="1"/>
  <c r="F401" i="1" s="1"/>
  <c r="F41" i="1"/>
  <c r="C252" i="1"/>
  <c r="C269" i="1"/>
  <c r="C267" i="1"/>
  <c r="C265" i="1"/>
  <c r="C263" i="1"/>
  <c r="C261" i="1"/>
  <c r="C259" i="1"/>
  <c r="C257" i="1"/>
  <c r="C255" i="1"/>
  <c r="C253" i="1"/>
  <c r="D282" i="1"/>
  <c r="F282" i="1" s="1"/>
  <c r="D280" i="1"/>
  <c r="F280" i="1" s="1"/>
  <c r="D278" i="1"/>
  <c r="F278" i="1" s="1"/>
  <c r="D276" i="1"/>
  <c r="F276" i="1" s="1"/>
  <c r="D274" i="1"/>
  <c r="F274" i="1" s="1"/>
  <c r="D272" i="1"/>
  <c r="F272" i="1" s="1"/>
  <c r="D204" i="1"/>
  <c r="D227" i="1"/>
  <c r="D225" i="1"/>
  <c r="D223" i="1"/>
  <c r="D221" i="1"/>
  <c r="D219" i="1"/>
  <c r="D217" i="1"/>
  <c r="D215" i="1"/>
  <c r="D213" i="1"/>
  <c r="D211" i="1"/>
  <c r="D209" i="1"/>
  <c r="D207" i="1"/>
  <c r="D205" i="1"/>
  <c r="F228" i="1"/>
  <c r="F226" i="1"/>
  <c r="F224" i="1"/>
  <c r="F222" i="1"/>
  <c r="F220" i="1"/>
  <c r="F218" i="1"/>
  <c r="F216" i="1"/>
  <c r="F214" i="1"/>
  <c r="F212" i="1"/>
  <c r="F210" i="1"/>
  <c r="F208" i="1"/>
  <c r="E204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G196" i="1"/>
  <c r="C129" i="1"/>
  <c r="C191" i="1"/>
  <c r="C189" i="1"/>
  <c r="C187" i="1"/>
  <c r="C185" i="1"/>
  <c r="C183" i="1"/>
  <c r="C181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E194" i="1"/>
  <c r="D39" i="1"/>
  <c r="F39" i="1" s="1"/>
  <c r="C98" i="1"/>
  <c r="C94" i="1"/>
  <c r="C90" i="1"/>
  <c r="C86" i="1"/>
  <c r="C82" i="1"/>
  <c r="C78" i="1"/>
  <c r="C74" i="1"/>
  <c r="C70" i="1"/>
  <c r="C66" i="1"/>
  <c r="C62" i="1"/>
  <c r="C58" i="1"/>
  <c r="F284" i="1"/>
  <c r="C270" i="1"/>
  <c r="C268" i="1"/>
  <c r="C266" i="1"/>
  <c r="C264" i="1"/>
  <c r="C262" i="1"/>
  <c r="C260" i="1"/>
  <c r="C258" i="1"/>
  <c r="C256" i="1"/>
  <c r="D283" i="1"/>
  <c r="F283" i="1" s="1"/>
  <c r="D281" i="1"/>
  <c r="F281" i="1" s="1"/>
  <c r="D279" i="1"/>
  <c r="F279" i="1" s="1"/>
  <c r="D277" i="1"/>
  <c r="F277" i="1" s="1"/>
  <c r="D275" i="1"/>
  <c r="F275" i="1" s="1"/>
  <c r="D273" i="1"/>
  <c r="F273" i="1" s="1"/>
  <c r="D228" i="1"/>
  <c r="D226" i="1"/>
  <c r="D224" i="1"/>
  <c r="D222" i="1"/>
  <c r="D220" i="1"/>
  <c r="D218" i="1"/>
  <c r="D216" i="1"/>
  <c r="D214" i="1"/>
  <c r="D212" i="1"/>
  <c r="D210" i="1"/>
  <c r="D208" i="1"/>
  <c r="D206" i="1"/>
  <c r="F204" i="1"/>
  <c r="F227" i="1"/>
  <c r="F225" i="1"/>
  <c r="F223" i="1"/>
  <c r="F221" i="1"/>
  <c r="F219" i="1"/>
  <c r="F217" i="1"/>
  <c r="F215" i="1"/>
  <c r="F213" i="1"/>
  <c r="F211" i="1"/>
  <c r="F209" i="1"/>
  <c r="F207" i="1"/>
  <c r="E228" i="1"/>
  <c r="E226" i="1"/>
  <c r="E224" i="1"/>
  <c r="E222" i="1"/>
  <c r="E220" i="1"/>
  <c r="E218" i="1"/>
  <c r="E216" i="1"/>
  <c r="E214" i="1"/>
  <c r="E212" i="1"/>
  <c r="E210" i="1"/>
  <c r="E208" i="1"/>
  <c r="C190" i="1"/>
  <c r="C188" i="1"/>
  <c r="C186" i="1"/>
  <c r="C184" i="1"/>
  <c r="C182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E192" i="1"/>
  <c r="C38" i="1"/>
  <c r="D38" i="1"/>
  <c r="B24" i="1"/>
  <c r="C15" i="1" s="1"/>
  <c r="E23" i="1"/>
  <c r="C96" i="1"/>
  <c r="C92" i="1"/>
  <c r="C88" i="1"/>
  <c r="C84" i="1"/>
  <c r="C80" i="1"/>
  <c r="C76" i="1"/>
  <c r="C72" i="1"/>
  <c r="C68" i="1"/>
  <c r="C64" i="1"/>
  <c r="C60" i="1"/>
  <c r="F645" i="1"/>
  <c r="D642" i="1"/>
  <c r="F642" i="1" s="1"/>
  <c r="C405" i="1"/>
  <c r="D405" i="1" s="1"/>
  <c r="E405" i="1" s="1"/>
  <c r="F405" i="1" s="1"/>
  <c r="B645" i="1"/>
  <c r="E616" i="1" s="1"/>
  <c r="J16" i="5" l="1"/>
  <c r="C512" i="1"/>
  <c r="C544" i="1"/>
  <c r="C501" i="1"/>
  <c r="C533" i="1"/>
  <c r="C558" i="1" s="1"/>
  <c r="C484" i="1"/>
  <c r="C516" i="1"/>
  <c r="C548" i="1"/>
  <c r="C505" i="1"/>
  <c r="C537" i="1"/>
  <c r="J20" i="5"/>
  <c r="E578" i="1"/>
  <c r="C488" i="1"/>
  <c r="C520" i="1"/>
  <c r="C509" i="1"/>
  <c r="C541" i="1"/>
  <c r="J22" i="5"/>
  <c r="C492" i="1"/>
  <c r="C524" i="1"/>
  <c r="C513" i="1"/>
  <c r="C545" i="1"/>
  <c r="J38" i="5"/>
  <c r="J8" i="5"/>
  <c r="J24" i="5"/>
  <c r="C500" i="1"/>
  <c r="C532" i="1"/>
  <c r="C489" i="1"/>
  <c r="C521" i="1"/>
  <c r="C504" i="1"/>
  <c r="C536" i="1"/>
  <c r="C493" i="1"/>
  <c r="C525" i="1"/>
  <c r="J39" i="5"/>
  <c r="J49" i="5"/>
  <c r="J7" i="5"/>
  <c r="J11" i="5"/>
  <c r="J15" i="5"/>
  <c r="J19" i="5"/>
  <c r="J23" i="5"/>
  <c r="J4" i="5"/>
  <c r="J37" i="5"/>
  <c r="J9" i="5"/>
  <c r="J13" i="5"/>
  <c r="J17" i="5"/>
  <c r="J21" i="5"/>
  <c r="J25" i="5"/>
  <c r="F1369" i="1"/>
  <c r="F1365" i="1"/>
  <c r="F1457" i="1"/>
  <c r="F1360" i="1"/>
  <c r="F1396" i="1"/>
  <c r="F1378" i="1"/>
  <c r="F1374" i="1"/>
  <c r="F1370" i="1"/>
  <c r="F1366" i="1"/>
  <c r="F1362" i="1"/>
  <c r="F1379" i="1"/>
  <c r="F1375" i="1"/>
  <c r="F1371" i="1"/>
  <c r="F1367" i="1"/>
  <c r="F1363" i="1"/>
  <c r="F1376" i="1"/>
  <c r="F1372" i="1"/>
  <c r="F568" i="1"/>
  <c r="F578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F776" i="1"/>
  <c r="F1449" i="1"/>
  <c r="F1445" i="1"/>
  <c r="F1441" i="1"/>
  <c r="F1437" i="1"/>
  <c r="F1433" i="1"/>
  <c r="F1429" i="1"/>
  <c r="F1425" i="1"/>
  <c r="F1421" i="1"/>
  <c r="F1417" i="1"/>
  <c r="F1413" i="1"/>
  <c r="F1409" i="1"/>
  <c r="F1405" i="1"/>
  <c r="F1401" i="1"/>
  <c r="F1397" i="1"/>
  <c r="D1125" i="1"/>
  <c r="E1125" i="1" s="1"/>
  <c r="D1123" i="1"/>
  <c r="E1123" i="1" s="1"/>
  <c r="D1126" i="1"/>
  <c r="E1126" i="1" s="1"/>
  <c r="G595" i="1"/>
  <c r="E594" i="1"/>
  <c r="D1128" i="1"/>
  <c r="E1128" i="1" s="1"/>
  <c r="D1124" i="1"/>
  <c r="E1124" i="1" s="1"/>
  <c r="D1127" i="1"/>
  <c r="E1127" i="1" s="1"/>
  <c r="F38" i="1"/>
  <c r="D365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1408" i="1"/>
  <c r="F1404" i="1"/>
  <c r="F1400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458" i="1"/>
  <c r="F1454" i="1"/>
  <c r="F1450" i="1"/>
  <c r="F1446" i="1"/>
  <c r="F1442" i="1"/>
  <c r="F1438" i="1"/>
  <c r="F1434" i="1"/>
  <c r="F1430" i="1"/>
  <c r="F1426" i="1"/>
  <c r="F1422" i="1"/>
  <c r="F1418" i="1"/>
  <c r="F1414" i="1"/>
  <c r="F1410" i="1"/>
  <c r="F1406" i="1"/>
  <c r="F1091" i="1"/>
  <c r="G594" i="1"/>
  <c r="G206" i="1"/>
  <c r="E568" i="1"/>
  <c r="F580" i="1"/>
  <c r="G580" i="1" s="1"/>
  <c r="C16" i="1"/>
  <c r="G961" i="1"/>
  <c r="G965" i="1"/>
  <c r="G969" i="1"/>
  <c r="C559" i="1"/>
  <c r="D810" i="1"/>
  <c r="E810" i="1" s="1"/>
  <c r="D818" i="1"/>
  <c r="E818" i="1" s="1"/>
  <c r="D826" i="1"/>
  <c r="E826" i="1" s="1"/>
  <c r="D868" i="1"/>
  <c r="E868" i="1" s="1"/>
  <c r="D876" i="1"/>
  <c r="E876" i="1" s="1"/>
  <c r="D884" i="1"/>
  <c r="E884" i="1" s="1"/>
  <c r="G884" i="1" s="1"/>
  <c r="D892" i="1"/>
  <c r="E892" i="1" s="1"/>
  <c r="D900" i="1"/>
  <c r="E900" i="1" s="1"/>
  <c r="G900" i="1" s="1"/>
  <c r="D904" i="1"/>
  <c r="E904" i="1" s="1"/>
  <c r="G904" i="1" s="1"/>
  <c r="D908" i="1"/>
  <c r="E908" i="1" s="1"/>
  <c r="D996" i="1"/>
  <c r="E996" i="1" s="1"/>
  <c r="D1000" i="1"/>
  <c r="E1000" i="1" s="1"/>
  <c r="D777" i="1"/>
  <c r="E777" i="1" s="1"/>
  <c r="D781" i="1"/>
  <c r="E781" i="1" s="1"/>
  <c r="D831" i="1"/>
  <c r="E831" i="1" s="1"/>
  <c r="D827" i="1"/>
  <c r="E827" i="1" s="1"/>
  <c r="D823" i="1"/>
  <c r="E823" i="1" s="1"/>
  <c r="F823" i="1" s="1"/>
  <c r="D819" i="1"/>
  <c r="E819" i="1" s="1"/>
  <c r="F819" i="1" s="1"/>
  <c r="D815" i="1"/>
  <c r="E815" i="1" s="1"/>
  <c r="D811" i="1"/>
  <c r="E811" i="1" s="1"/>
  <c r="D807" i="1"/>
  <c r="E807" i="1" s="1"/>
  <c r="D804" i="1"/>
  <c r="E804" i="1" s="1"/>
  <c r="D812" i="1"/>
  <c r="E812" i="1" s="1"/>
  <c r="F812" i="1" s="1"/>
  <c r="D820" i="1"/>
  <c r="E820" i="1" s="1"/>
  <c r="F820" i="1" s="1"/>
  <c r="D828" i="1"/>
  <c r="E828" i="1" s="1"/>
  <c r="F828" i="1" s="1"/>
  <c r="D870" i="1"/>
  <c r="E870" i="1" s="1"/>
  <c r="D878" i="1"/>
  <c r="E878" i="1" s="1"/>
  <c r="D886" i="1"/>
  <c r="E886" i="1" s="1"/>
  <c r="D894" i="1"/>
  <c r="E894" i="1" s="1"/>
  <c r="D901" i="1"/>
  <c r="E901" i="1" s="1"/>
  <c r="D905" i="1"/>
  <c r="E905" i="1" s="1"/>
  <c r="D909" i="1"/>
  <c r="E909" i="1" s="1"/>
  <c r="G909" i="1" s="1"/>
  <c r="D999" i="1"/>
  <c r="E999" i="1" s="1"/>
  <c r="D773" i="1"/>
  <c r="E773" i="1" s="1"/>
  <c r="D778" i="1"/>
  <c r="E778" i="1" s="1"/>
  <c r="D899" i="1"/>
  <c r="E899" i="1" s="1"/>
  <c r="D895" i="1"/>
  <c r="E895" i="1" s="1"/>
  <c r="D891" i="1"/>
  <c r="E891" i="1" s="1"/>
  <c r="G891" i="1" s="1"/>
  <c r="D887" i="1"/>
  <c r="E887" i="1" s="1"/>
  <c r="G887" i="1" s="1"/>
  <c r="D883" i="1"/>
  <c r="E883" i="1" s="1"/>
  <c r="D879" i="1"/>
  <c r="E879" i="1" s="1"/>
  <c r="D875" i="1"/>
  <c r="E875" i="1" s="1"/>
  <c r="D871" i="1"/>
  <c r="E871" i="1" s="1"/>
  <c r="D867" i="1"/>
  <c r="E867" i="1" s="1"/>
  <c r="D863" i="1"/>
  <c r="E863" i="1" s="1"/>
  <c r="F40" i="1"/>
  <c r="G130" i="1"/>
  <c r="F254" i="1"/>
  <c r="G959" i="1"/>
  <c r="G963" i="1"/>
  <c r="G967" i="1"/>
  <c r="G958" i="1"/>
  <c r="G962" i="1"/>
  <c r="G966" i="1"/>
  <c r="G957" i="1"/>
  <c r="C727" i="1"/>
  <c r="C729" i="1"/>
  <c r="F473" i="1"/>
  <c r="D366" i="1"/>
  <c r="E365" i="1"/>
  <c r="F774" i="1"/>
  <c r="D549" i="1"/>
  <c r="G549" i="1" s="1"/>
  <c r="C371" i="1"/>
  <c r="F371" i="1" s="1"/>
  <c r="G555" i="1"/>
  <c r="C467" i="1"/>
  <c r="D806" i="1"/>
  <c r="E806" i="1" s="1"/>
  <c r="D814" i="1"/>
  <c r="E814" i="1" s="1"/>
  <c r="D822" i="1"/>
  <c r="E822" i="1" s="1"/>
  <c r="D830" i="1"/>
  <c r="E830" i="1" s="1"/>
  <c r="D864" i="1"/>
  <c r="E864" i="1" s="1"/>
  <c r="D872" i="1"/>
  <c r="E872" i="1" s="1"/>
  <c r="D880" i="1"/>
  <c r="E880" i="1" s="1"/>
  <c r="D888" i="1"/>
  <c r="E888" i="1" s="1"/>
  <c r="D896" i="1"/>
  <c r="E896" i="1" s="1"/>
  <c r="D902" i="1"/>
  <c r="E902" i="1" s="1"/>
  <c r="D906" i="1"/>
  <c r="E906" i="1" s="1"/>
  <c r="D998" i="1"/>
  <c r="E998" i="1" s="1"/>
  <c r="D1002" i="1"/>
  <c r="E1002" i="1" s="1"/>
  <c r="D995" i="1"/>
  <c r="E995" i="1" s="1"/>
  <c r="D779" i="1"/>
  <c r="E779" i="1" s="1"/>
  <c r="D772" i="1"/>
  <c r="E772" i="1" s="1"/>
  <c r="D803" i="1"/>
  <c r="E803" i="1" s="1"/>
  <c r="F803" i="1" s="1"/>
  <c r="D829" i="1"/>
  <c r="E829" i="1" s="1"/>
  <c r="D825" i="1"/>
  <c r="E825" i="1" s="1"/>
  <c r="D821" i="1"/>
  <c r="E821" i="1" s="1"/>
  <c r="D817" i="1"/>
  <c r="E817" i="1" s="1"/>
  <c r="D813" i="1"/>
  <c r="E813" i="1" s="1"/>
  <c r="D809" i="1"/>
  <c r="E809" i="1" s="1"/>
  <c r="D805" i="1"/>
  <c r="E805" i="1" s="1"/>
  <c r="D808" i="1"/>
  <c r="E808" i="1" s="1"/>
  <c r="D816" i="1"/>
  <c r="E816" i="1" s="1"/>
  <c r="D824" i="1"/>
  <c r="E824" i="1" s="1"/>
  <c r="D866" i="1"/>
  <c r="E866" i="1" s="1"/>
  <c r="D874" i="1"/>
  <c r="E874" i="1" s="1"/>
  <c r="D882" i="1"/>
  <c r="E882" i="1" s="1"/>
  <c r="D890" i="1"/>
  <c r="E890" i="1" s="1"/>
  <c r="D898" i="1"/>
  <c r="E898" i="1" s="1"/>
  <c r="D903" i="1"/>
  <c r="E903" i="1" s="1"/>
  <c r="D907" i="1"/>
  <c r="E907" i="1" s="1"/>
  <c r="D862" i="1"/>
  <c r="E862" i="1" s="1"/>
  <c r="D997" i="1"/>
  <c r="E997" i="1" s="1"/>
  <c r="D1001" i="1"/>
  <c r="E1001" i="1" s="1"/>
  <c r="D775" i="1"/>
  <c r="E775" i="1" s="1"/>
  <c r="D780" i="1"/>
  <c r="E780" i="1" s="1"/>
  <c r="D728" i="1"/>
  <c r="E728" i="1" s="1"/>
  <c r="D897" i="1"/>
  <c r="E897" i="1" s="1"/>
  <c r="D893" i="1"/>
  <c r="E893" i="1" s="1"/>
  <c r="D889" i="1"/>
  <c r="E889" i="1" s="1"/>
  <c r="D885" i="1"/>
  <c r="E885" i="1" s="1"/>
  <c r="D881" i="1"/>
  <c r="E881" i="1" s="1"/>
  <c r="D877" i="1"/>
  <c r="E877" i="1" s="1"/>
  <c r="D873" i="1"/>
  <c r="E873" i="1" s="1"/>
  <c r="D869" i="1"/>
  <c r="E869" i="1" s="1"/>
  <c r="D865" i="1"/>
  <c r="E865" i="1" s="1"/>
  <c r="G865" i="1" s="1"/>
  <c r="D367" i="1"/>
  <c r="C368" i="1"/>
  <c r="E367" i="1"/>
  <c r="C367" i="1"/>
  <c r="E558" i="1"/>
  <c r="G960" i="1"/>
  <c r="G964" i="1"/>
  <c r="G968" i="1"/>
  <c r="C726" i="1"/>
  <c r="D368" i="1"/>
  <c r="D378" i="1" s="1"/>
  <c r="C365" i="1"/>
  <c r="F365" i="1" s="1"/>
  <c r="E366" i="1"/>
  <c r="E368" i="1"/>
  <c r="E378" i="1" s="1"/>
  <c r="G578" i="1"/>
  <c r="D60" i="1"/>
  <c r="E60" i="1" s="1"/>
  <c r="D68" i="1"/>
  <c r="E68" i="1" s="1"/>
  <c r="F68" i="1" s="1"/>
  <c r="D76" i="1"/>
  <c r="E76" i="1" s="1"/>
  <c r="D84" i="1"/>
  <c r="E84" i="1" s="1"/>
  <c r="D92" i="1"/>
  <c r="E92" i="1" s="1"/>
  <c r="D16" i="1"/>
  <c r="E16" i="1" s="1"/>
  <c r="D132" i="1"/>
  <c r="E132" i="1" s="1"/>
  <c r="D140" i="1"/>
  <c r="E140" i="1" s="1"/>
  <c r="G140" i="1" s="1"/>
  <c r="D148" i="1"/>
  <c r="E148" i="1" s="1"/>
  <c r="D156" i="1"/>
  <c r="E156" i="1" s="1"/>
  <c r="D164" i="1"/>
  <c r="E164" i="1" s="1"/>
  <c r="D172" i="1"/>
  <c r="E172" i="1" s="1"/>
  <c r="D180" i="1"/>
  <c r="E180" i="1" s="1"/>
  <c r="D184" i="1"/>
  <c r="E184" i="1" s="1"/>
  <c r="D188" i="1"/>
  <c r="E188" i="1" s="1"/>
  <c r="D258" i="1"/>
  <c r="E258" i="1" s="1"/>
  <c r="D262" i="1"/>
  <c r="E262" i="1" s="1"/>
  <c r="D266" i="1"/>
  <c r="E266" i="1" s="1"/>
  <c r="D270" i="1"/>
  <c r="E270" i="1" s="1"/>
  <c r="D62" i="1"/>
  <c r="E62" i="1" s="1"/>
  <c r="D70" i="1"/>
  <c r="E70" i="1" s="1"/>
  <c r="D78" i="1"/>
  <c r="E78" i="1" s="1"/>
  <c r="D86" i="1"/>
  <c r="E86" i="1" s="1"/>
  <c r="D94" i="1"/>
  <c r="E94" i="1" s="1"/>
  <c r="D15" i="1"/>
  <c r="E15" i="1" s="1"/>
  <c r="D138" i="1"/>
  <c r="E138" i="1" s="1"/>
  <c r="D146" i="1"/>
  <c r="E146" i="1" s="1"/>
  <c r="D154" i="1"/>
  <c r="E154" i="1" s="1"/>
  <c r="D162" i="1"/>
  <c r="E162" i="1" s="1"/>
  <c r="D170" i="1"/>
  <c r="E170" i="1" s="1"/>
  <c r="D178" i="1"/>
  <c r="E178" i="1" s="1"/>
  <c r="D183" i="1"/>
  <c r="E183" i="1" s="1"/>
  <c r="D187" i="1"/>
  <c r="E187" i="1" s="1"/>
  <c r="D191" i="1"/>
  <c r="E191" i="1" s="1"/>
  <c r="D253" i="1"/>
  <c r="E253" i="1" s="1"/>
  <c r="D257" i="1"/>
  <c r="E257" i="1" s="1"/>
  <c r="D261" i="1"/>
  <c r="E261" i="1" s="1"/>
  <c r="D265" i="1"/>
  <c r="E265" i="1" s="1"/>
  <c r="D269" i="1"/>
  <c r="E269" i="1" s="1"/>
  <c r="D179" i="1"/>
  <c r="E179" i="1" s="1"/>
  <c r="D175" i="1"/>
  <c r="E175" i="1" s="1"/>
  <c r="D171" i="1"/>
  <c r="E171" i="1" s="1"/>
  <c r="D167" i="1"/>
  <c r="E167" i="1" s="1"/>
  <c r="D163" i="1"/>
  <c r="E163" i="1" s="1"/>
  <c r="D159" i="1"/>
  <c r="E159" i="1" s="1"/>
  <c r="D155" i="1"/>
  <c r="E155" i="1" s="1"/>
  <c r="D151" i="1"/>
  <c r="E151" i="1" s="1"/>
  <c r="D147" i="1"/>
  <c r="E147" i="1" s="1"/>
  <c r="D143" i="1"/>
  <c r="E143" i="1" s="1"/>
  <c r="D139" i="1"/>
  <c r="E139" i="1" s="1"/>
  <c r="D135" i="1"/>
  <c r="E135" i="1" s="1"/>
  <c r="D131" i="1"/>
  <c r="E131" i="1" s="1"/>
  <c r="D99" i="1"/>
  <c r="E99" i="1" s="1"/>
  <c r="D95" i="1"/>
  <c r="E95" i="1" s="1"/>
  <c r="D91" i="1"/>
  <c r="E91" i="1" s="1"/>
  <c r="D87" i="1"/>
  <c r="E87" i="1" s="1"/>
  <c r="D83" i="1"/>
  <c r="E83" i="1" s="1"/>
  <c r="D79" i="1"/>
  <c r="E79" i="1" s="1"/>
  <c r="D75" i="1"/>
  <c r="E75" i="1" s="1"/>
  <c r="D71" i="1"/>
  <c r="E71" i="1" s="1"/>
  <c r="D67" i="1"/>
  <c r="E67" i="1" s="1"/>
  <c r="D63" i="1"/>
  <c r="E63" i="1" s="1"/>
  <c r="D59" i="1"/>
  <c r="E59" i="1" s="1"/>
  <c r="E618" i="1"/>
  <c r="E620" i="1"/>
  <c r="E622" i="1"/>
  <c r="C618" i="1"/>
  <c r="C620" i="1"/>
  <c r="C622" i="1"/>
  <c r="E617" i="1"/>
  <c r="E621" i="1"/>
  <c r="E625" i="1"/>
  <c r="C617" i="1"/>
  <c r="C621" i="1"/>
  <c r="C625" i="1"/>
  <c r="E619" i="1"/>
  <c r="E623" i="1"/>
  <c r="C619" i="1"/>
  <c r="C623" i="1"/>
  <c r="D64" i="1"/>
  <c r="E64" i="1" s="1"/>
  <c r="D72" i="1"/>
  <c r="E72" i="1" s="1"/>
  <c r="D80" i="1"/>
  <c r="E80" i="1" s="1"/>
  <c r="D88" i="1"/>
  <c r="E88" i="1" s="1"/>
  <c r="D96" i="1"/>
  <c r="E96" i="1" s="1"/>
  <c r="C18" i="1"/>
  <c r="C19" i="1"/>
  <c r="C17" i="1"/>
  <c r="D136" i="1"/>
  <c r="E136" i="1" s="1"/>
  <c r="D144" i="1"/>
  <c r="E144" i="1" s="1"/>
  <c r="D152" i="1"/>
  <c r="E152" i="1" s="1"/>
  <c r="D160" i="1"/>
  <c r="E160" i="1" s="1"/>
  <c r="D168" i="1"/>
  <c r="E168" i="1" s="1"/>
  <c r="D176" i="1"/>
  <c r="E176" i="1" s="1"/>
  <c r="D182" i="1"/>
  <c r="E182" i="1" s="1"/>
  <c r="D186" i="1"/>
  <c r="E186" i="1" s="1"/>
  <c r="D190" i="1"/>
  <c r="E190" i="1" s="1"/>
  <c r="D256" i="1"/>
  <c r="E256" i="1" s="1"/>
  <c r="D260" i="1"/>
  <c r="E260" i="1" s="1"/>
  <c r="D264" i="1"/>
  <c r="E264" i="1" s="1"/>
  <c r="D268" i="1"/>
  <c r="E268" i="1" s="1"/>
  <c r="D58" i="1"/>
  <c r="E58" i="1" s="1"/>
  <c r="D66" i="1"/>
  <c r="E66" i="1" s="1"/>
  <c r="D74" i="1"/>
  <c r="E74" i="1" s="1"/>
  <c r="D82" i="1"/>
  <c r="E82" i="1" s="1"/>
  <c r="D90" i="1"/>
  <c r="E90" i="1" s="1"/>
  <c r="D98" i="1"/>
  <c r="E98" i="1" s="1"/>
  <c r="D134" i="1"/>
  <c r="E134" i="1" s="1"/>
  <c r="D142" i="1"/>
  <c r="E142" i="1" s="1"/>
  <c r="D150" i="1"/>
  <c r="E150" i="1" s="1"/>
  <c r="D158" i="1"/>
  <c r="E158" i="1" s="1"/>
  <c r="D166" i="1"/>
  <c r="E166" i="1" s="1"/>
  <c r="D174" i="1"/>
  <c r="E174" i="1" s="1"/>
  <c r="D181" i="1"/>
  <c r="E181" i="1" s="1"/>
  <c r="D185" i="1"/>
  <c r="E185" i="1" s="1"/>
  <c r="D189" i="1"/>
  <c r="E189" i="1" s="1"/>
  <c r="D129" i="1"/>
  <c r="E129" i="1" s="1"/>
  <c r="D255" i="1"/>
  <c r="E255" i="1" s="1"/>
  <c r="D259" i="1"/>
  <c r="E259" i="1" s="1"/>
  <c r="D263" i="1"/>
  <c r="E263" i="1" s="1"/>
  <c r="D267" i="1"/>
  <c r="E267" i="1" s="1"/>
  <c r="D252" i="1"/>
  <c r="E252" i="1" s="1"/>
  <c r="D177" i="1"/>
  <c r="E177" i="1" s="1"/>
  <c r="D173" i="1"/>
  <c r="E173" i="1" s="1"/>
  <c r="D169" i="1"/>
  <c r="E169" i="1" s="1"/>
  <c r="D165" i="1"/>
  <c r="E165" i="1" s="1"/>
  <c r="D161" i="1"/>
  <c r="E161" i="1" s="1"/>
  <c r="D157" i="1"/>
  <c r="E157" i="1" s="1"/>
  <c r="D153" i="1"/>
  <c r="E153" i="1" s="1"/>
  <c r="D149" i="1"/>
  <c r="E149" i="1" s="1"/>
  <c r="D145" i="1"/>
  <c r="E145" i="1" s="1"/>
  <c r="D141" i="1"/>
  <c r="E141" i="1" s="1"/>
  <c r="D137" i="1"/>
  <c r="E137" i="1" s="1"/>
  <c r="D133" i="1"/>
  <c r="E133" i="1" s="1"/>
  <c r="D56" i="1"/>
  <c r="E56" i="1" s="1"/>
  <c r="D97" i="1"/>
  <c r="E97" i="1" s="1"/>
  <c r="D93" i="1"/>
  <c r="E93" i="1" s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G208" i="1"/>
  <c r="G212" i="1"/>
  <c r="G216" i="1"/>
  <c r="G220" i="1"/>
  <c r="G224" i="1"/>
  <c r="G228" i="1"/>
  <c r="G207" i="1"/>
  <c r="G211" i="1"/>
  <c r="G215" i="1"/>
  <c r="G219" i="1"/>
  <c r="G223" i="1"/>
  <c r="G227" i="1"/>
  <c r="C616" i="1"/>
  <c r="D640" i="1"/>
  <c r="D620" i="1" s="1"/>
  <c r="G210" i="1"/>
  <c r="G214" i="1"/>
  <c r="G218" i="1"/>
  <c r="G222" i="1"/>
  <c r="G226" i="1"/>
  <c r="G205" i="1"/>
  <c r="G209" i="1"/>
  <c r="G213" i="1"/>
  <c r="G217" i="1"/>
  <c r="G221" i="1"/>
  <c r="G225" i="1"/>
  <c r="G204" i="1"/>
  <c r="C624" i="1"/>
  <c r="E624" i="1"/>
  <c r="G568" i="1" l="1"/>
  <c r="F1124" i="1"/>
  <c r="F1128" i="1"/>
  <c r="F1126" i="1"/>
  <c r="F1123" i="1"/>
  <c r="G905" i="1"/>
  <c r="G901" i="1"/>
  <c r="F1127" i="1"/>
  <c r="F1125" i="1"/>
  <c r="F60" i="1"/>
  <c r="F367" i="1"/>
  <c r="G869" i="1"/>
  <c r="G873" i="1"/>
  <c r="G877" i="1"/>
  <c r="G881" i="1"/>
  <c r="G885" i="1"/>
  <c r="G889" i="1"/>
  <c r="G893" i="1"/>
  <c r="G897" i="1"/>
  <c r="F830" i="1"/>
  <c r="F822" i="1"/>
  <c r="F814" i="1"/>
  <c r="F806" i="1"/>
  <c r="C366" i="1"/>
  <c r="F366" i="1" s="1"/>
  <c r="G876" i="1"/>
  <c r="G868" i="1"/>
  <c r="F824" i="1"/>
  <c r="F816" i="1"/>
  <c r="F808" i="1"/>
  <c r="F772" i="1"/>
  <c r="F777" i="1"/>
  <c r="F252" i="1"/>
  <c r="G129" i="1"/>
  <c r="G178" i="1"/>
  <c r="G170" i="1"/>
  <c r="G162" i="1"/>
  <c r="G154" i="1"/>
  <c r="G146" i="1"/>
  <c r="G138" i="1"/>
  <c r="G132" i="1"/>
  <c r="F780" i="1"/>
  <c r="F775" i="1"/>
  <c r="G862" i="1"/>
  <c r="G907" i="1"/>
  <c r="G903" i="1"/>
  <c r="F995" i="1"/>
  <c r="F1002" i="1"/>
  <c r="F998" i="1"/>
  <c r="G895" i="1"/>
  <c r="G899" i="1"/>
  <c r="F778" i="1"/>
  <c r="F773" i="1"/>
  <c r="F804" i="1"/>
  <c r="F827" i="1"/>
  <c r="F831" i="1"/>
  <c r="G892" i="1"/>
  <c r="F368" i="1"/>
  <c r="C378" i="1"/>
  <c r="D464" i="1"/>
  <c r="E464" i="1" s="1"/>
  <c r="D466" i="1"/>
  <c r="E466" i="1" s="1"/>
  <c r="C462" i="1"/>
  <c r="C414" i="1"/>
  <c r="F467" i="1"/>
  <c r="D463" i="1"/>
  <c r="E463" i="1" s="1"/>
  <c r="D465" i="1"/>
  <c r="E465" i="1" s="1"/>
  <c r="C416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60" i="1"/>
  <c r="C456" i="1"/>
  <c r="C452" i="1"/>
  <c r="C448" i="1"/>
  <c r="C444" i="1"/>
  <c r="C440" i="1"/>
  <c r="C436" i="1"/>
  <c r="C432" i="1"/>
  <c r="C428" i="1"/>
  <c r="C424" i="1"/>
  <c r="C420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58" i="1"/>
  <c r="C454" i="1"/>
  <c r="C450" i="1"/>
  <c r="C446" i="1"/>
  <c r="C442" i="1"/>
  <c r="C438" i="1"/>
  <c r="C434" i="1"/>
  <c r="C430" i="1"/>
  <c r="C426" i="1"/>
  <c r="C422" i="1"/>
  <c r="C418" i="1"/>
  <c r="D729" i="1"/>
  <c r="E729" i="1" s="1"/>
  <c r="D727" i="1"/>
  <c r="E727" i="1" s="1"/>
  <c r="D619" i="1"/>
  <c r="F57" i="1"/>
  <c r="F61" i="1"/>
  <c r="F65" i="1"/>
  <c r="F69" i="1"/>
  <c r="F73" i="1"/>
  <c r="F77" i="1"/>
  <c r="F81" i="1"/>
  <c r="F85" i="1"/>
  <c r="F89" i="1"/>
  <c r="F93" i="1"/>
  <c r="F97" i="1"/>
  <c r="G174" i="1"/>
  <c r="G166" i="1"/>
  <c r="G158" i="1"/>
  <c r="G150" i="1"/>
  <c r="G142" i="1"/>
  <c r="G134" i="1"/>
  <c r="F98" i="1"/>
  <c r="F90" i="1"/>
  <c r="F82" i="1"/>
  <c r="F74" i="1"/>
  <c r="F66" i="1"/>
  <c r="F58" i="1"/>
  <c r="F268" i="1"/>
  <c r="F264" i="1"/>
  <c r="F260" i="1"/>
  <c r="F256" i="1"/>
  <c r="G190" i="1"/>
  <c r="G186" i="1"/>
  <c r="G182" i="1"/>
  <c r="G176" i="1"/>
  <c r="G168" i="1"/>
  <c r="G160" i="1"/>
  <c r="G152" i="1"/>
  <c r="G144" i="1"/>
  <c r="G136" i="1"/>
  <c r="F59" i="1"/>
  <c r="F63" i="1"/>
  <c r="F67" i="1"/>
  <c r="F71" i="1"/>
  <c r="F75" i="1"/>
  <c r="F94" i="1"/>
  <c r="F86" i="1"/>
  <c r="F78" i="1"/>
  <c r="F70" i="1"/>
  <c r="F62" i="1"/>
  <c r="F270" i="1"/>
  <c r="F266" i="1"/>
  <c r="F262" i="1"/>
  <c r="F258" i="1"/>
  <c r="G188" i="1"/>
  <c r="G184" i="1"/>
  <c r="G180" i="1"/>
  <c r="G172" i="1"/>
  <c r="G164" i="1"/>
  <c r="G156" i="1"/>
  <c r="G148" i="1"/>
  <c r="F728" i="1"/>
  <c r="F1001" i="1"/>
  <c r="F997" i="1"/>
  <c r="G898" i="1"/>
  <c r="G890" i="1"/>
  <c r="G882" i="1"/>
  <c r="G874" i="1"/>
  <c r="G866" i="1"/>
  <c r="F805" i="1"/>
  <c r="F809" i="1"/>
  <c r="F813" i="1"/>
  <c r="F817" i="1"/>
  <c r="F821" i="1"/>
  <c r="F825" i="1"/>
  <c r="F829" i="1"/>
  <c r="F779" i="1"/>
  <c r="G906" i="1"/>
  <c r="G902" i="1"/>
  <c r="G896" i="1"/>
  <c r="G888" i="1"/>
  <c r="G880" i="1"/>
  <c r="G872" i="1"/>
  <c r="G864" i="1"/>
  <c r="G863" i="1"/>
  <c r="G867" i="1"/>
  <c r="G871" i="1"/>
  <c r="G875" i="1"/>
  <c r="G879" i="1"/>
  <c r="G883" i="1"/>
  <c r="F781" i="1"/>
  <c r="F1000" i="1"/>
  <c r="F996" i="1"/>
  <c r="F826" i="1"/>
  <c r="F818" i="1"/>
  <c r="F810" i="1"/>
  <c r="D726" i="1"/>
  <c r="E726" i="1" s="1"/>
  <c r="D546" i="1"/>
  <c r="G546" i="1" s="1"/>
  <c r="D542" i="1"/>
  <c r="G542" i="1" s="1"/>
  <c r="D538" i="1"/>
  <c r="G538" i="1" s="1"/>
  <c r="D534" i="1"/>
  <c r="G534" i="1" s="1"/>
  <c r="D530" i="1"/>
  <c r="G530" i="1" s="1"/>
  <c r="D526" i="1"/>
  <c r="G526" i="1" s="1"/>
  <c r="D522" i="1"/>
  <c r="G522" i="1" s="1"/>
  <c r="D518" i="1"/>
  <c r="G518" i="1" s="1"/>
  <c r="D514" i="1"/>
  <c r="G514" i="1" s="1"/>
  <c r="D510" i="1"/>
  <c r="G510" i="1" s="1"/>
  <c r="D506" i="1"/>
  <c r="G506" i="1" s="1"/>
  <c r="D502" i="1"/>
  <c r="G502" i="1" s="1"/>
  <c r="D498" i="1"/>
  <c r="G498" i="1" s="1"/>
  <c r="D494" i="1"/>
  <c r="G494" i="1" s="1"/>
  <c r="D490" i="1"/>
  <c r="G490" i="1" s="1"/>
  <c r="D486" i="1"/>
  <c r="G486" i="1" s="1"/>
  <c r="D547" i="1"/>
  <c r="G547" i="1" s="1"/>
  <c r="D543" i="1"/>
  <c r="G543" i="1" s="1"/>
  <c r="D539" i="1"/>
  <c r="G539" i="1" s="1"/>
  <c r="D535" i="1"/>
  <c r="G535" i="1" s="1"/>
  <c r="D531" i="1"/>
  <c r="G531" i="1" s="1"/>
  <c r="D527" i="1"/>
  <c r="G527" i="1" s="1"/>
  <c r="D523" i="1"/>
  <c r="G523" i="1" s="1"/>
  <c r="D519" i="1"/>
  <c r="G519" i="1" s="1"/>
  <c r="D515" i="1"/>
  <c r="G515" i="1" s="1"/>
  <c r="D511" i="1"/>
  <c r="G511" i="1" s="1"/>
  <c r="D507" i="1"/>
  <c r="G507" i="1" s="1"/>
  <c r="D503" i="1"/>
  <c r="G503" i="1" s="1"/>
  <c r="D499" i="1"/>
  <c r="G499" i="1" s="1"/>
  <c r="D495" i="1"/>
  <c r="G495" i="1" s="1"/>
  <c r="D491" i="1"/>
  <c r="G491" i="1" s="1"/>
  <c r="D487" i="1"/>
  <c r="G487" i="1" s="1"/>
  <c r="D483" i="1"/>
  <c r="G483" i="1" s="1"/>
  <c r="D548" i="1"/>
  <c r="G548" i="1" s="1"/>
  <c r="D544" i="1"/>
  <c r="G544" i="1" s="1"/>
  <c r="D540" i="1"/>
  <c r="G540" i="1" s="1"/>
  <c r="D536" i="1"/>
  <c r="G536" i="1" s="1"/>
  <c r="D532" i="1"/>
  <c r="G532" i="1" s="1"/>
  <c r="D528" i="1"/>
  <c r="G528" i="1" s="1"/>
  <c r="D524" i="1"/>
  <c r="G524" i="1" s="1"/>
  <c r="D520" i="1"/>
  <c r="G520" i="1" s="1"/>
  <c r="D516" i="1"/>
  <c r="G516" i="1" s="1"/>
  <c r="D512" i="1"/>
  <c r="G512" i="1" s="1"/>
  <c r="D508" i="1"/>
  <c r="G508" i="1" s="1"/>
  <c r="D504" i="1"/>
  <c r="G504" i="1" s="1"/>
  <c r="D500" i="1"/>
  <c r="G500" i="1" s="1"/>
  <c r="D496" i="1"/>
  <c r="G496" i="1" s="1"/>
  <c r="D492" i="1"/>
  <c r="G492" i="1" s="1"/>
  <c r="D488" i="1"/>
  <c r="G488" i="1" s="1"/>
  <c r="D484" i="1"/>
  <c r="G484" i="1" s="1"/>
  <c r="D482" i="1"/>
  <c r="G482" i="1" s="1"/>
  <c r="D545" i="1"/>
  <c r="G545" i="1" s="1"/>
  <c r="D541" i="1"/>
  <c r="G541" i="1" s="1"/>
  <c r="D537" i="1"/>
  <c r="G537" i="1" s="1"/>
  <c r="D533" i="1"/>
  <c r="D529" i="1"/>
  <c r="G529" i="1" s="1"/>
  <c r="D525" i="1"/>
  <c r="G525" i="1" s="1"/>
  <c r="D521" i="1"/>
  <c r="G521" i="1" s="1"/>
  <c r="D517" i="1"/>
  <c r="G517" i="1" s="1"/>
  <c r="D513" i="1"/>
  <c r="G513" i="1" s="1"/>
  <c r="D509" i="1"/>
  <c r="G509" i="1" s="1"/>
  <c r="D505" i="1"/>
  <c r="G505" i="1" s="1"/>
  <c r="D501" i="1"/>
  <c r="G501" i="1" s="1"/>
  <c r="D497" i="1"/>
  <c r="D493" i="1"/>
  <c r="G493" i="1" s="1"/>
  <c r="D489" i="1"/>
  <c r="G489" i="1" s="1"/>
  <c r="D485" i="1"/>
  <c r="G485" i="1" s="1"/>
  <c r="F92" i="1"/>
  <c r="F84" i="1"/>
  <c r="F76" i="1"/>
  <c r="F999" i="1"/>
  <c r="G894" i="1"/>
  <c r="G886" i="1"/>
  <c r="G878" i="1"/>
  <c r="G870" i="1"/>
  <c r="F807" i="1"/>
  <c r="F811" i="1"/>
  <c r="F815" i="1"/>
  <c r="G908" i="1"/>
  <c r="D19" i="1"/>
  <c r="E19" i="1" s="1"/>
  <c r="D625" i="1"/>
  <c r="F625" i="1" s="1"/>
  <c r="D617" i="1"/>
  <c r="D623" i="1"/>
  <c r="F623" i="1" s="1"/>
  <c r="F640" i="1"/>
  <c r="D624" i="1"/>
  <c r="F624" i="1" s="1"/>
  <c r="D616" i="1"/>
  <c r="F616" i="1" s="1"/>
  <c r="D17" i="1"/>
  <c r="E17" i="1" s="1"/>
  <c r="D18" i="1"/>
  <c r="E18" i="1" s="1"/>
  <c r="F56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F267" i="1"/>
  <c r="F263" i="1"/>
  <c r="F259" i="1"/>
  <c r="F255" i="1"/>
  <c r="G189" i="1"/>
  <c r="G185" i="1"/>
  <c r="G181" i="1"/>
  <c r="F96" i="1"/>
  <c r="F88" i="1"/>
  <c r="F80" i="1"/>
  <c r="F72" i="1"/>
  <c r="F64" i="1"/>
  <c r="F619" i="1"/>
  <c r="D621" i="1"/>
  <c r="F621" i="1" s="1"/>
  <c r="F620" i="1"/>
  <c r="D622" i="1"/>
  <c r="F622" i="1" s="1"/>
  <c r="D618" i="1"/>
  <c r="F79" i="1"/>
  <c r="F83" i="1"/>
  <c r="F87" i="1"/>
  <c r="F91" i="1"/>
  <c r="F95" i="1"/>
  <c r="F99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F269" i="1"/>
  <c r="F265" i="1"/>
  <c r="F261" i="1"/>
  <c r="F257" i="1"/>
  <c r="F253" i="1"/>
  <c r="G191" i="1"/>
  <c r="G187" i="1"/>
  <c r="G183" i="1"/>
  <c r="F15" i="1"/>
  <c r="F16" i="1"/>
  <c r="D558" i="1" l="1"/>
  <c r="G533" i="1"/>
  <c r="D422" i="1"/>
  <c r="E422" i="1" s="1"/>
  <c r="D430" i="1"/>
  <c r="E430" i="1" s="1"/>
  <c r="D438" i="1"/>
  <c r="E438" i="1" s="1"/>
  <c r="D446" i="1"/>
  <c r="E446" i="1" s="1"/>
  <c r="D454" i="1"/>
  <c r="E454" i="1" s="1"/>
  <c r="D415" i="1"/>
  <c r="E415" i="1" s="1"/>
  <c r="D423" i="1"/>
  <c r="E423" i="1" s="1"/>
  <c r="D431" i="1"/>
  <c r="E431" i="1" s="1"/>
  <c r="D439" i="1"/>
  <c r="E439" i="1" s="1"/>
  <c r="D447" i="1"/>
  <c r="E447" i="1" s="1"/>
  <c r="D455" i="1"/>
  <c r="E455" i="1" s="1"/>
  <c r="D420" i="1"/>
  <c r="E420" i="1" s="1"/>
  <c r="D428" i="1"/>
  <c r="E428" i="1" s="1"/>
  <c r="D436" i="1"/>
  <c r="E436" i="1" s="1"/>
  <c r="D444" i="1"/>
  <c r="E444" i="1" s="1"/>
  <c r="D452" i="1"/>
  <c r="E452" i="1" s="1"/>
  <c r="D460" i="1"/>
  <c r="E460" i="1" s="1"/>
  <c r="D421" i="1"/>
  <c r="E421" i="1" s="1"/>
  <c r="D429" i="1"/>
  <c r="E429" i="1" s="1"/>
  <c r="D437" i="1"/>
  <c r="E437" i="1" s="1"/>
  <c r="D445" i="1"/>
  <c r="E445" i="1" s="1"/>
  <c r="D453" i="1"/>
  <c r="E453" i="1" s="1"/>
  <c r="D461" i="1"/>
  <c r="E461" i="1" s="1"/>
  <c r="D462" i="1"/>
  <c r="E462" i="1" s="1"/>
  <c r="F726" i="1"/>
  <c r="F727" i="1"/>
  <c r="F729" i="1"/>
  <c r="D559" i="1"/>
  <c r="G497" i="1"/>
  <c r="D418" i="1"/>
  <c r="E418" i="1" s="1"/>
  <c r="D426" i="1"/>
  <c r="E426" i="1" s="1"/>
  <c r="D434" i="1"/>
  <c r="E434" i="1" s="1"/>
  <c r="D442" i="1"/>
  <c r="E442" i="1" s="1"/>
  <c r="D450" i="1"/>
  <c r="E450" i="1" s="1"/>
  <c r="D458" i="1"/>
  <c r="E458" i="1" s="1"/>
  <c r="D419" i="1"/>
  <c r="E419" i="1" s="1"/>
  <c r="D427" i="1"/>
  <c r="E427" i="1" s="1"/>
  <c r="D435" i="1"/>
  <c r="E435" i="1" s="1"/>
  <c r="D443" i="1"/>
  <c r="E443" i="1" s="1"/>
  <c r="D451" i="1"/>
  <c r="E451" i="1" s="1"/>
  <c r="D459" i="1"/>
  <c r="E459" i="1" s="1"/>
  <c r="D424" i="1"/>
  <c r="E424" i="1" s="1"/>
  <c r="D432" i="1"/>
  <c r="E432" i="1" s="1"/>
  <c r="D440" i="1"/>
  <c r="E440" i="1" s="1"/>
  <c r="D448" i="1"/>
  <c r="E448" i="1" s="1"/>
  <c r="D456" i="1"/>
  <c r="E456" i="1" s="1"/>
  <c r="F456" i="1" s="1"/>
  <c r="D417" i="1"/>
  <c r="E417" i="1" s="1"/>
  <c r="F417" i="1" s="1"/>
  <c r="D425" i="1"/>
  <c r="E425" i="1" s="1"/>
  <c r="D433" i="1"/>
  <c r="E433" i="1" s="1"/>
  <c r="F433" i="1" s="1"/>
  <c r="D441" i="1"/>
  <c r="E441" i="1" s="1"/>
  <c r="D449" i="1"/>
  <c r="E449" i="1" s="1"/>
  <c r="D457" i="1"/>
  <c r="E457" i="1" s="1"/>
  <c r="D416" i="1"/>
  <c r="E416" i="1" s="1"/>
  <c r="D414" i="1"/>
  <c r="E414" i="1" s="1"/>
  <c r="F18" i="1"/>
  <c r="F17" i="1"/>
  <c r="F19" i="1"/>
  <c r="F425" i="1" l="1"/>
  <c r="F448" i="1"/>
  <c r="F440" i="1"/>
  <c r="F432" i="1"/>
  <c r="F457" i="1"/>
  <c r="F449" i="1"/>
  <c r="F441" i="1"/>
  <c r="F414" i="1"/>
  <c r="F459" i="1"/>
  <c r="F451" i="1"/>
  <c r="F443" i="1"/>
  <c r="F435" i="1"/>
  <c r="F427" i="1"/>
  <c r="F419" i="1"/>
  <c r="F458" i="1"/>
  <c r="F450" i="1"/>
  <c r="F442" i="1"/>
  <c r="F434" i="1"/>
  <c r="F420" i="1"/>
  <c r="F422" i="1"/>
  <c r="F416" i="1"/>
  <c r="F424" i="1"/>
  <c r="F426" i="1"/>
  <c r="F418" i="1"/>
  <c r="F462" i="1"/>
  <c r="F461" i="1"/>
  <c r="F453" i="1"/>
  <c r="F445" i="1"/>
  <c r="F437" i="1"/>
  <c r="F429" i="1"/>
  <c r="F421" i="1"/>
  <c r="F460" i="1"/>
  <c r="F452" i="1"/>
  <c r="F444" i="1"/>
  <c r="F436" i="1"/>
  <c r="F428" i="1"/>
  <c r="F455" i="1"/>
  <c r="F447" i="1"/>
  <c r="F439" i="1"/>
  <c r="F431" i="1"/>
  <c r="F423" i="1"/>
  <c r="F415" i="1"/>
  <c r="F454" i="1"/>
  <c r="F446" i="1"/>
  <c r="F438" i="1"/>
  <c r="F430" i="1"/>
  <c r="D64" i="5"/>
  <c r="D68" i="5"/>
  <c r="D72" i="5"/>
  <c r="D76" i="5"/>
  <c r="D80" i="5"/>
  <c r="D63" i="5"/>
  <c r="D67" i="5"/>
  <c r="D71" i="5"/>
  <c r="D75" i="5"/>
  <c r="D79" i="5"/>
  <c r="D62" i="5"/>
  <c r="D66" i="5"/>
  <c r="D70" i="5"/>
  <c r="D74" i="5"/>
  <c r="D78" i="5"/>
  <c r="D61" i="5"/>
  <c r="D65" i="5"/>
  <c r="D69" i="5"/>
  <c r="D73" i="5"/>
  <c r="D77" i="5"/>
  <c r="D81" i="5"/>
  <c r="D60" i="5"/>
  <c r="J82" i="5"/>
  <c r="G68" i="5"/>
  <c r="G76" i="5"/>
  <c r="J76" i="5" s="1"/>
  <c r="G72" i="5"/>
  <c r="J72" i="5" s="1"/>
  <c r="G81" i="5"/>
  <c r="G64" i="5"/>
  <c r="G80" i="5"/>
  <c r="J80" i="5" s="1"/>
  <c r="G60" i="5"/>
  <c r="J60" i="5" s="1"/>
  <c r="G62" i="5"/>
  <c r="J62" i="5" s="1"/>
  <c r="G66" i="5"/>
  <c r="J66" i="5" s="1"/>
  <c r="G70" i="5"/>
  <c r="J70" i="5" s="1"/>
  <c r="G74" i="5"/>
  <c r="J74" i="5" s="1"/>
  <c r="G78" i="5"/>
  <c r="G61" i="5"/>
  <c r="G63" i="5"/>
  <c r="G65" i="5"/>
  <c r="G67" i="5"/>
  <c r="J67" i="5" s="1"/>
  <c r="G69" i="5"/>
  <c r="G71" i="5"/>
  <c r="J71" i="5" s="1"/>
  <c r="G73" i="5"/>
  <c r="J73" i="5" s="1"/>
  <c r="G75" i="5"/>
  <c r="G77" i="5"/>
  <c r="J77" i="5" s="1"/>
  <c r="G79" i="5"/>
  <c r="J68" i="5" l="1"/>
  <c r="J65" i="5"/>
  <c r="J63" i="5"/>
  <c r="J61" i="5"/>
  <c r="J64" i="5"/>
  <c r="J69" i="5"/>
  <c r="J79" i="5"/>
  <c r="J75" i="5"/>
  <c r="J78" i="5"/>
  <c r="J81" i="5"/>
</calcChain>
</file>

<file path=xl/sharedStrings.xml><?xml version="1.0" encoding="utf-8"?>
<sst xmlns="http://schemas.openxmlformats.org/spreadsheetml/2006/main" count="5670" uniqueCount="828">
  <si>
    <t>P12</t>
  </si>
  <si>
    <t>0.5P-12</t>
  </si>
  <si>
    <t>1.0P-12</t>
  </si>
  <si>
    <r>
      <t>0.5</t>
    </r>
    <r>
      <rPr>
        <sz val="10"/>
        <rFont val="宋体"/>
        <family val="3"/>
        <charset val="134"/>
      </rPr>
      <t>唑林钠</t>
    </r>
  </si>
  <si>
    <r>
      <t>1.0</t>
    </r>
    <r>
      <rPr>
        <sz val="10"/>
        <rFont val="宋体"/>
        <family val="3"/>
        <charset val="134"/>
      </rPr>
      <t>唑林钠</t>
    </r>
  </si>
  <si>
    <r>
      <t>0.5</t>
    </r>
    <r>
      <rPr>
        <sz val="10"/>
        <rFont val="宋体"/>
        <family val="3"/>
        <charset val="134"/>
      </rPr>
      <t>拉定</t>
    </r>
  </si>
  <si>
    <r>
      <t>2.0</t>
    </r>
    <r>
      <rPr>
        <sz val="10"/>
        <rFont val="宋体"/>
        <family val="3"/>
        <charset val="134"/>
      </rPr>
      <t>二叶定</t>
    </r>
  </si>
  <si>
    <r>
      <t>3.0</t>
    </r>
    <r>
      <rPr>
        <sz val="10"/>
        <rFont val="宋体"/>
        <family val="3"/>
        <charset val="134"/>
      </rPr>
      <t>二叶定</t>
    </r>
  </si>
  <si>
    <r>
      <t>1.0</t>
    </r>
    <r>
      <rPr>
        <sz val="10"/>
        <rFont val="宋体"/>
        <family val="3"/>
        <charset val="134"/>
      </rPr>
      <t>二叶仙</t>
    </r>
  </si>
  <si>
    <r>
      <t>2.0</t>
    </r>
    <r>
      <rPr>
        <sz val="10"/>
        <rFont val="宋体"/>
        <family val="3"/>
        <charset val="134"/>
      </rPr>
      <t>二叶仙</t>
    </r>
  </si>
  <si>
    <r>
      <t>3.0</t>
    </r>
    <r>
      <rPr>
        <sz val="10"/>
        <rFont val="宋体"/>
        <family val="3"/>
        <charset val="134"/>
      </rPr>
      <t>二叶仙</t>
    </r>
  </si>
  <si>
    <r>
      <t>4.0</t>
    </r>
    <r>
      <rPr>
        <sz val="10"/>
        <rFont val="宋体"/>
        <family val="3"/>
        <charset val="134"/>
      </rPr>
      <t>二叶仙</t>
    </r>
  </si>
  <si>
    <r>
      <t>2.0</t>
    </r>
    <r>
      <rPr>
        <sz val="10"/>
        <rFont val="宋体"/>
        <family val="3"/>
        <charset val="134"/>
      </rPr>
      <t>噻吩</t>
    </r>
  </si>
  <si>
    <r>
      <t>0.75</t>
    </r>
    <r>
      <rPr>
        <sz val="10"/>
        <rFont val="宋体"/>
        <family val="3"/>
        <charset val="134"/>
      </rPr>
      <t>二叶威</t>
    </r>
  </si>
  <si>
    <r>
      <t>1.0</t>
    </r>
    <r>
      <rPr>
        <sz val="10"/>
        <rFont val="宋体"/>
        <family val="3"/>
        <charset val="134"/>
      </rPr>
      <t>二叶威</t>
    </r>
  </si>
  <si>
    <r>
      <t>1.5</t>
    </r>
    <r>
      <rPr>
        <sz val="10"/>
        <rFont val="宋体"/>
        <family val="3"/>
        <charset val="134"/>
      </rPr>
      <t>二叶威</t>
    </r>
  </si>
  <si>
    <r>
      <t>2.25</t>
    </r>
    <r>
      <rPr>
        <sz val="10"/>
        <rFont val="宋体"/>
        <family val="3"/>
        <charset val="134"/>
      </rPr>
      <t>二叶威</t>
    </r>
  </si>
  <si>
    <r>
      <t>1.0</t>
    </r>
    <r>
      <rPr>
        <sz val="10"/>
        <rFont val="宋体"/>
        <family val="3"/>
        <charset val="134"/>
      </rPr>
      <t>二叶同</t>
    </r>
  </si>
  <si>
    <r>
      <t>1.5</t>
    </r>
    <r>
      <rPr>
        <sz val="10"/>
        <rFont val="宋体"/>
        <family val="3"/>
        <charset val="134"/>
      </rPr>
      <t>二叶同</t>
    </r>
  </si>
  <si>
    <r>
      <t>0.5</t>
    </r>
    <r>
      <rPr>
        <sz val="10"/>
        <rFont val="宋体"/>
        <family val="3"/>
        <charset val="134"/>
      </rPr>
      <t>二叶罗</t>
    </r>
  </si>
  <si>
    <r>
      <t>0.2G</t>
    </r>
    <r>
      <rPr>
        <sz val="10"/>
        <rFont val="宋体"/>
        <family val="3"/>
        <charset val="134"/>
      </rPr>
      <t>二叶君</t>
    </r>
  </si>
  <si>
    <r>
      <t>50mg</t>
    </r>
    <r>
      <rPr>
        <sz val="10"/>
        <rFont val="宋体"/>
        <family val="3"/>
        <charset val="134"/>
      </rPr>
      <t>二叶星</t>
    </r>
  </si>
  <si>
    <r>
      <t>0.2g</t>
    </r>
    <r>
      <rPr>
        <sz val="10"/>
        <rFont val="宋体"/>
        <family val="3"/>
        <charset val="134"/>
      </rPr>
      <t>葡萄糖酸依诺沙星（二叶维）</t>
    </r>
  </si>
  <si>
    <r>
      <t>0.2g</t>
    </r>
    <r>
      <rPr>
        <sz val="10"/>
        <rFont val="宋体"/>
        <family val="3"/>
        <charset val="134"/>
      </rPr>
      <t>二叶欣</t>
    </r>
  </si>
  <si>
    <r>
      <t>0.4g</t>
    </r>
    <r>
      <rPr>
        <sz val="10"/>
        <rFont val="宋体"/>
        <family val="3"/>
        <charset val="134"/>
      </rPr>
      <t>二叶欣</t>
    </r>
  </si>
  <si>
    <r>
      <t>40mg</t>
    </r>
    <r>
      <rPr>
        <sz val="10"/>
        <rFont val="宋体"/>
        <family val="3"/>
        <charset val="134"/>
      </rPr>
      <t>奥美拉唑钠（二叶宁）</t>
    </r>
  </si>
  <si>
    <r>
      <t>110mg</t>
    </r>
    <r>
      <rPr>
        <sz val="10"/>
        <rFont val="宋体"/>
        <family val="3"/>
        <charset val="134"/>
      </rPr>
      <t>二叶梦</t>
    </r>
  </si>
  <si>
    <r>
      <t>220mg</t>
    </r>
    <r>
      <rPr>
        <sz val="10"/>
        <rFont val="宋体"/>
        <family val="3"/>
        <charset val="134"/>
      </rPr>
      <t>二叶梦</t>
    </r>
  </si>
  <si>
    <r>
      <t>0.25g</t>
    </r>
    <r>
      <rPr>
        <sz val="10"/>
        <rFont val="宋体"/>
        <family val="3"/>
        <charset val="134"/>
      </rPr>
      <t>注射用舒巴纳</t>
    </r>
  </si>
  <si>
    <t>工时</t>
  </si>
  <si>
    <r>
      <t>0.75</t>
    </r>
    <r>
      <rPr>
        <sz val="10"/>
        <rFont val="宋体"/>
        <family val="3"/>
        <charset val="134"/>
      </rPr>
      <t>二叶舒</t>
    </r>
  </si>
  <si>
    <r>
      <t>2.25</t>
    </r>
    <r>
      <rPr>
        <sz val="10"/>
        <rFont val="宋体"/>
        <family val="3"/>
        <charset val="134"/>
      </rPr>
      <t>二叶舒</t>
    </r>
  </si>
  <si>
    <r>
      <t>1.2</t>
    </r>
    <r>
      <rPr>
        <sz val="10"/>
        <rFont val="宋体"/>
        <family val="3"/>
        <charset val="134"/>
      </rPr>
      <t>二叶克</t>
    </r>
  </si>
  <si>
    <r>
      <t>1.0</t>
    </r>
    <r>
      <rPr>
        <sz val="10"/>
        <rFont val="宋体"/>
        <family val="3"/>
        <charset val="134"/>
      </rPr>
      <t>阿洛</t>
    </r>
  </si>
  <si>
    <r>
      <t>0.5g</t>
    </r>
    <r>
      <rPr>
        <sz val="10"/>
        <rFont val="宋体"/>
        <family val="3"/>
        <charset val="134"/>
      </rPr>
      <t>阿莫</t>
    </r>
  </si>
  <si>
    <r>
      <t>2.0g</t>
    </r>
    <r>
      <rPr>
        <sz val="10"/>
        <rFont val="宋体"/>
        <family val="3"/>
        <charset val="134"/>
      </rPr>
      <t>阿莫</t>
    </r>
  </si>
  <si>
    <r>
      <t>1.0</t>
    </r>
    <r>
      <rPr>
        <sz val="10"/>
        <rFont val="宋体"/>
        <family val="3"/>
        <charset val="134"/>
      </rPr>
      <t>二叶美</t>
    </r>
  </si>
  <si>
    <r>
      <t>2.0</t>
    </r>
    <r>
      <rPr>
        <sz val="10"/>
        <rFont val="宋体"/>
        <family val="3"/>
        <charset val="134"/>
      </rPr>
      <t>二叶美</t>
    </r>
  </si>
  <si>
    <r>
      <t>3.0</t>
    </r>
    <r>
      <rPr>
        <sz val="10"/>
        <rFont val="宋体"/>
        <family val="3"/>
        <charset val="134"/>
      </rPr>
      <t>二叶美</t>
    </r>
  </si>
  <si>
    <r>
      <t>1.0</t>
    </r>
    <r>
      <rPr>
        <sz val="10"/>
        <rFont val="宋体"/>
        <family val="3"/>
        <charset val="134"/>
      </rPr>
      <t>二叶神</t>
    </r>
  </si>
  <si>
    <r>
      <t>1.6</t>
    </r>
    <r>
      <rPr>
        <sz val="10"/>
        <rFont val="宋体"/>
        <family val="3"/>
        <charset val="134"/>
      </rPr>
      <t>二叶康</t>
    </r>
  </si>
  <si>
    <r>
      <t>3.2</t>
    </r>
    <r>
      <rPr>
        <sz val="10"/>
        <rFont val="宋体"/>
        <family val="3"/>
        <charset val="134"/>
      </rPr>
      <t>二叶康</t>
    </r>
  </si>
  <si>
    <t>供水与水处理</t>
  </si>
  <si>
    <t>空压与冷冻</t>
  </si>
  <si>
    <t>仪表</t>
  </si>
  <si>
    <t>部门</t>
  </si>
  <si>
    <t>供   水</t>
  </si>
  <si>
    <t>供   电</t>
  </si>
  <si>
    <t>供   汽</t>
  </si>
  <si>
    <t>合   计</t>
  </si>
  <si>
    <t>分配率</t>
  </si>
  <si>
    <t>金额</t>
  </si>
  <si>
    <t>（元）</t>
  </si>
  <si>
    <t>环保</t>
  </si>
  <si>
    <t>合        计</t>
  </si>
  <si>
    <t>机     修</t>
  </si>
  <si>
    <t>仪     表</t>
  </si>
  <si>
    <t xml:space="preserve">   环  保550225</t>
  </si>
  <si>
    <t>药品研发部</t>
  </si>
  <si>
    <t>生产部</t>
  </si>
  <si>
    <t>食堂</t>
    <phoneticPr fontId="5" type="noConversion"/>
  </si>
  <si>
    <t>工程部</t>
    <phoneticPr fontId="5" type="noConversion"/>
  </si>
  <si>
    <t>合  计</t>
  </si>
  <si>
    <t>辅助费用分配                                      2015.01</t>
    <phoneticPr fontId="5" type="noConversion"/>
  </si>
  <si>
    <t>201青霉素粉针车间</t>
    <phoneticPr fontId="2" type="noConversion"/>
  </si>
  <si>
    <t>中心仓库</t>
  </si>
  <si>
    <t>综合管理部</t>
  </si>
  <si>
    <t>质量保证部</t>
  </si>
  <si>
    <t>202头孢粉针车间</t>
    <phoneticPr fontId="2" type="noConversion"/>
  </si>
  <si>
    <t>203冻干粉针车间</t>
    <phoneticPr fontId="2" type="noConversion"/>
  </si>
  <si>
    <t>204胶囊车间</t>
    <phoneticPr fontId="2" type="noConversion"/>
  </si>
  <si>
    <t>206青霉素粉针二期车间</t>
    <phoneticPr fontId="2" type="noConversion"/>
  </si>
  <si>
    <t>101苯唑西林钠车间</t>
    <phoneticPr fontId="2" type="noConversion"/>
  </si>
  <si>
    <t>102冻干原料药车间</t>
    <phoneticPr fontId="2" type="noConversion"/>
  </si>
  <si>
    <t>103合成车间、溶媒回收车间</t>
    <phoneticPr fontId="2" type="noConversion"/>
  </si>
  <si>
    <t>104普通原料药车间</t>
    <phoneticPr fontId="2" type="noConversion"/>
  </si>
  <si>
    <t>105头孢原料药车间</t>
    <phoneticPr fontId="2" type="noConversion"/>
  </si>
  <si>
    <t>205冻干粉针(肿瘤)车间</t>
    <phoneticPr fontId="2" type="noConversion"/>
  </si>
  <si>
    <t>部   门</t>
    <phoneticPr fontId="2" type="noConversion"/>
  </si>
  <si>
    <t>合 计</t>
    <phoneticPr fontId="2" type="noConversion"/>
  </si>
  <si>
    <t>RD03</t>
    <phoneticPr fontId="2" type="noConversion"/>
  </si>
  <si>
    <t>101苯唑西林钠车间</t>
    <phoneticPr fontId="2" type="noConversion"/>
  </si>
  <si>
    <t>201青霉素粉针车间</t>
    <phoneticPr fontId="2" type="noConversion"/>
  </si>
  <si>
    <t>辅助费用分配                                      2015.02</t>
    <phoneticPr fontId="5" type="noConversion"/>
  </si>
  <si>
    <t>RD03</t>
    <phoneticPr fontId="2" type="noConversion"/>
  </si>
  <si>
    <r>
      <t>2015.1</t>
    </r>
    <r>
      <rPr>
        <b/>
        <sz val="10"/>
        <rFont val="宋体"/>
        <family val="3"/>
        <charset val="134"/>
      </rPr>
      <t>青霉素粉针剂车间三项费用分配表</t>
    </r>
    <phoneticPr fontId="9" type="noConversion"/>
  </si>
  <si>
    <r>
      <rPr>
        <sz val="10"/>
        <rFont val="宋体"/>
        <family val="3"/>
        <charset val="134"/>
      </rPr>
      <t>本月入库品名</t>
    </r>
  </si>
  <si>
    <r>
      <rPr>
        <sz val="10"/>
        <rFont val="宋体"/>
        <family val="3"/>
        <charset val="134"/>
      </rPr>
      <t>生产工时</t>
    </r>
  </si>
  <si>
    <r>
      <rPr>
        <sz val="10"/>
        <rFont val="宋体"/>
        <family val="3"/>
        <charset val="134"/>
      </rPr>
      <t>应摊能源费用</t>
    </r>
    <phoneticPr fontId="2" type="noConversion"/>
  </si>
  <si>
    <r>
      <rPr>
        <sz val="10"/>
        <rFont val="宋体"/>
        <family val="3"/>
        <charset val="134"/>
      </rPr>
      <t>应摊工资费用</t>
    </r>
  </si>
  <si>
    <r>
      <rPr>
        <sz val="10"/>
        <rFont val="宋体"/>
        <family val="3"/>
        <charset val="134"/>
      </rPr>
      <t>应摊制造费用</t>
    </r>
    <r>
      <rPr>
        <sz val="10"/>
        <rFont val="Microsoft Sans Serif"/>
        <family val="2"/>
      </rPr>
      <t xml:space="preserve"> </t>
    </r>
  </si>
  <si>
    <r>
      <rPr>
        <sz val="10"/>
        <rFont val="宋体"/>
        <family val="3"/>
        <charset val="134"/>
      </rPr>
      <t>合计分摊</t>
    </r>
  </si>
  <si>
    <r>
      <t>80</t>
    </r>
    <r>
      <rPr>
        <sz val="10"/>
        <rFont val="Microsoft Sans Serif"/>
        <family val="2"/>
        <charset val="134"/>
      </rPr>
      <t>万钠</t>
    </r>
  </si>
  <si>
    <r>
      <t>160</t>
    </r>
    <r>
      <rPr>
        <sz val="10"/>
        <rFont val="Microsoft Sans Serif"/>
        <family val="2"/>
        <charset val="134"/>
      </rPr>
      <t>万钠</t>
    </r>
  </si>
  <si>
    <r>
      <t>400</t>
    </r>
    <r>
      <rPr>
        <sz val="10"/>
        <rFont val="Microsoft Sans Serif"/>
        <family val="2"/>
        <charset val="134"/>
      </rPr>
      <t>万钠</t>
    </r>
  </si>
  <si>
    <r>
      <t>2.0</t>
    </r>
    <r>
      <rPr>
        <sz val="10"/>
        <rFont val="Microsoft Sans Serif"/>
        <family val="2"/>
        <charset val="134"/>
      </rPr>
      <t>哌拉</t>
    </r>
    <r>
      <rPr>
        <sz val="10"/>
        <rFont val="Microsoft Sans Serif"/>
        <family val="2"/>
      </rPr>
      <t>600</t>
    </r>
  </si>
  <si>
    <r>
      <t>0.5</t>
    </r>
    <r>
      <rPr>
        <sz val="10"/>
        <rFont val="Microsoft Sans Serif"/>
        <family val="2"/>
        <charset val="134"/>
      </rPr>
      <t>氯唑</t>
    </r>
  </si>
  <si>
    <r>
      <t>1.0</t>
    </r>
    <r>
      <rPr>
        <sz val="10"/>
        <rFont val="Microsoft Sans Serif"/>
        <family val="2"/>
        <charset val="134"/>
      </rPr>
      <t>氯唑</t>
    </r>
  </si>
  <si>
    <r>
      <t>2.0</t>
    </r>
    <r>
      <rPr>
        <sz val="10"/>
        <rFont val="Microsoft Sans Serif"/>
        <family val="2"/>
        <charset val="134"/>
      </rPr>
      <t>氯唑</t>
    </r>
  </si>
  <si>
    <r>
      <t>3.0</t>
    </r>
    <r>
      <rPr>
        <sz val="10"/>
        <rFont val="Microsoft Sans Serif"/>
        <family val="2"/>
        <charset val="134"/>
      </rPr>
      <t>氯唑</t>
    </r>
  </si>
  <si>
    <r>
      <t>0.75</t>
    </r>
    <r>
      <rPr>
        <sz val="10"/>
        <rFont val="Microsoft Sans Serif"/>
        <family val="2"/>
        <charset val="134"/>
      </rPr>
      <t>二叶舒</t>
    </r>
  </si>
  <si>
    <r>
      <t>1.5</t>
    </r>
    <r>
      <rPr>
        <sz val="10"/>
        <rFont val="Microsoft Sans Serif"/>
        <family val="2"/>
        <charset val="134"/>
      </rPr>
      <t>二叶舒</t>
    </r>
    <r>
      <rPr>
        <sz val="10"/>
        <rFont val="Microsoft Sans Serif"/>
        <family val="2"/>
      </rPr>
      <t>10</t>
    </r>
  </si>
  <si>
    <r>
      <t>2.25</t>
    </r>
    <r>
      <rPr>
        <sz val="10"/>
        <rFont val="Microsoft Sans Serif"/>
        <family val="2"/>
        <charset val="134"/>
      </rPr>
      <t>二叶舒</t>
    </r>
  </si>
  <si>
    <r>
      <t>3.0</t>
    </r>
    <r>
      <rPr>
        <sz val="10"/>
        <rFont val="Microsoft Sans Serif"/>
        <family val="2"/>
        <charset val="134"/>
      </rPr>
      <t>二叶舒</t>
    </r>
    <r>
      <rPr>
        <sz val="10"/>
        <rFont val="Microsoft Sans Serif"/>
        <family val="2"/>
      </rPr>
      <t>1</t>
    </r>
  </si>
  <si>
    <r>
      <t>3.0</t>
    </r>
    <r>
      <rPr>
        <sz val="10"/>
        <rFont val="Microsoft Sans Serif"/>
        <family val="2"/>
        <charset val="134"/>
      </rPr>
      <t>二叶舒</t>
    </r>
    <r>
      <rPr>
        <sz val="10"/>
        <rFont val="Microsoft Sans Serif"/>
        <family val="2"/>
      </rPr>
      <t>10</t>
    </r>
  </si>
  <si>
    <r>
      <t>0.75</t>
    </r>
    <r>
      <rPr>
        <sz val="10"/>
        <rFont val="Microsoft Sans Serif"/>
        <family val="2"/>
        <charset val="134"/>
      </rPr>
      <t>二叶强（出口）</t>
    </r>
  </si>
  <si>
    <r>
      <t>0.75</t>
    </r>
    <r>
      <rPr>
        <sz val="10"/>
        <rFont val="Microsoft Sans Serif"/>
        <family val="2"/>
        <charset val="134"/>
      </rPr>
      <t>二叶强</t>
    </r>
  </si>
  <si>
    <r>
      <t>1.5</t>
    </r>
    <r>
      <rPr>
        <sz val="10"/>
        <rFont val="Microsoft Sans Serif"/>
        <family val="2"/>
        <charset val="134"/>
      </rPr>
      <t>二叶强</t>
    </r>
  </si>
  <si>
    <r>
      <t>3.0</t>
    </r>
    <r>
      <rPr>
        <sz val="10"/>
        <rFont val="宋体"/>
        <family val="3"/>
        <charset val="134"/>
      </rPr>
      <t>二叶强</t>
    </r>
  </si>
  <si>
    <r>
      <t>0.6</t>
    </r>
    <r>
      <rPr>
        <sz val="10"/>
        <rFont val="Microsoft Sans Serif"/>
        <family val="2"/>
        <charset val="134"/>
      </rPr>
      <t>二叶克</t>
    </r>
  </si>
  <si>
    <r>
      <t>1.2</t>
    </r>
    <r>
      <rPr>
        <sz val="10"/>
        <rFont val="Microsoft Sans Serif"/>
        <family val="2"/>
        <charset val="134"/>
      </rPr>
      <t>二叶克</t>
    </r>
  </si>
  <si>
    <r>
      <t>1.0</t>
    </r>
    <r>
      <rPr>
        <sz val="10"/>
        <rFont val="Microsoft Sans Serif"/>
        <family val="2"/>
        <charset val="134"/>
      </rPr>
      <t>阿洛</t>
    </r>
  </si>
  <si>
    <r>
      <t>1.5</t>
    </r>
    <r>
      <rPr>
        <sz val="10"/>
        <rFont val="Microsoft Sans Serif"/>
        <family val="2"/>
        <charset val="134"/>
      </rPr>
      <t>阿洛</t>
    </r>
  </si>
  <si>
    <r>
      <t>2.0</t>
    </r>
    <r>
      <rPr>
        <sz val="10"/>
        <rFont val="Microsoft Sans Serif"/>
        <family val="2"/>
        <charset val="134"/>
      </rPr>
      <t>阿洛</t>
    </r>
  </si>
  <si>
    <r>
      <t>3.0</t>
    </r>
    <r>
      <rPr>
        <sz val="10"/>
        <rFont val="Microsoft Sans Serif"/>
        <family val="2"/>
        <charset val="134"/>
      </rPr>
      <t>阿洛</t>
    </r>
  </si>
  <si>
    <r>
      <t>0.5g</t>
    </r>
    <r>
      <rPr>
        <sz val="10"/>
        <rFont val="Microsoft Sans Serif"/>
        <family val="2"/>
        <charset val="134"/>
      </rPr>
      <t>阿莫</t>
    </r>
  </si>
  <si>
    <r>
      <t>2.0g</t>
    </r>
    <r>
      <rPr>
        <sz val="10"/>
        <rFont val="Microsoft Sans Serif"/>
        <family val="2"/>
        <charset val="134"/>
      </rPr>
      <t>阿莫</t>
    </r>
  </si>
  <si>
    <r>
      <t>1.0</t>
    </r>
    <r>
      <rPr>
        <sz val="10"/>
        <rFont val="Microsoft Sans Serif"/>
        <family val="2"/>
        <charset val="134"/>
      </rPr>
      <t>二叶安</t>
    </r>
  </si>
  <si>
    <r>
      <t>2.0</t>
    </r>
    <r>
      <rPr>
        <sz val="10"/>
        <rFont val="Microsoft Sans Serif"/>
        <family val="2"/>
        <charset val="134"/>
      </rPr>
      <t>二叶安</t>
    </r>
  </si>
  <si>
    <r>
      <t>1.0</t>
    </r>
    <r>
      <rPr>
        <sz val="10"/>
        <rFont val="Microsoft Sans Serif"/>
        <family val="2"/>
        <charset val="134"/>
      </rPr>
      <t>二叶美</t>
    </r>
  </si>
  <si>
    <r>
      <t>2.0</t>
    </r>
    <r>
      <rPr>
        <sz val="10"/>
        <rFont val="Microsoft Sans Serif"/>
        <family val="2"/>
        <charset val="134"/>
      </rPr>
      <t>二叶美</t>
    </r>
  </si>
  <si>
    <r>
      <t>2.5</t>
    </r>
    <r>
      <rPr>
        <sz val="10"/>
        <rFont val="Microsoft Sans Serif"/>
        <family val="2"/>
        <charset val="134"/>
      </rPr>
      <t>二叶美</t>
    </r>
    <phoneticPr fontId="5" type="noConversion"/>
  </si>
  <si>
    <r>
      <t>3.0</t>
    </r>
    <r>
      <rPr>
        <sz val="10"/>
        <rFont val="宋体"/>
        <family val="3"/>
        <charset val="134"/>
      </rPr>
      <t>二叶美</t>
    </r>
    <phoneticPr fontId="5" type="noConversion"/>
  </si>
  <si>
    <r>
      <t>1.5</t>
    </r>
    <r>
      <rPr>
        <sz val="10"/>
        <rFont val="Microsoft Sans Serif"/>
        <family val="2"/>
        <charset val="134"/>
      </rPr>
      <t>二叶美</t>
    </r>
    <phoneticPr fontId="5" type="noConversion"/>
  </si>
  <si>
    <r>
      <t>0.5</t>
    </r>
    <r>
      <rPr>
        <sz val="10"/>
        <rFont val="Microsoft Sans Serif"/>
        <family val="2"/>
        <charset val="134"/>
      </rPr>
      <t>二叶神</t>
    </r>
    <r>
      <rPr>
        <sz val="10"/>
        <rFont val="Microsoft Sans Serif"/>
        <family val="2"/>
      </rPr>
      <t>10</t>
    </r>
  </si>
  <si>
    <r>
      <t>0.5</t>
    </r>
    <r>
      <rPr>
        <sz val="10"/>
        <rFont val="Microsoft Sans Serif"/>
        <family val="2"/>
        <charset val="134"/>
      </rPr>
      <t>二叶神</t>
    </r>
    <r>
      <rPr>
        <sz val="10"/>
        <rFont val="Microsoft Sans Serif"/>
        <family val="2"/>
      </rPr>
      <t>20</t>
    </r>
  </si>
  <si>
    <r>
      <t>1.0</t>
    </r>
    <r>
      <rPr>
        <sz val="10"/>
        <rFont val="Microsoft Sans Serif"/>
        <family val="2"/>
        <charset val="134"/>
      </rPr>
      <t>二叶神</t>
    </r>
  </si>
  <si>
    <r>
      <t>1.6</t>
    </r>
    <r>
      <rPr>
        <sz val="10"/>
        <rFont val="Microsoft Sans Serif"/>
        <family val="2"/>
        <charset val="134"/>
      </rPr>
      <t>二叶康</t>
    </r>
  </si>
  <si>
    <r>
      <t>3.2</t>
    </r>
    <r>
      <rPr>
        <sz val="10"/>
        <rFont val="Microsoft Sans Serif"/>
        <family val="2"/>
        <charset val="134"/>
      </rPr>
      <t>二叶康</t>
    </r>
  </si>
  <si>
    <r>
      <t>1.5</t>
    </r>
    <r>
      <rPr>
        <sz val="10"/>
        <rFont val="宋体"/>
        <family val="3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舒巴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)10/400</t>
    </r>
    <phoneticPr fontId="5" type="noConversion"/>
  </si>
  <si>
    <r>
      <t>1.5</t>
    </r>
    <r>
      <rPr>
        <sz val="10"/>
        <rFont val="宋体"/>
        <family val="3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舒巴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)10/600</t>
    </r>
    <phoneticPr fontId="5" type="noConversion"/>
  </si>
  <si>
    <r>
      <t>2.25</t>
    </r>
    <r>
      <rPr>
        <sz val="10"/>
        <rFont val="Microsoft Sans Serif"/>
        <family val="2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Microsoft Sans Serif"/>
        <family val="2"/>
        <charset val="134"/>
      </rPr>
      <t>他唑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哌舒西林</t>
    </r>
    <r>
      <rPr>
        <sz val="10"/>
        <rFont val="Microsoft Sans Serif"/>
        <family val="2"/>
      </rPr>
      <t>)</t>
    </r>
  </si>
  <si>
    <r>
      <t>4.5</t>
    </r>
    <r>
      <rPr>
        <sz val="10"/>
        <rFont val="Microsoft Sans Serif"/>
        <family val="2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Microsoft Sans Serif"/>
        <family val="2"/>
        <charset val="134"/>
      </rPr>
      <t>他唑</t>
    </r>
  </si>
  <si>
    <r>
      <t>3.375</t>
    </r>
    <r>
      <rPr>
        <sz val="10"/>
        <rFont val="Microsoft Sans Serif"/>
        <family val="2"/>
        <charset val="134"/>
      </rPr>
      <t>哌舒西林</t>
    </r>
  </si>
  <si>
    <r>
      <t>1.125</t>
    </r>
    <r>
      <rPr>
        <sz val="10"/>
        <rFont val="Microsoft Sans Serif"/>
        <family val="2"/>
        <charset val="134"/>
      </rPr>
      <t>哌舒西林</t>
    </r>
  </si>
  <si>
    <r>
      <t>4.5</t>
    </r>
    <r>
      <rPr>
        <sz val="10"/>
        <rFont val="Microsoft Sans Serif"/>
        <family val="2"/>
        <charset val="134"/>
      </rPr>
      <t>哌舒西林</t>
    </r>
  </si>
  <si>
    <r>
      <t>2.0</t>
    </r>
    <r>
      <rPr>
        <sz val="10"/>
        <rFont val="Microsoft Sans Serif"/>
        <family val="2"/>
        <charset val="134"/>
      </rPr>
      <t>哌拉</t>
    </r>
  </si>
  <si>
    <r>
      <t>3.0</t>
    </r>
    <r>
      <rPr>
        <sz val="10"/>
        <rFont val="Microsoft Sans Serif"/>
        <family val="2"/>
        <charset val="134"/>
      </rPr>
      <t>嗪舒</t>
    </r>
    <r>
      <rPr>
        <sz val="10"/>
        <rFont val="Microsoft Sans Serif"/>
        <family val="2"/>
      </rPr>
      <t>10</t>
    </r>
  </si>
  <si>
    <r>
      <t>3.0</t>
    </r>
    <r>
      <rPr>
        <sz val="10"/>
        <rFont val="Microsoft Sans Serif"/>
        <family val="2"/>
        <charset val="134"/>
      </rPr>
      <t>嗪舒</t>
    </r>
    <r>
      <rPr>
        <sz val="10"/>
        <rFont val="Microsoft Sans Serif"/>
        <family val="2"/>
      </rPr>
      <t>1</t>
    </r>
  </si>
  <si>
    <r>
      <t>1.25</t>
    </r>
    <r>
      <rPr>
        <sz val="10"/>
        <rFont val="Microsoft Sans Serif"/>
        <family val="2"/>
        <charset val="134"/>
      </rPr>
      <t>美洛西林钠舒巴坦钠</t>
    </r>
  </si>
  <si>
    <r>
      <t>0.55g</t>
    </r>
    <r>
      <rPr>
        <sz val="10"/>
        <rFont val="宋体"/>
        <family val="3"/>
        <charset val="134"/>
      </rPr>
      <t>注射用替卡西林钠克拉维酸钾</t>
    </r>
  </si>
  <si>
    <r>
      <t>1.1g</t>
    </r>
    <r>
      <rPr>
        <sz val="10"/>
        <rFont val="宋体"/>
        <family val="3"/>
        <charset val="134"/>
      </rPr>
      <t>注射用替卡西林钠克拉维酸钾</t>
    </r>
  </si>
  <si>
    <r>
      <t>2.2g</t>
    </r>
    <r>
      <rPr>
        <sz val="10"/>
        <rFont val="宋体"/>
        <family val="3"/>
        <charset val="134"/>
      </rPr>
      <t>注射用替卡西林钠克拉维酸钾</t>
    </r>
  </si>
  <si>
    <r>
      <rPr>
        <sz val="10"/>
        <rFont val="宋体"/>
        <family val="3"/>
        <charset val="134"/>
      </rPr>
      <t>中试对照产品（青霉素）</t>
    </r>
  </si>
  <si>
    <r>
      <rPr>
        <sz val="10"/>
        <rFont val="宋体"/>
        <family val="3"/>
        <charset val="134"/>
      </rPr>
      <t>成本分摊费用</t>
    </r>
  </si>
  <si>
    <r>
      <rPr>
        <sz val="10"/>
        <rFont val="宋体"/>
        <family val="3"/>
        <charset val="134"/>
      </rPr>
      <t>认证费用</t>
    </r>
  </si>
  <si>
    <r>
      <t>0.625g</t>
    </r>
    <r>
      <rPr>
        <sz val="10"/>
        <rFont val="宋体"/>
        <family val="3"/>
        <charset val="134"/>
      </rPr>
      <t>注射用哌拉西林钠他唑巴坦钠</t>
    </r>
  </si>
  <si>
    <r>
      <t>1.25g</t>
    </r>
    <r>
      <rPr>
        <sz val="10"/>
        <rFont val="宋体"/>
        <family val="3"/>
        <charset val="134"/>
      </rPr>
      <t>注射用哌拉西林钠他唑巴坦钠</t>
    </r>
  </si>
  <si>
    <r>
      <t>2.5g</t>
    </r>
    <r>
      <rPr>
        <sz val="10"/>
        <rFont val="宋体"/>
        <family val="3"/>
        <charset val="134"/>
      </rPr>
      <t>注射用哌拉西林钠他唑巴坦钠</t>
    </r>
  </si>
  <si>
    <r>
      <t>GMP</t>
    </r>
    <r>
      <rPr>
        <sz val="10"/>
        <rFont val="宋体"/>
        <family val="3"/>
        <charset val="134"/>
      </rPr>
      <t>验证相关</t>
    </r>
  </si>
  <si>
    <r>
      <rPr>
        <b/>
        <sz val="10"/>
        <rFont val="宋体"/>
        <family val="3"/>
        <charset val="134"/>
      </rPr>
      <t>小</t>
    </r>
    <r>
      <rPr>
        <b/>
        <sz val="10"/>
        <rFont val="Microsoft Sans Serif"/>
        <family val="2"/>
      </rPr>
      <t xml:space="preserve">           </t>
    </r>
    <r>
      <rPr>
        <b/>
        <sz val="10"/>
        <rFont val="宋体"/>
        <family val="3"/>
        <charset val="134"/>
      </rPr>
      <t>计</t>
    </r>
  </si>
  <si>
    <r>
      <t>2015.1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</si>
  <si>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rPr>
        <sz val="10"/>
        <rFont val="Microsoft Sans Serif"/>
        <family val="2"/>
        <charset val="134"/>
      </rPr>
      <t>一支装工资</t>
    </r>
    <phoneticPr fontId="5" type="noConversion"/>
  </si>
  <si>
    <r>
      <t>0.5</t>
    </r>
    <r>
      <rPr>
        <sz val="10"/>
        <rFont val="宋体"/>
        <family val="3"/>
        <charset val="134"/>
      </rPr>
      <t>头噻肟</t>
    </r>
    <phoneticPr fontId="5" type="noConversion"/>
  </si>
  <si>
    <r>
      <t>1.0</t>
    </r>
    <r>
      <rPr>
        <sz val="10"/>
        <rFont val="宋体"/>
        <family val="3"/>
        <charset val="134"/>
      </rPr>
      <t>头噻肟</t>
    </r>
    <phoneticPr fontId="5" type="noConversion"/>
  </si>
  <si>
    <r>
      <t>1.5</t>
    </r>
    <r>
      <rPr>
        <sz val="10"/>
        <rFont val="宋体"/>
        <family val="3"/>
        <charset val="134"/>
      </rPr>
      <t>头噻肟</t>
    </r>
    <phoneticPr fontId="5" type="noConversion"/>
  </si>
  <si>
    <r>
      <t>2.0</t>
    </r>
    <r>
      <rPr>
        <sz val="10"/>
        <rFont val="宋体"/>
        <family val="3"/>
        <charset val="134"/>
      </rPr>
      <t>头噻肟</t>
    </r>
    <phoneticPr fontId="5" type="noConversion"/>
  </si>
  <si>
    <r>
      <t>1.0</t>
    </r>
    <r>
      <rPr>
        <sz val="10"/>
        <rFont val="宋体"/>
        <family val="3"/>
        <charset val="134"/>
      </rPr>
      <t>拉定</t>
    </r>
    <phoneticPr fontId="5" type="noConversion"/>
  </si>
  <si>
    <r>
      <t>0.5</t>
    </r>
    <r>
      <rPr>
        <sz val="10"/>
        <rFont val="宋体"/>
        <family val="3"/>
        <charset val="134"/>
      </rPr>
      <t>二叶定</t>
    </r>
    <phoneticPr fontId="5" type="noConversion"/>
  </si>
  <si>
    <r>
      <t>1.5</t>
    </r>
    <r>
      <rPr>
        <sz val="10"/>
        <rFont val="宋体"/>
        <family val="3"/>
        <charset val="134"/>
      </rPr>
      <t>二叶定</t>
    </r>
    <phoneticPr fontId="9" type="noConversion"/>
  </si>
  <si>
    <r>
      <t>1.0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1</t>
    </r>
  </si>
  <si>
    <r>
      <t>1.0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10</t>
    </r>
  </si>
  <si>
    <r>
      <t>0.5</t>
    </r>
    <r>
      <rPr>
        <sz val="10"/>
        <rFont val="宋体"/>
        <family val="3"/>
        <charset val="134"/>
      </rPr>
      <t>二叶灵</t>
    </r>
    <phoneticPr fontId="9" type="noConversion"/>
  </si>
  <si>
    <r>
      <t>1.0</t>
    </r>
    <r>
      <rPr>
        <sz val="10"/>
        <rFont val="宋体"/>
        <family val="3"/>
        <charset val="134"/>
      </rPr>
      <t>二叶灵</t>
    </r>
    <r>
      <rPr>
        <sz val="10"/>
        <rFont val="Microsoft Sans Serif"/>
        <family val="2"/>
      </rPr>
      <t>1</t>
    </r>
    <phoneticPr fontId="9" type="noConversion"/>
  </si>
  <si>
    <r>
      <t>1.0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1</t>
    </r>
  </si>
  <si>
    <r>
      <t>1.0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10</t>
    </r>
  </si>
  <si>
    <r>
      <t>1.5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10</t>
    </r>
    <phoneticPr fontId="9" type="noConversion"/>
  </si>
  <si>
    <r>
      <t>0.25</t>
    </r>
    <r>
      <rPr>
        <sz val="10"/>
        <rFont val="宋体"/>
        <family val="3"/>
        <charset val="134"/>
      </rPr>
      <t>二叶松</t>
    </r>
    <phoneticPr fontId="9" type="noConversion"/>
  </si>
  <si>
    <r>
      <t>2.0</t>
    </r>
    <r>
      <rPr>
        <sz val="10"/>
        <rFont val="Microsoft Sans Serif"/>
        <family val="2"/>
        <charset val="134"/>
      </rPr>
      <t>二叶松</t>
    </r>
    <phoneticPr fontId="5" type="noConversion"/>
  </si>
  <si>
    <r>
      <t>0.5</t>
    </r>
    <r>
      <rPr>
        <sz val="10"/>
        <rFont val="宋体"/>
        <family val="3"/>
        <charset val="134"/>
      </rPr>
      <t>噻吩</t>
    </r>
    <r>
      <rPr>
        <sz val="10"/>
        <rFont val="Microsoft Sans Serif"/>
        <family val="2"/>
      </rPr>
      <t>1</t>
    </r>
  </si>
  <si>
    <r>
      <t>0.5</t>
    </r>
    <r>
      <rPr>
        <sz val="10"/>
        <rFont val="宋体"/>
        <family val="3"/>
        <charset val="134"/>
      </rPr>
      <t>噻吩</t>
    </r>
    <r>
      <rPr>
        <sz val="10"/>
        <rFont val="Microsoft Sans Serif"/>
        <family val="2"/>
      </rPr>
      <t>10</t>
    </r>
  </si>
  <si>
    <r>
      <t>1.0</t>
    </r>
    <r>
      <rPr>
        <sz val="10"/>
        <rFont val="宋体"/>
        <family val="3"/>
        <charset val="134"/>
      </rPr>
      <t>噻吩</t>
    </r>
    <r>
      <rPr>
        <sz val="10"/>
        <rFont val="Microsoft Sans Serif"/>
        <family val="2"/>
      </rPr>
      <t>1</t>
    </r>
  </si>
  <si>
    <r>
      <t>1.0</t>
    </r>
    <r>
      <rPr>
        <sz val="10"/>
        <rFont val="宋体"/>
        <family val="3"/>
        <charset val="134"/>
      </rPr>
      <t>噻吩</t>
    </r>
    <r>
      <rPr>
        <sz val="10"/>
        <rFont val="Microsoft Sans Serif"/>
        <family val="2"/>
      </rPr>
      <t>10</t>
    </r>
  </si>
  <si>
    <r>
      <t>0.5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1</t>
    </r>
    <phoneticPr fontId="9" type="noConversion"/>
  </si>
  <si>
    <r>
      <t>0.5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10</t>
    </r>
    <phoneticPr fontId="9" type="noConversion"/>
  </si>
  <si>
    <r>
      <t>1.0</t>
    </r>
    <r>
      <rPr>
        <sz val="10"/>
        <rFont val="Microsoft Sans Serif"/>
        <family val="2"/>
        <charset val="134"/>
      </rPr>
      <t>二叶莫</t>
    </r>
    <r>
      <rPr>
        <sz val="10"/>
        <rFont val="Microsoft Sans Serif"/>
        <family val="2"/>
      </rPr>
      <t>1</t>
    </r>
    <phoneticPr fontId="5" type="noConversion"/>
  </si>
  <si>
    <r>
      <t>1.0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10</t>
    </r>
    <phoneticPr fontId="5" type="noConversion"/>
  </si>
  <si>
    <r>
      <t>2.0</t>
    </r>
    <r>
      <rPr>
        <sz val="10"/>
        <rFont val="宋体"/>
        <family val="3"/>
        <charset val="134"/>
      </rPr>
      <t>二叶莫</t>
    </r>
    <phoneticPr fontId="9" type="noConversion"/>
  </si>
  <si>
    <r>
      <t>1.0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 xml:space="preserve">1 </t>
    </r>
    <r>
      <rPr>
        <sz val="10"/>
        <rFont val="Microsoft Sans Serif"/>
        <family val="2"/>
        <charset val="134"/>
      </rPr>
      <t>西丁</t>
    </r>
    <phoneticPr fontId="9" type="noConversion"/>
  </si>
  <si>
    <r>
      <t>1.0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 xml:space="preserve">10  </t>
    </r>
    <r>
      <rPr>
        <sz val="10"/>
        <rFont val="宋体"/>
        <family val="3"/>
        <charset val="134"/>
      </rPr>
      <t>西丁</t>
    </r>
    <phoneticPr fontId="9" type="noConversion"/>
  </si>
  <si>
    <r>
      <t>2.0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 xml:space="preserve">  </t>
    </r>
    <r>
      <rPr>
        <sz val="10"/>
        <rFont val="Microsoft Sans Serif"/>
        <family val="2"/>
        <charset val="134"/>
      </rPr>
      <t>西丁</t>
    </r>
    <phoneticPr fontId="5" type="noConversion"/>
  </si>
  <si>
    <r>
      <t>0.5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1</t>
    </r>
  </si>
  <si>
    <r>
      <t>0.5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10</t>
    </r>
  </si>
  <si>
    <r>
      <t>1.0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1</t>
    </r>
  </si>
  <si>
    <r>
      <t>1.0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10</t>
    </r>
  </si>
  <si>
    <r>
      <t>0.5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唑肟</t>
    </r>
    <phoneticPr fontId="5" type="noConversion"/>
  </si>
  <si>
    <r>
      <t>1.0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 xml:space="preserve"> </t>
    </r>
    <r>
      <rPr>
        <sz val="10"/>
        <rFont val="Microsoft Sans Serif"/>
        <family val="2"/>
        <charset val="134"/>
      </rPr>
      <t>唑肟</t>
    </r>
    <phoneticPr fontId="5" type="noConversion"/>
  </si>
  <si>
    <r>
      <t>2.0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 xml:space="preserve"> </t>
    </r>
    <r>
      <rPr>
        <sz val="10"/>
        <rFont val="Microsoft Sans Serif"/>
        <family val="2"/>
        <charset val="134"/>
      </rPr>
      <t>唑肟</t>
    </r>
    <phoneticPr fontId="5" type="noConversion"/>
  </si>
  <si>
    <r>
      <t>0.5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1</t>
    </r>
  </si>
  <si>
    <r>
      <t>0.5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10</t>
    </r>
  </si>
  <si>
    <r>
      <t>1.0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1</t>
    </r>
    <phoneticPr fontId="5" type="noConversion"/>
  </si>
  <si>
    <r>
      <t>1.0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10</t>
    </r>
    <phoneticPr fontId="9" type="noConversion"/>
  </si>
  <si>
    <r>
      <t>3.0</t>
    </r>
    <r>
      <rPr>
        <sz val="10"/>
        <rFont val="宋体"/>
        <family val="3"/>
        <charset val="134"/>
      </rPr>
      <t>二叶同</t>
    </r>
    <phoneticPr fontId="9" type="noConversion"/>
  </si>
  <si>
    <r>
      <t>1.125</t>
    </r>
    <r>
      <rPr>
        <sz val="10"/>
        <rFont val="宋体"/>
        <family val="3"/>
        <charset val="134"/>
      </rPr>
      <t>哌酮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他唑</t>
    </r>
    <phoneticPr fontId="9" type="noConversion"/>
  </si>
  <si>
    <r>
      <t>1.0</t>
    </r>
    <r>
      <rPr>
        <sz val="10"/>
        <rFont val="Microsoft Sans Serif"/>
        <family val="2"/>
        <charset val="134"/>
      </rPr>
      <t>头孢哌酮钠他唑巴坦钠</t>
    </r>
    <r>
      <rPr>
        <sz val="10"/>
        <rFont val="Microsoft Sans Serif"/>
        <family val="2"/>
      </rPr>
      <t>4:1</t>
    </r>
    <phoneticPr fontId="5" type="noConversion"/>
  </si>
  <si>
    <r>
      <t>2.0</t>
    </r>
    <r>
      <rPr>
        <sz val="10"/>
        <rFont val="Microsoft Sans Serif"/>
        <family val="2"/>
        <charset val="134"/>
      </rPr>
      <t>头孢哌酮钠他唑巴坦钠</t>
    </r>
    <r>
      <rPr>
        <sz val="10"/>
        <rFont val="Microsoft Sans Serif"/>
        <family val="2"/>
      </rPr>
      <t>4:1</t>
    </r>
    <phoneticPr fontId="5" type="noConversion"/>
  </si>
  <si>
    <r>
      <t>0.25</t>
    </r>
    <r>
      <rPr>
        <sz val="10"/>
        <rFont val="宋体"/>
        <family val="3"/>
        <charset val="134"/>
      </rPr>
      <t>头孢美唑钠</t>
    </r>
    <phoneticPr fontId="5" type="noConversion"/>
  </si>
  <si>
    <r>
      <t>0.25</t>
    </r>
    <r>
      <rPr>
        <sz val="10"/>
        <rFont val="Microsoft Sans Serif"/>
        <family val="2"/>
        <charset val="134"/>
      </rPr>
      <t>头孢地嗪钠</t>
    </r>
    <phoneticPr fontId="5" type="noConversion"/>
  </si>
  <si>
    <r>
      <t>0.5</t>
    </r>
    <r>
      <rPr>
        <sz val="10"/>
        <rFont val="Microsoft Sans Serif"/>
        <family val="2"/>
        <charset val="134"/>
      </rPr>
      <t>头孢美唑钠</t>
    </r>
    <phoneticPr fontId="5" type="noConversion"/>
  </si>
  <si>
    <r>
      <t>1.0</t>
    </r>
    <r>
      <rPr>
        <sz val="10"/>
        <rFont val="Microsoft Sans Serif"/>
        <family val="2"/>
        <charset val="134"/>
      </rPr>
      <t>头孢美唑钠</t>
    </r>
    <phoneticPr fontId="5" type="noConversion"/>
  </si>
  <si>
    <r>
      <t>2.0</t>
    </r>
    <r>
      <rPr>
        <sz val="10"/>
        <rFont val="Microsoft Sans Serif"/>
        <family val="2"/>
        <charset val="134"/>
      </rPr>
      <t>头孢美唑钠</t>
    </r>
    <phoneticPr fontId="5" type="noConversion"/>
  </si>
  <si>
    <r>
      <t>1.0</t>
    </r>
    <r>
      <rPr>
        <sz val="10"/>
        <rFont val="Microsoft Sans Serif"/>
        <family val="2"/>
        <charset val="134"/>
      </rPr>
      <t>头孢匹胺钠</t>
    </r>
    <r>
      <rPr>
        <sz val="10"/>
        <rFont val="Microsoft Sans Serif"/>
        <family val="2"/>
      </rPr>
      <t xml:space="preserve"> </t>
    </r>
    <r>
      <rPr>
        <sz val="10"/>
        <rFont val="Microsoft Sans Serif"/>
        <family val="2"/>
        <charset val="134"/>
      </rPr>
      <t>二叶泽</t>
    </r>
    <phoneticPr fontId="5" type="noConversion"/>
  </si>
  <si>
    <r>
      <rPr>
        <sz val="10"/>
        <rFont val="Microsoft Sans Serif"/>
        <family val="2"/>
        <charset val="134"/>
      </rPr>
      <t>产成品分摊合计</t>
    </r>
    <phoneticPr fontId="5" type="noConversion"/>
  </si>
  <si>
    <r>
      <t>0.5g</t>
    </r>
    <r>
      <rPr>
        <sz val="10"/>
        <rFont val="宋体"/>
        <family val="3"/>
        <charset val="134"/>
      </rPr>
      <t>注射用头孢替唑钠</t>
    </r>
    <phoneticPr fontId="5" type="noConversion"/>
  </si>
  <si>
    <r>
      <t>1.0g</t>
    </r>
    <r>
      <rPr>
        <sz val="10"/>
        <rFont val="Microsoft Sans Serif"/>
        <family val="2"/>
        <charset val="134"/>
      </rPr>
      <t>注射用头孢替唑钠</t>
    </r>
    <phoneticPr fontId="5" type="noConversion"/>
  </si>
  <si>
    <r>
      <t>2.0g</t>
    </r>
    <r>
      <rPr>
        <sz val="10"/>
        <rFont val="Microsoft Sans Serif"/>
        <family val="2"/>
        <charset val="134"/>
      </rPr>
      <t>注射用头孢替唑钠</t>
    </r>
    <phoneticPr fontId="5" type="noConversion"/>
  </si>
  <si>
    <r>
      <rPr>
        <sz val="10"/>
        <rFont val="Microsoft Sans Serif"/>
        <family val="2"/>
        <charset val="134"/>
      </rPr>
      <t>停工</t>
    </r>
    <r>
      <rPr>
        <sz val="10"/>
        <rFont val="宋体"/>
        <family val="3"/>
        <charset val="134"/>
      </rPr>
      <t>费</t>
    </r>
    <phoneticPr fontId="5" type="noConversion"/>
  </si>
  <si>
    <r>
      <t>0.5</t>
    </r>
    <r>
      <rPr>
        <b/>
        <sz val="10"/>
        <rFont val="Microsoft Sans Serif"/>
        <family val="2"/>
        <charset val="134"/>
      </rPr>
      <t>盐酸头孢吡肟钠</t>
    </r>
    <phoneticPr fontId="5" type="noConversion"/>
  </si>
  <si>
    <r>
      <rPr>
        <sz val="10"/>
        <rFont val="Microsoft Sans Serif"/>
        <family val="2"/>
        <charset val="134"/>
      </rPr>
      <t>停工费</t>
    </r>
    <phoneticPr fontId="5" type="noConversion"/>
  </si>
  <si>
    <r>
      <rPr>
        <b/>
        <sz val="10"/>
        <rFont val="宋体"/>
        <family val="3"/>
        <charset val="134"/>
      </rPr>
      <t>小</t>
    </r>
    <r>
      <rPr>
        <b/>
        <sz val="10"/>
        <rFont val="Microsoft Sans Serif"/>
        <family val="2"/>
      </rPr>
      <t xml:space="preserve">          </t>
    </r>
    <r>
      <rPr>
        <b/>
        <sz val="10"/>
        <rFont val="宋体"/>
        <family val="3"/>
        <charset val="134"/>
      </rPr>
      <t>计</t>
    </r>
  </si>
  <si>
    <r>
      <t>2015.1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</si>
  <si>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rPr>
        <sz val="10"/>
        <rFont val="宋体"/>
        <family val="3"/>
        <charset val="134"/>
      </rPr>
      <t>生产工时</t>
    </r>
    <phoneticPr fontId="5" type="noConversion"/>
  </si>
  <si>
    <r>
      <rPr>
        <sz val="10"/>
        <rFont val="宋体"/>
        <family val="3"/>
        <charset val="134"/>
      </rPr>
      <t>冻干工时</t>
    </r>
    <phoneticPr fontId="5" type="noConversion"/>
  </si>
  <si>
    <r>
      <rPr>
        <sz val="10"/>
        <rFont val="Microsoft Sans Serif"/>
        <family val="2"/>
        <charset val="134"/>
      </rPr>
      <t>合计分摊</t>
    </r>
    <phoneticPr fontId="5" type="noConversion"/>
  </si>
  <si>
    <r>
      <t>0.4G</t>
    </r>
    <r>
      <rPr>
        <sz val="10"/>
        <rFont val="宋体"/>
        <family val="3"/>
        <charset val="134"/>
      </rPr>
      <t>二叶君</t>
    </r>
    <r>
      <rPr>
        <sz val="10"/>
        <rFont val="Microsoft Sans Serif"/>
        <family val="2"/>
      </rPr>
      <t>10</t>
    </r>
  </si>
  <si>
    <r>
      <t>0.6G</t>
    </r>
    <r>
      <rPr>
        <sz val="10"/>
        <rFont val="宋体"/>
        <family val="3"/>
        <charset val="134"/>
      </rPr>
      <t>苦参素二叶君</t>
    </r>
    <phoneticPr fontId="5" type="noConversion"/>
  </si>
  <si>
    <r>
      <t>50mg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10</t>
    </r>
    <r>
      <rPr>
        <sz val="10"/>
        <rFont val="宋体"/>
        <family val="3"/>
        <charset val="134"/>
      </rPr>
      <t>支</t>
    </r>
  </si>
  <si>
    <r>
      <t>50mg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5/600</t>
    </r>
  </si>
  <si>
    <r>
      <t>100mg</t>
    </r>
    <r>
      <rPr>
        <sz val="10"/>
        <rFont val="宋体"/>
        <family val="3"/>
        <charset val="134"/>
      </rPr>
      <t>川芎嗪二叶青</t>
    </r>
    <r>
      <rPr>
        <sz val="10"/>
        <rFont val="Microsoft Sans Serif"/>
        <family val="2"/>
      </rPr>
      <t>5/600</t>
    </r>
    <phoneticPr fontId="5" type="noConversion"/>
  </si>
  <si>
    <r>
      <t>100mg</t>
    </r>
    <r>
      <rPr>
        <sz val="10"/>
        <rFont val="宋体"/>
        <family val="3"/>
        <charset val="134"/>
      </rPr>
      <t>川芎嗪二叶青</t>
    </r>
    <r>
      <rPr>
        <sz val="10"/>
        <rFont val="Microsoft Sans Serif"/>
        <family val="2"/>
      </rPr>
      <t>10/1000</t>
    </r>
    <phoneticPr fontId="5" type="noConversion"/>
  </si>
  <si>
    <r>
      <t>100mg</t>
    </r>
    <r>
      <rPr>
        <sz val="10"/>
        <rFont val="宋体"/>
        <family val="3"/>
        <charset val="134"/>
      </rPr>
      <t>丁咯地尔二叶星</t>
    </r>
    <phoneticPr fontId="5" type="noConversion"/>
  </si>
  <si>
    <r>
      <t>200mg(</t>
    </r>
    <r>
      <rPr>
        <sz val="10"/>
        <rFont val="宋体"/>
        <family val="3"/>
        <charset val="134"/>
      </rPr>
      <t>二叶星</t>
    </r>
    <r>
      <rPr>
        <sz val="10"/>
        <rFont val="Microsoft Sans Serif"/>
        <family val="2"/>
      </rPr>
      <t>)6/600</t>
    </r>
  </si>
  <si>
    <r>
      <t>60mg</t>
    </r>
    <r>
      <rPr>
        <sz val="10"/>
        <rFont val="宋体"/>
        <family val="3"/>
        <charset val="134"/>
      </rPr>
      <t>奥美</t>
    </r>
    <r>
      <rPr>
        <sz val="10"/>
        <rFont val="Microsoft Sans Serif"/>
        <family val="2"/>
      </rPr>
      <t>10/400</t>
    </r>
    <phoneticPr fontId="5" type="noConversion"/>
  </si>
  <si>
    <r>
      <t>60mg</t>
    </r>
    <r>
      <rPr>
        <sz val="10"/>
        <rFont val="宋体"/>
        <family val="3"/>
        <charset val="134"/>
      </rPr>
      <t>奥美</t>
    </r>
    <r>
      <rPr>
        <sz val="10"/>
        <rFont val="Microsoft Sans Serif"/>
        <family val="2"/>
      </rPr>
      <t>10/600</t>
    </r>
    <phoneticPr fontId="5" type="noConversion"/>
  </si>
  <si>
    <r>
      <t>80mg</t>
    </r>
    <r>
      <rPr>
        <sz val="10"/>
        <rFont val="宋体"/>
        <family val="3"/>
        <charset val="134"/>
      </rPr>
      <t>奥扎格雷钠</t>
    </r>
    <r>
      <rPr>
        <sz val="10"/>
        <rFont val="Microsoft Sans Serif"/>
        <family val="2"/>
      </rPr>
      <t xml:space="preserve"> 10/400</t>
    </r>
    <phoneticPr fontId="9" type="noConversion"/>
  </si>
  <si>
    <r>
      <t>80mg</t>
    </r>
    <r>
      <rPr>
        <sz val="10"/>
        <rFont val="宋体"/>
        <family val="3"/>
        <charset val="134"/>
      </rPr>
      <t>奥扎格雷钠</t>
    </r>
    <r>
      <rPr>
        <sz val="10"/>
        <rFont val="Microsoft Sans Serif"/>
        <family val="2"/>
      </rPr>
      <t xml:space="preserve"> 10/1000</t>
    </r>
    <phoneticPr fontId="5" type="noConversion"/>
  </si>
  <si>
    <r>
      <t>20mg</t>
    </r>
    <r>
      <rPr>
        <sz val="10"/>
        <rFont val="宋体"/>
        <family val="3"/>
        <charset val="134"/>
      </rPr>
      <t>奥扎格雷钠（二叶坦）</t>
    </r>
    <r>
      <rPr>
        <sz val="10"/>
        <rFont val="Microsoft Sans Serif"/>
        <family val="2"/>
      </rPr>
      <t>1000</t>
    </r>
    <phoneticPr fontId="5" type="noConversion"/>
  </si>
  <si>
    <r>
      <t>40mg</t>
    </r>
    <r>
      <rPr>
        <sz val="10"/>
        <rFont val="宋体"/>
        <family val="3"/>
        <charset val="134"/>
      </rPr>
      <t>奥扎格雷钠（二叶坦）</t>
    </r>
    <r>
      <rPr>
        <sz val="10"/>
        <rFont val="Microsoft Sans Serif"/>
        <family val="2"/>
      </rPr>
      <t>1000</t>
    </r>
    <phoneticPr fontId="5" type="noConversion"/>
  </si>
  <si>
    <r>
      <t>0.4g</t>
    </r>
    <r>
      <rPr>
        <sz val="10"/>
        <rFont val="宋体"/>
        <family val="3"/>
        <charset val="134"/>
      </rPr>
      <t>注射用甲磺酸培氟沙星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二叶欣</t>
    </r>
    <r>
      <rPr>
        <sz val="10"/>
        <rFont val="Microsoft Sans Serif"/>
        <family val="2"/>
      </rPr>
      <t>)5/600</t>
    </r>
  </si>
  <si>
    <r>
      <t>60mg</t>
    </r>
    <r>
      <rPr>
        <sz val="10"/>
        <rFont val="宋体"/>
        <family val="3"/>
        <charset val="134"/>
      </rPr>
      <t>注射用奥美拉唑钠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>)</t>
    </r>
  </si>
  <si>
    <r>
      <t>1.0</t>
    </r>
    <r>
      <rPr>
        <sz val="10"/>
        <rFont val="宋体"/>
        <family val="3"/>
        <charset val="134"/>
      </rPr>
      <t>左卡尼汀</t>
    </r>
    <phoneticPr fontId="5" type="noConversion"/>
  </si>
  <si>
    <r>
      <t>1.0</t>
    </r>
    <r>
      <rPr>
        <sz val="10"/>
        <rFont val="Microsoft Sans Serif"/>
        <family val="2"/>
        <charset val="134"/>
      </rPr>
      <t>二叶汀</t>
    </r>
    <phoneticPr fontId="5" type="noConversion"/>
  </si>
  <si>
    <r>
      <t>1.0mg</t>
    </r>
    <r>
      <rPr>
        <sz val="10"/>
        <rFont val="宋体"/>
        <family val="3"/>
        <charset val="134"/>
      </rPr>
      <t>布美他尼</t>
    </r>
    <phoneticPr fontId="9" type="noConversion"/>
  </si>
  <si>
    <r>
      <t>30mg</t>
    </r>
    <r>
      <rPr>
        <sz val="10"/>
        <rFont val="Microsoft Sans Serif"/>
        <family val="2"/>
        <charset val="134"/>
      </rPr>
      <t>注射用兰索拉唑</t>
    </r>
    <phoneticPr fontId="5" type="noConversion"/>
  </si>
  <si>
    <r>
      <rPr>
        <sz val="10"/>
        <rFont val="宋体"/>
        <family val="3"/>
        <charset val="134"/>
      </rPr>
      <t>新品生产分摊合计</t>
    </r>
    <phoneticPr fontId="5" type="noConversion"/>
  </si>
  <si>
    <r>
      <rPr>
        <sz val="10"/>
        <rFont val="宋体"/>
        <family val="3"/>
        <charset val="134"/>
      </rPr>
      <t>其中：</t>
    </r>
    <r>
      <rPr>
        <sz val="10"/>
        <rFont val="Microsoft Sans Serif"/>
        <family val="2"/>
      </rPr>
      <t>100mg</t>
    </r>
    <r>
      <rPr>
        <sz val="10"/>
        <rFont val="宋体"/>
        <family val="3"/>
        <charset val="134"/>
      </rPr>
      <t>依诺肝素钠</t>
    </r>
    <phoneticPr fontId="5" type="noConversion"/>
  </si>
  <si>
    <r>
      <rPr>
        <sz val="10"/>
        <rFont val="宋体"/>
        <family val="3"/>
        <charset val="134"/>
      </rPr>
      <t>其中：</t>
    </r>
    <r>
      <rPr>
        <sz val="10"/>
        <rFont val="Microsoft Sans Serif"/>
        <family val="2"/>
      </rPr>
      <t>40mg</t>
    </r>
    <r>
      <rPr>
        <sz val="10"/>
        <rFont val="宋体"/>
        <family val="3"/>
        <charset val="134"/>
      </rPr>
      <t>依诺肝素钠</t>
    </r>
    <phoneticPr fontId="5" type="noConversion"/>
  </si>
  <si>
    <r>
      <rPr>
        <sz val="10"/>
        <rFont val="宋体"/>
        <family val="3"/>
        <charset val="134"/>
      </rPr>
      <t>正常生产分摊合计</t>
    </r>
    <phoneticPr fontId="5" type="noConversion"/>
  </si>
  <si>
    <r>
      <rPr>
        <b/>
        <sz val="10"/>
        <rFont val="宋体"/>
        <family val="3"/>
        <charset val="134"/>
      </rPr>
      <t>产成品分摊合计</t>
    </r>
    <phoneticPr fontId="5" type="noConversion"/>
  </si>
  <si>
    <r>
      <rPr>
        <sz val="10"/>
        <rFont val="宋体"/>
        <family val="3"/>
        <charset val="134"/>
      </rPr>
      <t>依诺肝素钠验证相关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生产部情况说明</t>
    </r>
    <r>
      <rPr>
        <sz val="10"/>
        <rFont val="Microsoft Sans Serif"/>
        <family val="2"/>
      </rPr>
      <t>)</t>
    </r>
    <phoneticPr fontId="5" type="noConversion"/>
  </si>
  <si>
    <r>
      <rPr>
        <sz val="10"/>
        <rFont val="宋体"/>
        <family val="3"/>
        <charset val="134"/>
      </rPr>
      <t>甘草酸二胺</t>
    </r>
    <phoneticPr fontId="5" type="noConversion"/>
  </si>
  <si>
    <r>
      <rPr>
        <sz val="10"/>
        <rFont val="宋体"/>
        <family val="3"/>
        <charset val="134"/>
      </rPr>
      <t>胸腺五肽</t>
    </r>
    <phoneticPr fontId="5" type="noConversion"/>
  </si>
  <si>
    <r>
      <rPr>
        <sz val="10"/>
        <rFont val="宋体"/>
        <family val="3"/>
        <charset val="134"/>
      </rPr>
      <t>乙酰谷酰胺</t>
    </r>
    <phoneticPr fontId="5" type="noConversion"/>
  </si>
  <si>
    <r>
      <rPr>
        <sz val="10"/>
        <rFont val="宋体"/>
        <family val="3"/>
        <charset val="134"/>
      </rPr>
      <t>停工</t>
    </r>
    <phoneticPr fontId="5" type="noConversion"/>
  </si>
  <si>
    <r>
      <rPr>
        <sz val="10"/>
        <rFont val="宋体"/>
        <family val="3"/>
        <charset val="134"/>
      </rPr>
      <t>小计</t>
    </r>
  </si>
  <si>
    <r>
      <t>2015.1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</si>
  <si>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rPr>
        <sz val="10"/>
        <rFont val="宋体"/>
        <family val="3"/>
        <charset val="134"/>
      </rPr>
      <t>工时</t>
    </r>
  </si>
  <si>
    <r>
      <t>714081(0.25g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)</t>
    </r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</si>
  <si>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)6/400</t>
    </r>
  </si>
  <si>
    <r>
      <rPr>
        <sz val="10"/>
        <rFont val="宋体"/>
        <family val="3"/>
        <charset val="134"/>
      </rPr>
      <t>麦白霉素胶囊</t>
    </r>
  </si>
  <si>
    <r>
      <rPr>
        <sz val="10"/>
        <rFont val="宋体"/>
        <family val="3"/>
        <charset val="134"/>
      </rPr>
      <t>乙酰螺旋霉素胶囊</t>
    </r>
    <phoneticPr fontId="5" type="noConversion"/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</si>
  <si>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)12/300</t>
    </r>
    <phoneticPr fontId="9" type="noConversion"/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</si>
  <si>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)12/400</t>
    </r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</si>
  <si>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)6/400</t>
    </r>
    <phoneticPr fontId="5" type="noConversion"/>
  </si>
  <si>
    <r>
      <t>75mg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24*400</t>
    </r>
    <phoneticPr fontId="5" type="noConversion"/>
  </si>
  <si>
    <r>
      <t>150mg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6*600</t>
    </r>
    <phoneticPr fontId="5" type="noConversion"/>
  </si>
  <si>
    <r>
      <t>150mg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10*600</t>
    </r>
    <phoneticPr fontId="5" type="noConversion"/>
  </si>
  <si>
    <r>
      <t>150mg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12*400</t>
    </r>
  </si>
  <si>
    <r>
      <t>300mg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6/600</t>
    </r>
  </si>
  <si>
    <r>
      <rPr>
        <sz val="10"/>
        <rFont val="宋体"/>
        <family val="3"/>
        <charset val="134"/>
      </rPr>
      <t>硫普罗宁肠溶胶囊</t>
    </r>
    <phoneticPr fontId="9" type="noConversion"/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</si>
  <si>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司可安</t>
    </r>
    <r>
      <rPr>
        <sz val="10"/>
        <rFont val="Microsoft Sans Serif"/>
        <family val="2"/>
      </rPr>
      <t>)14/400</t>
    </r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</si>
  <si>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司可安</t>
    </r>
    <r>
      <rPr>
        <sz val="10"/>
        <rFont val="Microsoft Sans Serif"/>
        <family val="2"/>
      </rPr>
      <t>)14/300</t>
    </r>
    <phoneticPr fontId="5" type="noConversion"/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</si>
  <si>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乐奥苏</t>
    </r>
    <r>
      <rPr>
        <sz val="10"/>
        <rFont val="Microsoft Sans Serif"/>
        <family val="2"/>
      </rPr>
      <t>)28/300</t>
    </r>
    <phoneticPr fontId="5" type="noConversion"/>
  </si>
  <si>
    <r>
      <rPr>
        <sz val="10"/>
        <rFont val="宋体"/>
        <family val="3"/>
        <charset val="134"/>
      </rPr>
      <t>甲磺酸（哥达）</t>
    </r>
    <r>
      <rPr>
        <sz val="10"/>
        <rFont val="Microsoft Sans Serif"/>
        <family val="2"/>
      </rPr>
      <t>40mg 640</t>
    </r>
    <phoneticPr fontId="5" type="noConversion"/>
  </si>
  <si>
    <r>
      <rPr>
        <sz val="10"/>
        <rFont val="宋体"/>
        <family val="3"/>
        <charset val="134"/>
      </rPr>
      <t>甲磺酸（哥达）</t>
    </r>
    <r>
      <rPr>
        <sz val="10"/>
        <rFont val="Microsoft Sans Serif"/>
        <family val="2"/>
      </rPr>
      <t>40mg 1280</t>
    </r>
    <phoneticPr fontId="5" type="noConversion"/>
  </si>
  <si>
    <r>
      <rPr>
        <sz val="10"/>
        <rFont val="宋体"/>
        <family val="3"/>
        <charset val="134"/>
      </rPr>
      <t>甲磺酸（舒乐康）</t>
    </r>
    <r>
      <rPr>
        <sz val="10"/>
        <rFont val="Microsoft Sans Serif"/>
        <family val="2"/>
      </rPr>
      <t>40mg 600</t>
    </r>
    <phoneticPr fontId="5" type="noConversion"/>
  </si>
  <si>
    <r>
      <t>50mg</t>
    </r>
    <r>
      <rPr>
        <sz val="10"/>
        <rFont val="宋体"/>
        <family val="3"/>
        <charset val="134"/>
      </rPr>
      <t>甘草酸二铵胶囊</t>
    </r>
    <r>
      <rPr>
        <sz val="10"/>
        <rFont val="Microsoft Sans Serif"/>
        <family val="2"/>
      </rPr>
      <t>24/200(</t>
    </r>
    <r>
      <rPr>
        <sz val="10"/>
        <rFont val="Microsoft Sans Serif"/>
        <family val="2"/>
        <charset val="134"/>
      </rPr>
      <t>司可宁</t>
    </r>
    <r>
      <rPr>
        <sz val="10"/>
        <rFont val="Microsoft Sans Serif"/>
        <family val="2"/>
      </rPr>
      <t>)</t>
    </r>
    <phoneticPr fontId="9" type="noConversion"/>
  </si>
  <si>
    <r>
      <t>50mg</t>
    </r>
    <r>
      <rPr>
        <sz val="10"/>
        <rFont val="宋体"/>
        <family val="3"/>
        <charset val="134"/>
      </rPr>
      <t>甘草酸二铵胶囊</t>
    </r>
    <r>
      <rPr>
        <sz val="10"/>
        <rFont val="Microsoft Sans Serif"/>
        <family val="2"/>
      </rPr>
      <t>48/200(</t>
    </r>
    <r>
      <rPr>
        <sz val="10"/>
        <rFont val="宋体"/>
        <family val="3"/>
        <charset val="134"/>
      </rPr>
      <t>司可宁</t>
    </r>
    <r>
      <rPr>
        <sz val="10"/>
        <rFont val="Microsoft Sans Serif"/>
        <family val="2"/>
      </rPr>
      <t>)</t>
    </r>
    <phoneticPr fontId="9" type="noConversion"/>
  </si>
  <si>
    <r>
      <rPr>
        <sz val="10"/>
        <rFont val="宋体"/>
        <family val="3"/>
        <charset val="134"/>
      </rPr>
      <t>二甲双胍格列本脲胶囊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二叶双平</t>
    </r>
    <r>
      <rPr>
        <sz val="10"/>
        <rFont val="Microsoft Sans Serif"/>
        <family val="2"/>
      </rPr>
      <t>)24/400</t>
    </r>
    <phoneticPr fontId="9" type="noConversion"/>
  </si>
  <si>
    <r>
      <rPr>
        <sz val="10"/>
        <rFont val="宋体"/>
        <family val="3"/>
        <charset val="134"/>
      </rPr>
      <t>马来酸胶囊</t>
    </r>
    <phoneticPr fontId="9" type="noConversion"/>
  </si>
  <si>
    <r>
      <rPr>
        <sz val="10"/>
        <rFont val="宋体"/>
        <family val="3"/>
        <charset val="134"/>
      </rPr>
      <t>阿德福韦酯胶囊</t>
    </r>
    <phoneticPr fontId="5" type="noConversion"/>
  </si>
  <si>
    <r>
      <t>20mg</t>
    </r>
    <r>
      <rPr>
        <sz val="10"/>
        <rFont val="宋体"/>
        <family val="3"/>
        <charset val="134"/>
      </rPr>
      <t>盐酸曲美他嗪胶囊</t>
    </r>
    <r>
      <rPr>
        <sz val="10"/>
        <rFont val="Microsoft Sans Serif"/>
        <family val="2"/>
      </rPr>
      <t xml:space="preserve"> 20mg/14</t>
    </r>
    <phoneticPr fontId="5" type="noConversion"/>
  </si>
  <si>
    <r>
      <rPr>
        <sz val="10"/>
        <rFont val="宋体"/>
        <family val="3"/>
        <charset val="134"/>
      </rPr>
      <t>中试对照产品（乐卡</t>
    </r>
    <r>
      <rPr>
        <sz val="10"/>
        <rFont val="Microsoft Sans Serif"/>
        <family val="2"/>
      </rPr>
      <t>)</t>
    </r>
    <phoneticPr fontId="5" type="noConversion"/>
  </si>
  <si>
    <r>
      <t>10mg</t>
    </r>
    <r>
      <rPr>
        <sz val="10"/>
        <rFont val="宋体"/>
        <family val="3"/>
        <charset val="134"/>
      </rPr>
      <t>盐酸乐卡地平片</t>
    </r>
    <phoneticPr fontId="5" type="noConversion"/>
  </si>
  <si>
    <r>
      <t>20mg</t>
    </r>
    <r>
      <rPr>
        <sz val="10"/>
        <rFont val="宋体"/>
        <family val="3"/>
        <charset val="134"/>
      </rPr>
      <t>盐酸齐拉西酮胶囊</t>
    </r>
    <phoneticPr fontId="5" type="noConversion"/>
  </si>
  <si>
    <r>
      <t>0.5mg</t>
    </r>
    <r>
      <rPr>
        <sz val="10"/>
        <rFont val="宋体"/>
        <family val="3"/>
        <charset val="134"/>
      </rPr>
      <t>恩替卡韦片</t>
    </r>
    <phoneticPr fontId="5" type="noConversion"/>
  </si>
  <si>
    <r>
      <t>1.0mg</t>
    </r>
    <r>
      <rPr>
        <sz val="10"/>
        <rFont val="宋体"/>
        <family val="3"/>
        <charset val="134"/>
      </rPr>
      <t>恩替卡韦片</t>
    </r>
    <phoneticPr fontId="5" type="noConversion"/>
  </si>
  <si>
    <r>
      <t>75mg</t>
    </r>
    <r>
      <rPr>
        <sz val="10"/>
        <rFont val="宋体"/>
        <family val="3"/>
        <charset val="134"/>
      </rPr>
      <t>硫酸氢氯吡格雷片</t>
    </r>
    <phoneticPr fontId="5" type="noConversion"/>
  </si>
  <si>
    <r>
      <rPr>
        <b/>
        <sz val="10"/>
        <rFont val="Microsoft Sans Serif"/>
        <family val="2"/>
        <charset val="134"/>
      </rPr>
      <t>产成品分摊合计</t>
    </r>
    <phoneticPr fontId="5" type="noConversion"/>
  </si>
  <si>
    <r>
      <rPr>
        <sz val="10"/>
        <rFont val="Microsoft Sans Serif"/>
        <family val="2"/>
        <charset val="134"/>
      </rPr>
      <t>停工</t>
    </r>
    <phoneticPr fontId="5" type="noConversion"/>
  </si>
  <si>
    <r>
      <rPr>
        <sz val="10"/>
        <rFont val="宋体"/>
        <family val="3"/>
        <charset val="134"/>
      </rPr>
      <t>外加工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卫材</t>
    </r>
    <r>
      <rPr>
        <sz val="10"/>
        <rFont val="Microsoft Sans Serif"/>
        <family val="2"/>
      </rPr>
      <t>)</t>
    </r>
    <phoneticPr fontId="5" type="noConversion"/>
  </si>
  <si>
    <r>
      <rPr>
        <b/>
        <sz val="10"/>
        <rFont val="宋体"/>
        <family val="3"/>
        <charset val="134"/>
      </rPr>
      <t>小</t>
    </r>
    <r>
      <rPr>
        <b/>
        <sz val="10"/>
        <rFont val="Microsoft Sans Serif"/>
        <family val="2"/>
      </rPr>
      <t xml:space="preserve">             </t>
    </r>
    <r>
      <rPr>
        <b/>
        <sz val="10"/>
        <rFont val="宋体"/>
        <family val="3"/>
        <charset val="134"/>
      </rPr>
      <t>计</t>
    </r>
    <phoneticPr fontId="5" type="noConversion"/>
  </si>
  <si>
    <r>
      <rPr>
        <b/>
        <sz val="10"/>
        <rFont val="宋体"/>
        <family val="3"/>
        <charset val="134"/>
      </rPr>
      <t>胶囊车间内部工时表</t>
    </r>
    <phoneticPr fontId="2" type="noConversion"/>
  </si>
  <si>
    <r>
      <t>2015.1</t>
    </r>
    <r>
      <rPr>
        <b/>
        <sz val="10"/>
        <rFont val="宋体"/>
        <family val="3"/>
        <charset val="134"/>
      </rPr>
      <t>青霉素粉针剂二期车间三项费用分配表</t>
    </r>
    <phoneticPr fontId="9" type="noConversion"/>
  </si>
  <si>
    <t>0.5P-12</t>
    <phoneticPr fontId="9" type="noConversion"/>
  </si>
  <si>
    <t>1.0P-12</t>
    <phoneticPr fontId="9" type="noConversion"/>
  </si>
  <si>
    <r>
      <t>80</t>
    </r>
    <r>
      <rPr>
        <sz val="10"/>
        <rFont val="宋体"/>
        <family val="3"/>
        <charset val="134"/>
      </rPr>
      <t>万钠</t>
    </r>
    <phoneticPr fontId="9" type="noConversion"/>
  </si>
  <si>
    <r>
      <t>160</t>
    </r>
    <r>
      <rPr>
        <sz val="10"/>
        <rFont val="宋体"/>
        <family val="3"/>
        <charset val="134"/>
      </rPr>
      <t>万钠</t>
    </r>
    <phoneticPr fontId="9" type="noConversion"/>
  </si>
  <si>
    <r>
      <t>400</t>
    </r>
    <r>
      <rPr>
        <sz val="10"/>
        <rFont val="Microsoft Sans Serif"/>
        <family val="2"/>
        <charset val="134"/>
      </rPr>
      <t>万钠</t>
    </r>
    <phoneticPr fontId="5" type="noConversion"/>
  </si>
  <si>
    <r>
      <t>2.0</t>
    </r>
    <r>
      <rPr>
        <sz val="10"/>
        <rFont val="Microsoft Sans Serif"/>
        <family val="2"/>
        <charset val="134"/>
      </rPr>
      <t>哌拉</t>
    </r>
    <r>
      <rPr>
        <sz val="10"/>
        <rFont val="Microsoft Sans Serif"/>
        <family val="2"/>
      </rPr>
      <t>600</t>
    </r>
    <phoneticPr fontId="5" type="noConversion"/>
  </si>
  <si>
    <r>
      <t>0.5</t>
    </r>
    <r>
      <rPr>
        <sz val="10"/>
        <rFont val="宋体"/>
        <family val="3"/>
        <charset val="134"/>
      </rPr>
      <t>氯唑</t>
    </r>
    <phoneticPr fontId="9" type="noConversion"/>
  </si>
  <si>
    <r>
      <t>1.0</t>
    </r>
    <r>
      <rPr>
        <sz val="10"/>
        <rFont val="宋体"/>
        <family val="3"/>
        <charset val="134"/>
      </rPr>
      <t>氯唑</t>
    </r>
    <phoneticPr fontId="9" type="noConversion"/>
  </si>
  <si>
    <r>
      <t>2.0</t>
    </r>
    <r>
      <rPr>
        <sz val="10"/>
        <rFont val="宋体"/>
        <family val="3"/>
        <charset val="134"/>
      </rPr>
      <t>氯唑</t>
    </r>
    <phoneticPr fontId="9" type="noConversion"/>
  </si>
  <si>
    <r>
      <t>3.0</t>
    </r>
    <r>
      <rPr>
        <sz val="10"/>
        <rFont val="宋体"/>
        <family val="3"/>
        <charset val="134"/>
      </rPr>
      <t>氯唑</t>
    </r>
    <phoneticPr fontId="9" type="noConversion"/>
  </si>
  <si>
    <r>
      <t>1.5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10</t>
    </r>
  </si>
  <si>
    <r>
      <t>3.0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1</t>
    </r>
  </si>
  <si>
    <r>
      <t>3.0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10</t>
    </r>
  </si>
  <si>
    <r>
      <t>0.75</t>
    </r>
    <r>
      <rPr>
        <sz val="10"/>
        <rFont val="宋体"/>
        <family val="3"/>
        <charset val="134"/>
      </rPr>
      <t>二叶强（出口）</t>
    </r>
    <phoneticPr fontId="9" type="noConversion"/>
  </si>
  <si>
    <r>
      <t>0.75</t>
    </r>
    <r>
      <rPr>
        <sz val="10"/>
        <rFont val="宋体"/>
        <family val="3"/>
        <charset val="134"/>
      </rPr>
      <t>二叶强</t>
    </r>
    <phoneticPr fontId="9" type="noConversion"/>
  </si>
  <si>
    <r>
      <t>1.5</t>
    </r>
    <r>
      <rPr>
        <sz val="10"/>
        <rFont val="宋体"/>
        <family val="3"/>
        <charset val="134"/>
      </rPr>
      <t>二叶强</t>
    </r>
    <phoneticPr fontId="9" type="noConversion"/>
  </si>
  <si>
    <r>
      <t>3.0</t>
    </r>
    <r>
      <rPr>
        <sz val="10"/>
        <rFont val="宋体"/>
        <family val="3"/>
        <charset val="134"/>
      </rPr>
      <t>二叶强</t>
    </r>
    <phoneticPr fontId="5" type="noConversion"/>
  </si>
  <si>
    <r>
      <t>0.6</t>
    </r>
    <r>
      <rPr>
        <sz val="10"/>
        <rFont val="宋体"/>
        <family val="3"/>
        <charset val="134"/>
      </rPr>
      <t>二叶克</t>
    </r>
    <phoneticPr fontId="5" type="noConversion"/>
  </si>
  <si>
    <r>
      <t>1.5</t>
    </r>
    <r>
      <rPr>
        <sz val="10"/>
        <rFont val="宋体"/>
        <family val="3"/>
        <charset val="134"/>
      </rPr>
      <t>阿洛</t>
    </r>
    <phoneticPr fontId="9" type="noConversion"/>
  </si>
  <si>
    <r>
      <t>2.0</t>
    </r>
    <r>
      <rPr>
        <sz val="10"/>
        <rFont val="宋体"/>
        <family val="3"/>
        <charset val="134"/>
      </rPr>
      <t>阿洛</t>
    </r>
    <phoneticPr fontId="9" type="noConversion"/>
  </si>
  <si>
    <r>
      <t>3.0</t>
    </r>
    <r>
      <rPr>
        <sz val="10"/>
        <rFont val="宋体"/>
        <family val="3"/>
        <charset val="134"/>
      </rPr>
      <t>阿洛</t>
    </r>
    <phoneticPr fontId="9" type="noConversion"/>
  </si>
  <si>
    <r>
      <t>1.0</t>
    </r>
    <r>
      <rPr>
        <sz val="10"/>
        <rFont val="宋体"/>
        <family val="3"/>
        <charset val="134"/>
      </rPr>
      <t>二叶安</t>
    </r>
    <phoneticPr fontId="9" type="noConversion"/>
  </si>
  <si>
    <r>
      <t>2.0</t>
    </r>
    <r>
      <rPr>
        <sz val="10"/>
        <rFont val="宋体"/>
        <family val="3"/>
        <charset val="134"/>
      </rPr>
      <t>二叶安</t>
    </r>
    <phoneticPr fontId="9" type="noConversion"/>
  </si>
  <si>
    <r>
      <t>0.5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10</t>
    </r>
  </si>
  <si>
    <r>
      <t>0.5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20</t>
    </r>
  </si>
  <si>
    <r>
      <t>1.5</t>
    </r>
    <r>
      <rPr>
        <sz val="10"/>
        <rFont val="宋体"/>
        <family val="3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舒巴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</t>
    </r>
    <phoneticPr fontId="9" type="noConversion"/>
  </si>
  <si>
    <r>
      <t>2.25</t>
    </r>
    <r>
      <rPr>
        <sz val="10"/>
        <rFont val="宋体"/>
        <family val="3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他唑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</t>
    </r>
    <phoneticPr fontId="9" type="noConversion"/>
  </si>
  <si>
    <r>
      <t>4.5</t>
    </r>
    <r>
      <rPr>
        <sz val="10"/>
        <rFont val="宋体"/>
        <family val="3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他唑</t>
    </r>
  </si>
  <si>
    <r>
      <t>3.375</t>
    </r>
    <r>
      <rPr>
        <sz val="10"/>
        <rFont val="宋体"/>
        <family val="3"/>
        <charset val="134"/>
      </rPr>
      <t>哌舒西林</t>
    </r>
    <phoneticPr fontId="9" type="noConversion"/>
  </si>
  <si>
    <r>
      <t>1.125</t>
    </r>
    <r>
      <rPr>
        <sz val="10"/>
        <rFont val="宋体"/>
        <family val="3"/>
        <charset val="134"/>
      </rPr>
      <t>哌舒西林</t>
    </r>
    <phoneticPr fontId="9" type="noConversion"/>
  </si>
  <si>
    <r>
      <t>4.5</t>
    </r>
    <r>
      <rPr>
        <sz val="10"/>
        <rFont val="宋体"/>
        <family val="3"/>
        <charset val="134"/>
      </rPr>
      <t>哌舒西林</t>
    </r>
    <phoneticPr fontId="9" type="noConversion"/>
  </si>
  <si>
    <r>
      <t>2.0</t>
    </r>
    <r>
      <rPr>
        <sz val="10"/>
        <rFont val="宋体"/>
        <family val="3"/>
        <charset val="134"/>
      </rPr>
      <t>哌拉</t>
    </r>
    <phoneticPr fontId="9" type="noConversion"/>
  </si>
  <si>
    <r>
      <t>3.0</t>
    </r>
    <r>
      <rPr>
        <sz val="10"/>
        <rFont val="宋体"/>
        <family val="3"/>
        <charset val="134"/>
      </rPr>
      <t>嗪舒</t>
    </r>
    <r>
      <rPr>
        <sz val="10"/>
        <rFont val="Microsoft Sans Serif"/>
        <family val="2"/>
      </rPr>
      <t>10</t>
    </r>
    <phoneticPr fontId="9" type="noConversion"/>
  </si>
  <si>
    <r>
      <t>3.0</t>
    </r>
    <r>
      <rPr>
        <sz val="10"/>
        <rFont val="Microsoft Sans Serif"/>
        <family val="2"/>
        <charset val="134"/>
      </rPr>
      <t>嗪舒</t>
    </r>
    <r>
      <rPr>
        <sz val="10"/>
        <rFont val="Microsoft Sans Serif"/>
        <family val="2"/>
      </rPr>
      <t>1</t>
    </r>
    <phoneticPr fontId="5" type="noConversion"/>
  </si>
  <si>
    <r>
      <t>1.25</t>
    </r>
    <r>
      <rPr>
        <sz val="10"/>
        <rFont val="Microsoft Sans Serif"/>
        <family val="2"/>
        <charset val="134"/>
      </rPr>
      <t>美洛西林钠舒巴坦钠</t>
    </r>
    <phoneticPr fontId="5" type="noConversion"/>
  </si>
  <si>
    <r>
      <t>0.55g</t>
    </r>
    <r>
      <rPr>
        <sz val="10"/>
        <rFont val="宋体"/>
        <family val="3"/>
        <charset val="134"/>
      </rPr>
      <t>注射用替卡西林钠克拉维酸钾</t>
    </r>
    <phoneticPr fontId="5" type="noConversion"/>
  </si>
  <si>
    <r>
      <t>1.1g</t>
    </r>
    <r>
      <rPr>
        <sz val="10"/>
        <rFont val="宋体"/>
        <family val="3"/>
        <charset val="134"/>
      </rPr>
      <t>注射用替卡西林钠克拉维酸钾</t>
    </r>
    <phoneticPr fontId="5" type="noConversion"/>
  </si>
  <si>
    <r>
      <t>2.2g</t>
    </r>
    <r>
      <rPr>
        <sz val="10"/>
        <rFont val="宋体"/>
        <family val="3"/>
        <charset val="134"/>
      </rPr>
      <t>注射用替卡西林钠克拉维酸钾</t>
    </r>
    <phoneticPr fontId="5" type="noConversion"/>
  </si>
  <si>
    <r>
      <rPr>
        <sz val="10"/>
        <rFont val="宋体"/>
        <family val="3"/>
        <charset val="134"/>
      </rPr>
      <t>中试对照产品（青霉素）</t>
    </r>
    <phoneticPr fontId="5" type="noConversion"/>
  </si>
  <si>
    <r>
      <t>1.1g</t>
    </r>
    <r>
      <rPr>
        <sz val="10"/>
        <rFont val="宋体"/>
        <family val="3"/>
        <charset val="134"/>
      </rPr>
      <t>注射用阿莫西林钠克拉维酸钾</t>
    </r>
    <r>
      <rPr>
        <sz val="10"/>
        <rFont val="Microsoft Sans Serif"/>
        <family val="2"/>
      </rPr>
      <t>10:1</t>
    </r>
    <phoneticPr fontId="5" type="noConversion"/>
  </si>
  <si>
    <r>
      <rPr>
        <sz val="10"/>
        <rFont val="宋体"/>
        <family val="3"/>
        <charset val="134"/>
      </rPr>
      <t>成本分摊费用</t>
    </r>
    <phoneticPr fontId="5" type="noConversion"/>
  </si>
  <si>
    <r>
      <rPr>
        <sz val="10"/>
        <rFont val="宋体"/>
        <family val="3"/>
        <charset val="134"/>
      </rPr>
      <t>认证费用</t>
    </r>
    <phoneticPr fontId="5" type="noConversion"/>
  </si>
  <si>
    <r>
      <t>0.625g</t>
    </r>
    <r>
      <rPr>
        <sz val="10"/>
        <rFont val="宋体"/>
        <family val="3"/>
        <charset val="134"/>
      </rPr>
      <t>注射用哌拉西林钠他唑巴坦钠</t>
    </r>
    <phoneticPr fontId="5" type="noConversion"/>
  </si>
  <si>
    <r>
      <t>1.25g</t>
    </r>
    <r>
      <rPr>
        <sz val="10"/>
        <rFont val="宋体"/>
        <family val="3"/>
        <charset val="134"/>
      </rPr>
      <t>注射用哌拉西林钠他唑巴坦钠</t>
    </r>
    <phoneticPr fontId="5" type="noConversion"/>
  </si>
  <si>
    <r>
      <t>2.5g</t>
    </r>
    <r>
      <rPr>
        <sz val="10"/>
        <rFont val="宋体"/>
        <family val="3"/>
        <charset val="134"/>
      </rPr>
      <t>注射用哌拉西林钠他唑巴坦钠</t>
    </r>
    <phoneticPr fontId="5" type="noConversion"/>
  </si>
  <si>
    <r>
      <t>GMP</t>
    </r>
    <r>
      <rPr>
        <sz val="10"/>
        <rFont val="宋体"/>
        <family val="3"/>
        <charset val="134"/>
      </rPr>
      <t>验证相关</t>
    </r>
    <phoneticPr fontId="5" type="noConversion"/>
  </si>
  <si>
    <r>
      <rPr>
        <sz val="10"/>
        <rFont val="宋体"/>
        <family val="3"/>
        <charset val="134"/>
      </rPr>
      <t>停工费用</t>
    </r>
    <phoneticPr fontId="5" type="noConversion"/>
  </si>
  <si>
    <r>
      <t>2015.2</t>
    </r>
    <r>
      <rPr>
        <b/>
        <sz val="10"/>
        <rFont val="宋体"/>
        <family val="3"/>
        <charset val="134"/>
      </rPr>
      <t>青霉素粉针剂车间三项费用分配表</t>
    </r>
    <phoneticPr fontId="9" type="noConversion"/>
  </si>
  <si>
    <r>
      <t>2015.2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</si>
  <si>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2015.2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</si>
  <si>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2015.2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</si>
  <si>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2015.2</t>
    </r>
    <r>
      <rPr>
        <b/>
        <sz val="10"/>
        <rFont val="宋体"/>
        <family val="3"/>
        <charset val="134"/>
      </rPr>
      <t>青霉素粉针剂二期车间三项费用分配表</t>
    </r>
    <phoneticPr fontId="9" type="noConversion"/>
  </si>
  <si>
    <r>
      <t>2015.1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</si>
  <si>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rPr>
        <sz val="10"/>
        <color theme="1"/>
        <rFont val="宋体"/>
        <family val="2"/>
        <charset val="134"/>
      </rPr>
      <t>本月入库品名</t>
    </r>
  </si>
  <si>
    <r>
      <rPr>
        <sz val="10"/>
        <color theme="1"/>
        <rFont val="宋体"/>
        <family val="2"/>
        <charset val="134"/>
      </rPr>
      <t>应摊能源费用</t>
    </r>
    <phoneticPr fontId="2" type="noConversion"/>
  </si>
  <si>
    <r>
      <rPr>
        <sz val="10"/>
        <color theme="1"/>
        <rFont val="宋体"/>
        <family val="2"/>
        <charset val="134"/>
      </rPr>
      <t>应摊工资费用</t>
    </r>
  </si>
  <si>
    <r>
      <rPr>
        <sz val="10"/>
        <color theme="1"/>
        <rFont val="宋体"/>
        <family val="2"/>
        <charset val="134"/>
      </rPr>
      <t>应摊制造费用</t>
    </r>
    <r>
      <rPr>
        <sz val="10"/>
        <color theme="1"/>
        <rFont val="Microsoft Sans Serif"/>
        <family val="2"/>
      </rPr>
      <t xml:space="preserve"> </t>
    </r>
  </si>
  <si>
    <r>
      <rPr>
        <sz val="10"/>
        <color theme="1"/>
        <rFont val="宋体"/>
        <family val="2"/>
        <charset val="134"/>
      </rPr>
      <t>合计分摊</t>
    </r>
  </si>
  <si>
    <r>
      <t>P12</t>
    </r>
    <r>
      <rPr>
        <sz val="10"/>
        <color theme="1"/>
        <rFont val="宋体"/>
        <family val="2"/>
        <charset val="134"/>
      </rPr>
      <t>（加缓冲剂）</t>
    </r>
    <phoneticPr fontId="5" type="noConversion"/>
  </si>
  <si>
    <r>
      <rPr>
        <sz val="10"/>
        <color theme="1"/>
        <rFont val="宋体"/>
        <family val="2"/>
        <charset val="134"/>
      </rPr>
      <t>停工损失</t>
    </r>
    <phoneticPr fontId="5" type="noConversion"/>
  </si>
  <si>
    <r>
      <t>102</t>
    </r>
    <r>
      <rPr>
        <sz val="10"/>
        <color theme="1"/>
        <rFont val="宋体"/>
        <family val="2"/>
        <charset val="134"/>
      </rPr>
      <t>车间转入合计</t>
    </r>
    <phoneticPr fontId="5" type="noConversion"/>
  </si>
  <si>
    <r>
      <t>101</t>
    </r>
    <r>
      <rPr>
        <sz val="10"/>
        <color theme="1"/>
        <rFont val="宋体"/>
        <family val="2"/>
        <charset val="134"/>
      </rPr>
      <t>车间发生合计</t>
    </r>
    <phoneticPr fontId="5" type="noConversion"/>
  </si>
  <si>
    <r>
      <rPr>
        <b/>
        <sz val="10"/>
        <rFont val="宋体"/>
        <family val="3"/>
        <charset val="134"/>
      </rPr>
      <t>总计</t>
    </r>
    <phoneticPr fontId="5" type="noConversion"/>
  </si>
  <si>
    <r>
      <rPr>
        <sz val="10"/>
        <rFont val="宋体"/>
        <family val="3"/>
        <charset val="134"/>
      </rPr>
      <t>全月停产</t>
    </r>
    <phoneticPr fontId="2" type="noConversion"/>
  </si>
  <si>
    <r>
      <t>2015.1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</si>
  <si>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rPr>
        <sz val="10"/>
        <rFont val="宋体"/>
        <family val="3"/>
        <charset val="134"/>
      </rPr>
      <t>呋布西林钠</t>
    </r>
    <phoneticPr fontId="5" type="noConversion"/>
  </si>
  <si>
    <r>
      <rPr>
        <sz val="10"/>
        <rFont val="宋体"/>
        <family val="3"/>
        <charset val="134"/>
      </rPr>
      <t>美洛西林钠</t>
    </r>
    <phoneticPr fontId="5" type="noConversion"/>
  </si>
  <si>
    <r>
      <rPr>
        <sz val="10"/>
        <rFont val="宋体"/>
        <family val="3"/>
        <charset val="134"/>
      </rPr>
      <t>阿洛西林钠</t>
    </r>
    <phoneticPr fontId="5" type="noConversion"/>
  </si>
  <si>
    <r>
      <rPr>
        <sz val="10"/>
        <rFont val="宋体"/>
        <family val="3"/>
        <charset val="134"/>
      </rPr>
      <t>磺苄西林钠</t>
    </r>
    <phoneticPr fontId="5" type="noConversion"/>
  </si>
  <si>
    <r>
      <t>P12</t>
    </r>
    <r>
      <rPr>
        <sz val="10"/>
        <rFont val="宋体"/>
        <family val="3"/>
        <charset val="134"/>
      </rPr>
      <t>（加缓冲剂）</t>
    </r>
  </si>
  <si>
    <r>
      <rPr>
        <sz val="10"/>
        <rFont val="宋体"/>
        <family val="3"/>
        <charset val="134"/>
      </rPr>
      <t>无菌磷酸氢二钠</t>
    </r>
    <phoneticPr fontId="2" type="noConversion"/>
  </si>
  <si>
    <r>
      <rPr>
        <sz val="10"/>
        <rFont val="宋体"/>
        <family val="3"/>
        <charset val="134"/>
      </rPr>
      <t>他唑巴坦钠</t>
    </r>
    <phoneticPr fontId="5" type="noConversion"/>
  </si>
  <si>
    <r>
      <rPr>
        <sz val="10"/>
        <rFont val="宋体"/>
        <family val="3"/>
        <charset val="134"/>
      </rPr>
      <t>产成品分摊合计：</t>
    </r>
    <phoneticPr fontId="5" type="noConversion"/>
  </si>
  <si>
    <r>
      <rPr>
        <sz val="10"/>
        <rFont val="宋体"/>
        <family val="3"/>
        <charset val="134"/>
      </rPr>
      <t>研发小试相关合计：</t>
    </r>
    <phoneticPr fontId="5" type="noConversion"/>
  </si>
  <si>
    <r>
      <rPr>
        <sz val="10"/>
        <rFont val="宋体"/>
        <family val="3"/>
        <charset val="134"/>
      </rPr>
      <t>美洛西林钠</t>
    </r>
    <r>
      <rPr>
        <sz val="10"/>
        <rFont val="Microsoft Sans Serif"/>
        <family val="2"/>
      </rPr>
      <t>45</t>
    </r>
    <r>
      <rPr>
        <sz val="10"/>
        <rFont val="宋体"/>
        <family val="3"/>
        <charset val="134"/>
      </rPr>
      <t>批</t>
    </r>
    <r>
      <rPr>
        <sz val="10"/>
        <rFont val="Microsoft Sans Serif"/>
        <family val="2"/>
      </rPr>
      <t xml:space="preserve"> 48H/</t>
    </r>
    <r>
      <rPr>
        <sz val="10"/>
        <rFont val="宋体"/>
        <family val="3"/>
        <charset val="134"/>
      </rPr>
      <t>批</t>
    </r>
    <r>
      <rPr>
        <sz val="10"/>
        <rFont val="Microsoft Sans Serif"/>
        <family val="2"/>
      </rPr>
      <t xml:space="preserve">  </t>
    </r>
    <r>
      <rPr>
        <sz val="10"/>
        <rFont val="宋体"/>
        <family val="3"/>
        <charset val="134"/>
      </rPr>
      <t>阿洛西林钠</t>
    </r>
    <r>
      <rPr>
        <sz val="10"/>
        <rFont val="Microsoft Sans Serif"/>
        <family val="2"/>
      </rPr>
      <t>4</t>
    </r>
    <r>
      <rPr>
        <sz val="10"/>
        <rFont val="宋体"/>
        <family val="3"/>
        <charset val="134"/>
      </rPr>
      <t>批</t>
    </r>
    <r>
      <rPr>
        <sz val="10"/>
        <rFont val="Microsoft Sans Serif"/>
        <family val="2"/>
      </rPr>
      <t xml:space="preserve"> 48H/</t>
    </r>
    <r>
      <rPr>
        <sz val="10"/>
        <rFont val="宋体"/>
        <family val="3"/>
        <charset val="134"/>
      </rPr>
      <t>批</t>
    </r>
    <r>
      <rPr>
        <sz val="10"/>
        <rFont val="Microsoft Sans Serif"/>
        <family val="2"/>
      </rPr>
      <t xml:space="preserve">   </t>
    </r>
    <r>
      <rPr>
        <sz val="10"/>
        <rFont val="宋体"/>
        <family val="3"/>
        <charset val="134"/>
      </rPr>
      <t>无菌磷酸氢二钠</t>
    </r>
    <r>
      <rPr>
        <sz val="10"/>
        <rFont val="Microsoft Sans Serif"/>
        <family val="2"/>
      </rPr>
      <t>1</t>
    </r>
    <r>
      <rPr>
        <sz val="10"/>
        <rFont val="宋体"/>
        <family val="3"/>
        <charset val="134"/>
      </rPr>
      <t>批</t>
    </r>
    <r>
      <rPr>
        <sz val="10"/>
        <rFont val="Microsoft Sans Serif"/>
        <family val="2"/>
      </rPr>
      <t xml:space="preserve"> 48H/</t>
    </r>
    <r>
      <rPr>
        <sz val="10"/>
        <rFont val="宋体"/>
        <family val="3"/>
        <charset val="134"/>
      </rPr>
      <t>批</t>
    </r>
    <phoneticPr fontId="2" type="noConversion"/>
  </si>
  <si>
    <r>
      <t>2015.1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</si>
  <si>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rPr>
        <sz val="10"/>
        <color theme="1"/>
        <rFont val="宋体"/>
        <family val="2"/>
        <charset val="134"/>
      </rPr>
      <t>应摊能源费用</t>
    </r>
    <phoneticPr fontId="2" type="noConversion"/>
  </si>
  <si>
    <r>
      <rPr>
        <sz val="10"/>
        <color theme="1"/>
        <rFont val="宋体"/>
        <family val="2"/>
        <charset val="134"/>
      </rPr>
      <t>阿洛西林酸</t>
    </r>
    <phoneticPr fontId="5" type="noConversion"/>
  </si>
  <si>
    <r>
      <rPr>
        <sz val="10"/>
        <color theme="1"/>
        <rFont val="宋体"/>
        <family val="2"/>
        <charset val="134"/>
      </rPr>
      <t>磺苄粗品</t>
    </r>
    <r>
      <rPr>
        <sz val="10"/>
        <color theme="1"/>
        <rFont val="Microsoft Sans Serif"/>
        <family val="2"/>
      </rPr>
      <t>1</t>
    </r>
    <phoneticPr fontId="5" type="noConversion"/>
  </si>
  <si>
    <r>
      <rPr>
        <sz val="10"/>
        <color theme="1"/>
        <rFont val="宋体"/>
        <family val="2"/>
        <charset val="134"/>
      </rPr>
      <t>磺苄粗品</t>
    </r>
    <r>
      <rPr>
        <sz val="10"/>
        <color theme="1"/>
        <rFont val="Microsoft Sans Serif"/>
        <family val="2"/>
      </rPr>
      <t>2</t>
    </r>
    <phoneticPr fontId="5" type="noConversion"/>
  </si>
  <si>
    <r>
      <rPr>
        <sz val="10"/>
        <color theme="1"/>
        <rFont val="宋体"/>
        <family val="2"/>
        <charset val="134"/>
      </rPr>
      <t>呋布水溶液</t>
    </r>
    <phoneticPr fontId="5" type="noConversion"/>
  </si>
  <si>
    <r>
      <rPr>
        <sz val="10"/>
        <color theme="1"/>
        <rFont val="宋体"/>
        <family val="2"/>
        <charset val="134"/>
      </rPr>
      <t>回收醋酸丁酯</t>
    </r>
    <phoneticPr fontId="5" type="noConversion"/>
  </si>
  <si>
    <r>
      <rPr>
        <sz val="10"/>
        <color theme="1"/>
        <rFont val="宋体"/>
        <family val="2"/>
        <charset val="134"/>
      </rPr>
      <t>回收正丁醇</t>
    </r>
    <phoneticPr fontId="5" type="noConversion"/>
  </si>
  <si>
    <r>
      <rPr>
        <sz val="10"/>
        <color theme="1"/>
        <rFont val="宋体"/>
        <family val="2"/>
        <charset val="134"/>
      </rPr>
      <t>回收醋酸乙酯</t>
    </r>
    <phoneticPr fontId="5" type="noConversion"/>
  </si>
  <si>
    <r>
      <rPr>
        <sz val="10"/>
        <color theme="1"/>
        <rFont val="宋体"/>
        <family val="2"/>
        <charset val="134"/>
      </rPr>
      <t>回收甲苯</t>
    </r>
    <phoneticPr fontId="5" type="noConversion"/>
  </si>
  <si>
    <r>
      <rPr>
        <sz val="10"/>
        <color theme="1"/>
        <rFont val="宋体"/>
        <family val="2"/>
        <charset val="134"/>
      </rPr>
      <t>回收丙酮</t>
    </r>
    <phoneticPr fontId="5" type="noConversion"/>
  </si>
  <si>
    <r>
      <rPr>
        <sz val="10"/>
        <color theme="1"/>
        <rFont val="宋体"/>
        <family val="2"/>
        <charset val="134"/>
      </rPr>
      <t>回收乙醇</t>
    </r>
    <phoneticPr fontId="5" type="noConversion"/>
  </si>
  <si>
    <r>
      <rPr>
        <sz val="10"/>
        <color theme="1"/>
        <rFont val="宋体"/>
        <family val="2"/>
        <charset val="134"/>
      </rPr>
      <t>停工</t>
    </r>
    <phoneticPr fontId="2" type="noConversion"/>
  </si>
  <si>
    <r>
      <t>1-3</t>
    </r>
    <r>
      <rPr>
        <b/>
        <sz val="10"/>
        <rFont val="宋体"/>
        <family val="3"/>
        <charset val="134"/>
      </rPr>
      <t>放假，</t>
    </r>
    <r>
      <rPr>
        <b/>
        <sz val="10"/>
        <rFont val="Microsoft Sans Serif"/>
        <family val="2"/>
      </rPr>
      <t>4-10</t>
    </r>
    <r>
      <rPr>
        <b/>
        <sz val="10"/>
        <rFont val="宋体"/>
        <family val="3"/>
        <charset val="134"/>
      </rPr>
      <t>在回收溶媒与配制阿洛西林酸，</t>
    </r>
    <r>
      <rPr>
        <b/>
        <sz val="10"/>
        <rFont val="Microsoft Sans Serif"/>
        <family val="2"/>
      </rPr>
      <t>2</t>
    </r>
    <r>
      <rPr>
        <b/>
        <sz val="10"/>
        <rFont val="宋体"/>
        <family val="3"/>
        <charset val="134"/>
      </rPr>
      <t>天与</t>
    </r>
    <r>
      <rPr>
        <b/>
        <sz val="10"/>
        <rFont val="Microsoft Sans Serif"/>
        <family val="2"/>
      </rPr>
      <t>5</t>
    </r>
    <r>
      <rPr>
        <b/>
        <sz val="10"/>
        <rFont val="宋体"/>
        <family val="3"/>
        <charset val="134"/>
      </rPr>
      <t>天，之后停产，人员去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配合研发</t>
    </r>
    <phoneticPr fontId="2" type="noConversion"/>
  </si>
  <si>
    <r>
      <rPr>
        <b/>
        <sz val="10"/>
        <rFont val="宋体"/>
        <family val="3"/>
        <charset val="134"/>
      </rPr>
      <t>分配规则：能源全入产成品；</t>
    </r>
    <phoneticPr fontId="2" type="noConversion"/>
  </si>
  <si>
    <r>
      <t xml:space="preserve">         </t>
    </r>
    <r>
      <rPr>
        <b/>
        <sz val="10"/>
        <rFont val="宋体"/>
        <family val="3"/>
        <charset val="134"/>
      </rPr>
      <t>工资</t>
    </r>
    <r>
      <rPr>
        <b/>
        <sz val="10"/>
        <rFont val="Microsoft Sans Serif"/>
        <family val="2"/>
      </rPr>
      <t>7/31</t>
    </r>
    <r>
      <rPr>
        <b/>
        <sz val="10"/>
        <rFont val="宋体"/>
        <family val="3"/>
        <charset val="134"/>
      </rPr>
      <t>入产成品，</t>
    </r>
    <r>
      <rPr>
        <b/>
        <sz val="10"/>
        <rFont val="Microsoft Sans Serif"/>
        <family val="2"/>
      </rPr>
      <t>21/31</t>
    </r>
    <r>
      <rPr>
        <b/>
        <sz val="10"/>
        <rFont val="宋体"/>
        <family val="3"/>
        <charset val="134"/>
      </rPr>
      <t>入研发</t>
    </r>
    <r>
      <rPr>
        <b/>
        <sz val="10"/>
        <rFont val="Microsoft Sans Serif"/>
        <family val="2"/>
      </rPr>
      <t>,3/31</t>
    </r>
    <r>
      <rPr>
        <b/>
        <sz val="10"/>
        <rFont val="宋体"/>
        <family val="3"/>
        <charset val="134"/>
      </rPr>
      <t>入停工损失；</t>
    </r>
    <phoneticPr fontId="2" type="noConversion"/>
  </si>
  <si>
    <r>
      <t xml:space="preserve">         </t>
    </r>
    <r>
      <rPr>
        <b/>
        <sz val="10"/>
        <color theme="1"/>
        <rFont val="宋体"/>
        <family val="3"/>
        <charset val="134"/>
      </rPr>
      <t>制造</t>
    </r>
    <r>
      <rPr>
        <b/>
        <sz val="10"/>
        <color theme="1"/>
        <rFont val="Microsoft Sans Serif"/>
        <family val="2"/>
      </rPr>
      <t>7/31</t>
    </r>
    <r>
      <rPr>
        <b/>
        <sz val="10"/>
        <color theme="1"/>
        <rFont val="宋体"/>
        <family val="3"/>
        <charset val="134"/>
      </rPr>
      <t>入产成品，</t>
    </r>
    <r>
      <rPr>
        <b/>
        <sz val="10"/>
        <color theme="1"/>
        <rFont val="Microsoft Sans Serif"/>
        <family val="2"/>
      </rPr>
      <t>24/31</t>
    </r>
    <r>
      <rPr>
        <b/>
        <sz val="10"/>
        <color theme="1"/>
        <rFont val="宋体"/>
        <family val="3"/>
        <charset val="134"/>
      </rPr>
      <t>入停工损失</t>
    </r>
    <phoneticPr fontId="2" type="noConversion"/>
  </si>
  <si>
    <r>
      <t>2015.1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</si>
  <si>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rPr>
        <b/>
        <sz val="10"/>
        <rFont val="宋体"/>
        <family val="3"/>
        <charset val="134"/>
      </rPr>
      <t>能源与制造按冻干工时计算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工资按生产工时计算</t>
    </r>
    <phoneticPr fontId="2" type="noConversion"/>
  </si>
  <si>
    <r>
      <t>2015.2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</si>
  <si>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</si>
  <si>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</si>
  <si>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</si>
  <si>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rPr>
        <sz val="10"/>
        <rFont val="宋体"/>
        <family val="3"/>
        <charset val="134"/>
      </rPr>
      <t>扎莱普隆</t>
    </r>
    <phoneticPr fontId="2" type="noConversion"/>
  </si>
  <si>
    <r>
      <rPr>
        <sz val="10"/>
        <rFont val="宋体"/>
        <family val="3"/>
        <charset val="134"/>
      </rPr>
      <t>阿德福韦酯</t>
    </r>
    <phoneticPr fontId="2" type="noConversion"/>
  </si>
  <si>
    <r>
      <rPr>
        <sz val="10"/>
        <color theme="1"/>
        <rFont val="宋体"/>
        <family val="3"/>
        <charset val="134"/>
      </rPr>
      <t>依诺肝素钠</t>
    </r>
    <phoneticPr fontId="2" type="noConversion"/>
  </si>
  <si>
    <t>204胶囊车间</t>
    <phoneticPr fontId="2" type="noConversion"/>
  </si>
  <si>
    <t>停产</t>
    <phoneticPr fontId="5" type="noConversion"/>
  </si>
  <si>
    <t>研发相关</t>
    <phoneticPr fontId="2" type="noConversion"/>
  </si>
  <si>
    <t>认证准备</t>
    <phoneticPr fontId="2" type="noConversion"/>
  </si>
  <si>
    <t>停产</t>
    <phoneticPr fontId="2" type="noConversion"/>
  </si>
  <si>
    <t>考虑车间价格趋于稳定，核算春节期间三项费用停产损失，各占比例为10/28</t>
    <phoneticPr fontId="2" type="noConversion"/>
  </si>
  <si>
    <t>按生产情况进行比例分摊</t>
    <phoneticPr fontId="2" type="noConversion"/>
  </si>
  <si>
    <r>
      <t>1-6</t>
    </r>
    <r>
      <rPr>
        <b/>
        <sz val="10"/>
        <rFont val="宋体"/>
        <family val="3"/>
        <charset val="134"/>
      </rPr>
      <t>认证准备</t>
    </r>
    <r>
      <rPr>
        <b/>
        <sz val="10"/>
        <rFont val="Microsoft Sans Serif"/>
        <family val="2"/>
      </rPr>
      <t xml:space="preserve"> 7-8</t>
    </r>
    <r>
      <rPr>
        <b/>
        <sz val="10"/>
        <rFont val="宋体"/>
        <family val="3"/>
        <charset val="134"/>
      </rPr>
      <t>扎莱普隆</t>
    </r>
    <r>
      <rPr>
        <b/>
        <sz val="10"/>
        <rFont val="Microsoft Sans Serif"/>
        <family val="2"/>
      </rPr>
      <t xml:space="preserve"> 9</t>
    </r>
    <r>
      <rPr>
        <b/>
        <sz val="10"/>
        <rFont val="宋体"/>
        <family val="3"/>
        <charset val="134"/>
      </rPr>
      <t>阿德福韦酯</t>
    </r>
    <r>
      <rPr>
        <b/>
        <sz val="10"/>
        <rFont val="Microsoft Sans Serif"/>
        <family val="2"/>
      </rPr>
      <t xml:space="preserve"> 10-14</t>
    </r>
    <r>
      <rPr>
        <b/>
        <sz val="10"/>
        <rFont val="宋体"/>
        <family val="3"/>
        <charset val="134"/>
      </rPr>
      <t>配合研发</t>
    </r>
    <r>
      <rPr>
        <b/>
        <sz val="10"/>
        <rFont val="Microsoft Sans Serif"/>
        <family val="2"/>
      </rPr>
      <t xml:space="preserve"> 15-25</t>
    </r>
    <r>
      <rPr>
        <b/>
        <sz val="10"/>
        <rFont val="宋体"/>
        <family val="3"/>
        <charset val="134"/>
      </rPr>
      <t>春节放假</t>
    </r>
    <r>
      <rPr>
        <b/>
        <sz val="10"/>
        <rFont val="Microsoft Sans Serif"/>
        <family val="2"/>
      </rPr>
      <t xml:space="preserve"> 26-28</t>
    </r>
    <r>
      <rPr>
        <b/>
        <sz val="10"/>
        <rFont val="宋体"/>
        <family val="3"/>
        <charset val="134"/>
      </rPr>
      <t>依诺肝素钠</t>
    </r>
    <phoneticPr fontId="2" type="noConversion"/>
  </si>
  <si>
    <r>
      <rPr>
        <b/>
        <sz val="10"/>
        <rFont val="宋体"/>
        <family val="3"/>
        <charset val="134"/>
      </rPr>
      <t>溶媒回收乙醇</t>
    </r>
    <r>
      <rPr>
        <b/>
        <sz val="10"/>
        <rFont val="Microsoft Sans Serif"/>
        <family val="2"/>
      </rPr>
      <t>2</t>
    </r>
    <r>
      <rPr>
        <b/>
        <sz val="10"/>
        <rFont val="宋体"/>
        <family val="3"/>
        <charset val="134"/>
      </rPr>
      <t>天</t>
    </r>
    <r>
      <rPr>
        <b/>
        <sz val="10"/>
        <rFont val="Microsoft Sans Serif"/>
        <family val="2"/>
      </rPr>
      <t xml:space="preserve">  </t>
    </r>
    <r>
      <rPr>
        <b/>
        <sz val="10"/>
        <rFont val="宋体"/>
        <family val="3"/>
        <charset val="134"/>
      </rPr>
      <t>其余时间停产</t>
    </r>
    <r>
      <rPr>
        <b/>
        <sz val="10"/>
        <rFont val="Microsoft Sans Serif"/>
        <family val="2"/>
      </rPr>
      <t xml:space="preserve">  </t>
    </r>
    <r>
      <rPr>
        <b/>
        <sz val="10"/>
        <rFont val="宋体"/>
        <family val="3"/>
        <charset val="134"/>
      </rPr>
      <t>人员配合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依诺肝素钠项目组</t>
    </r>
    <r>
      <rPr>
        <b/>
        <sz val="10"/>
        <rFont val="Microsoft Sans Serif"/>
        <family val="2"/>
      </rPr>
      <t>RD03</t>
    </r>
    <phoneticPr fontId="2" type="noConversion"/>
  </si>
  <si>
    <r>
      <rPr>
        <b/>
        <sz val="10"/>
        <rFont val="宋体"/>
        <family val="3"/>
        <charset val="134"/>
      </rPr>
      <t>溶媒回收</t>
    </r>
    <r>
      <rPr>
        <b/>
        <sz val="10"/>
        <rFont val="Microsoft Sans Serif"/>
        <family val="2"/>
      </rPr>
      <t>28/28</t>
    </r>
    <r>
      <rPr>
        <b/>
        <sz val="10"/>
        <rFont val="宋体"/>
        <family val="3"/>
        <charset val="134"/>
      </rPr>
      <t>能源</t>
    </r>
    <r>
      <rPr>
        <b/>
        <sz val="10"/>
        <rFont val="Microsoft Sans Serif"/>
        <family val="2"/>
      </rPr>
      <t xml:space="preserve"> 2/28</t>
    </r>
    <r>
      <rPr>
        <b/>
        <sz val="10"/>
        <rFont val="宋体"/>
        <family val="3"/>
        <charset val="134"/>
      </rPr>
      <t>工资</t>
    </r>
    <r>
      <rPr>
        <b/>
        <sz val="10"/>
        <rFont val="Microsoft Sans Serif"/>
        <family val="2"/>
      </rPr>
      <t xml:space="preserve"> 2/28</t>
    </r>
    <r>
      <rPr>
        <b/>
        <sz val="10"/>
        <rFont val="宋体"/>
        <family val="3"/>
        <charset val="134"/>
      </rPr>
      <t>制造</t>
    </r>
    <phoneticPr fontId="2" type="noConversion"/>
  </si>
  <si>
    <r>
      <rPr>
        <b/>
        <sz val="10"/>
        <rFont val="宋体"/>
        <family val="3"/>
        <charset val="134"/>
      </rPr>
      <t>配合研发</t>
    </r>
    <r>
      <rPr>
        <b/>
        <sz val="10"/>
        <rFont val="Microsoft Sans Serif"/>
        <family val="2"/>
      </rPr>
      <t xml:space="preserve"> 26/28</t>
    </r>
    <r>
      <rPr>
        <b/>
        <sz val="10"/>
        <rFont val="宋体"/>
        <family val="3"/>
        <charset val="134"/>
      </rPr>
      <t>工资</t>
    </r>
    <phoneticPr fontId="2" type="noConversion"/>
  </si>
  <si>
    <r>
      <rPr>
        <b/>
        <sz val="10"/>
        <color theme="1"/>
        <rFont val="宋体"/>
        <family val="3"/>
        <charset val="134"/>
      </rPr>
      <t>停产</t>
    </r>
    <r>
      <rPr>
        <b/>
        <sz val="10"/>
        <color theme="1"/>
        <rFont val="Microsoft Sans Serif"/>
        <family val="2"/>
      </rPr>
      <t>26/28</t>
    </r>
    <r>
      <rPr>
        <b/>
        <sz val="10"/>
        <color theme="1"/>
        <rFont val="宋体"/>
        <family val="3"/>
        <charset val="134"/>
      </rPr>
      <t>制造费用</t>
    </r>
    <phoneticPr fontId="2" type="noConversion"/>
  </si>
  <si>
    <t>103合成车间、溶媒回收车间</t>
    <phoneticPr fontId="2" type="noConversion"/>
  </si>
  <si>
    <r>
      <t>1-14</t>
    </r>
    <r>
      <rPr>
        <b/>
        <sz val="10"/>
        <rFont val="宋体"/>
        <family val="3"/>
        <charset val="134"/>
      </rPr>
      <t>生产美洛、阿洛</t>
    </r>
    <r>
      <rPr>
        <b/>
        <sz val="10"/>
        <rFont val="Microsoft Sans Serif"/>
        <family val="2"/>
      </rPr>
      <t xml:space="preserve">  15-22</t>
    </r>
    <r>
      <rPr>
        <b/>
        <sz val="10"/>
        <rFont val="宋体"/>
        <family val="3"/>
        <charset val="134"/>
      </rPr>
      <t>春节放假</t>
    </r>
    <r>
      <rPr>
        <b/>
        <sz val="10"/>
        <rFont val="Microsoft Sans Serif"/>
        <family val="2"/>
      </rPr>
      <t xml:space="preserve">  23-26</t>
    </r>
    <r>
      <rPr>
        <b/>
        <sz val="10"/>
        <rFont val="宋体"/>
        <family val="3"/>
        <charset val="134"/>
      </rPr>
      <t>消毒准备</t>
    </r>
    <r>
      <rPr>
        <b/>
        <sz val="10"/>
        <rFont val="Microsoft Sans Serif"/>
        <family val="2"/>
      </rPr>
      <t xml:space="preserve">  27-28</t>
    </r>
    <r>
      <rPr>
        <b/>
        <sz val="10"/>
        <rFont val="宋体"/>
        <family val="3"/>
        <charset val="134"/>
      </rPr>
      <t>混粉</t>
    </r>
    <r>
      <rPr>
        <b/>
        <sz val="10"/>
        <rFont val="Microsoft Sans Serif"/>
        <family val="2"/>
      </rPr>
      <t>P12</t>
    </r>
    <r>
      <rPr>
        <b/>
        <sz val="10"/>
        <rFont val="宋体"/>
        <family val="3"/>
        <charset val="134"/>
      </rPr>
      <t>缓冲剂</t>
    </r>
    <phoneticPr fontId="2" type="noConversion"/>
  </si>
  <si>
    <r>
      <rPr>
        <b/>
        <sz val="10"/>
        <rFont val="宋体"/>
        <family val="3"/>
        <charset val="134"/>
      </rPr>
      <t>美洛西林钠</t>
    </r>
    <r>
      <rPr>
        <b/>
        <sz val="10"/>
        <rFont val="Microsoft Sans Serif"/>
        <family val="2"/>
      </rPr>
      <t>14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48H/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阿洛西林钠</t>
    </r>
    <r>
      <rPr>
        <b/>
        <sz val="10"/>
        <rFont val="Microsoft Sans Serif"/>
        <family val="2"/>
      </rPr>
      <t>10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48H/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P12</t>
    </r>
    <r>
      <rPr>
        <b/>
        <sz val="10"/>
        <rFont val="宋体"/>
        <family val="3"/>
        <charset val="134"/>
      </rPr>
      <t>缓冲剂</t>
    </r>
    <r>
      <rPr>
        <b/>
        <sz val="10"/>
        <rFont val="Microsoft Sans Serif"/>
        <family val="2"/>
      </rPr>
      <t>12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2H/</t>
    </r>
    <r>
      <rPr>
        <b/>
        <sz val="10"/>
        <rFont val="宋体"/>
        <family val="3"/>
        <charset val="134"/>
      </rPr>
      <t>批</t>
    </r>
    <phoneticPr fontId="2" type="noConversion"/>
  </si>
  <si>
    <r>
      <t>15-21</t>
    </r>
    <r>
      <rPr>
        <b/>
        <sz val="10"/>
        <rFont val="宋体"/>
        <family val="3"/>
        <charset val="134"/>
      </rPr>
      <t>春节放假</t>
    </r>
    <phoneticPr fontId="2" type="noConversion"/>
  </si>
  <si>
    <r>
      <t>1.0</t>
    </r>
    <r>
      <rPr>
        <sz val="10"/>
        <rFont val="宋体"/>
        <family val="3"/>
        <charset val="134"/>
      </rPr>
      <t>二叶灵</t>
    </r>
    <r>
      <rPr>
        <sz val="10"/>
        <rFont val="Microsoft Sans Serif"/>
        <family val="2"/>
      </rPr>
      <t>1   500</t>
    </r>
    <phoneticPr fontId="9" type="noConversion"/>
  </si>
  <si>
    <r>
      <t>1.0</t>
    </r>
    <r>
      <rPr>
        <sz val="10"/>
        <rFont val="宋体"/>
        <family val="3"/>
        <charset val="134"/>
      </rPr>
      <t>二叶灵</t>
    </r>
    <r>
      <rPr>
        <sz val="10"/>
        <rFont val="Microsoft Sans Serif"/>
        <family val="2"/>
      </rPr>
      <t>1   400</t>
    </r>
    <phoneticPr fontId="2" type="noConversion"/>
  </si>
  <si>
    <r>
      <rPr>
        <sz val="10"/>
        <rFont val="宋体"/>
        <family val="3"/>
        <charset val="134"/>
      </rPr>
      <t>全月停产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车间自有费用核算停工损失</t>
    </r>
    <r>
      <rPr>
        <sz val="10"/>
        <rFont val="Microsoft Sans Serif"/>
        <family val="2"/>
      </rPr>
      <t xml:space="preserve"> 102</t>
    </r>
    <r>
      <rPr>
        <sz val="10"/>
        <rFont val="宋体"/>
        <family val="3"/>
        <charset val="134"/>
      </rPr>
      <t>计算后的三项经费划入产成品</t>
    </r>
    <phoneticPr fontId="2" type="noConversion"/>
  </si>
  <si>
    <t>202头孢粉针车间</t>
    <phoneticPr fontId="2" type="noConversion"/>
  </si>
  <si>
    <r>
      <t>15-20</t>
    </r>
    <r>
      <rPr>
        <b/>
        <sz val="10"/>
        <rFont val="宋体"/>
        <family val="3"/>
        <charset val="134"/>
      </rPr>
      <t>春节放假</t>
    </r>
    <phoneticPr fontId="2" type="noConversion"/>
  </si>
  <si>
    <t>停工</t>
    <phoneticPr fontId="2" type="noConversion"/>
  </si>
  <si>
    <r>
      <t>1.0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phoneticPr fontId="2" type="noConversion"/>
  </si>
  <si>
    <r>
      <t>1.5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phoneticPr fontId="2" type="noConversion"/>
  </si>
  <si>
    <r>
      <t>2.0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phoneticPr fontId="2" type="noConversion"/>
  </si>
  <si>
    <r>
      <rPr>
        <b/>
        <sz val="10"/>
        <rFont val="宋体"/>
        <family val="3"/>
        <charset val="134"/>
      </rPr>
      <t>生产周期</t>
    </r>
    <r>
      <rPr>
        <b/>
        <sz val="10"/>
        <rFont val="Microsoft Sans Serif"/>
        <family val="2"/>
      </rPr>
      <t>21</t>
    </r>
    <r>
      <rPr>
        <b/>
        <sz val="10"/>
        <rFont val="宋体"/>
        <family val="3"/>
        <charset val="134"/>
      </rPr>
      <t>天，核算其余三项费用停产损失，各占比例</t>
    </r>
    <r>
      <rPr>
        <b/>
        <sz val="10"/>
        <rFont val="Microsoft Sans Serif"/>
        <family val="2"/>
      </rPr>
      <t>7/28</t>
    </r>
    <phoneticPr fontId="2" type="noConversion"/>
  </si>
  <si>
    <r>
      <t>1.0g</t>
    </r>
    <r>
      <rPr>
        <sz val="10"/>
        <rFont val="宋体"/>
        <family val="3"/>
        <charset val="134"/>
      </rPr>
      <t>左卡尼汀</t>
    </r>
    <phoneticPr fontId="2" type="noConversion"/>
  </si>
  <si>
    <t>203冻干粉针车间</t>
    <phoneticPr fontId="2" type="noConversion"/>
  </si>
  <si>
    <r>
      <t>2015.3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</si>
  <si>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2015.3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</si>
  <si>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2015.3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</si>
  <si>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2015.3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</si>
  <si>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2015.3</t>
    </r>
    <r>
      <rPr>
        <b/>
        <sz val="10"/>
        <rFont val="宋体"/>
        <family val="3"/>
        <charset val="134"/>
      </rPr>
      <t>霉素粉针剂车间三项费用分配表</t>
    </r>
    <phoneticPr fontId="9" type="noConversion"/>
  </si>
  <si>
    <r>
      <t>2015.3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</si>
  <si>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2015.3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</si>
  <si>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2015.3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</si>
  <si>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2015.3</t>
    </r>
    <r>
      <rPr>
        <b/>
        <sz val="10"/>
        <rFont val="宋体"/>
        <family val="3"/>
        <charset val="134"/>
      </rPr>
      <t>青霉素粉针剂二期车间三项费用分配表</t>
    </r>
    <phoneticPr fontId="9" type="noConversion"/>
  </si>
  <si>
    <t>辅助费用分配                                      2015.03</t>
    <phoneticPr fontId="5" type="noConversion"/>
  </si>
  <si>
    <t xml:space="preserve">阿洛西林钠24批 48H/批   美洛西林钠16批 48H/批  苯唑混粉12批 2H/批 </t>
    <phoneticPr fontId="2" type="noConversion"/>
  </si>
  <si>
    <t>205冻干粉针(肿瘤)车间</t>
    <phoneticPr fontId="2" type="noConversion"/>
  </si>
  <si>
    <r>
      <rPr>
        <b/>
        <sz val="12"/>
        <rFont val="宋体"/>
        <family val="3"/>
        <charset val="134"/>
      </rPr>
      <t>开利机组冷水机组</t>
    </r>
    <phoneticPr fontId="9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</si>
  <si>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2015.01</t>
    </r>
    <phoneticPr fontId="9" type="noConversion"/>
  </si>
  <si>
    <r>
      <rPr>
        <b/>
        <sz val="12"/>
        <rFont val="宋体"/>
        <family val="3"/>
        <charset val="134"/>
      </rPr>
      <t>质量保证部</t>
    </r>
    <r>
      <rPr>
        <b/>
        <sz val="12"/>
        <rFont val="Times New Roman"/>
        <family val="1"/>
      </rPr>
      <t>(</t>
    </r>
    <r>
      <rPr>
        <b/>
        <sz val="12"/>
        <rFont val="宋体"/>
        <family val="3"/>
        <charset val="134"/>
      </rPr>
      <t>质检与动物房</t>
    </r>
    <r>
      <rPr>
        <b/>
        <sz val="12"/>
        <rFont val="Times New Roman"/>
        <family val="1"/>
      </rPr>
      <t>)</t>
    </r>
    <phoneticPr fontId="2" type="noConversion"/>
  </si>
  <si>
    <r>
      <rPr>
        <b/>
        <sz val="12"/>
        <rFont val="宋体"/>
        <family val="3"/>
        <charset val="134"/>
      </rPr>
      <t>中心仓库</t>
    </r>
    <phoneticPr fontId="9" type="noConversion"/>
  </si>
  <si>
    <r>
      <rPr>
        <b/>
        <sz val="12"/>
        <rFont val="宋体"/>
        <family val="3"/>
        <charset val="134"/>
      </rPr>
      <t>生活后勤</t>
    </r>
    <r>
      <rPr>
        <b/>
        <sz val="12"/>
        <rFont val="Times New Roman"/>
        <family val="1"/>
      </rPr>
      <t>(</t>
    </r>
    <r>
      <rPr>
        <b/>
        <sz val="12"/>
        <rFont val="宋体"/>
        <family val="3"/>
        <charset val="134"/>
      </rPr>
      <t>食堂与宿舍</t>
    </r>
    <r>
      <rPr>
        <b/>
        <sz val="12"/>
        <rFont val="Times New Roman"/>
        <family val="1"/>
      </rPr>
      <t>)</t>
    </r>
    <phoneticPr fontId="9" type="noConversion"/>
  </si>
  <si>
    <r>
      <rPr>
        <b/>
        <sz val="12"/>
        <rFont val="宋体"/>
        <family val="3"/>
        <charset val="134"/>
      </rPr>
      <t>备注一：分配率数据来源</t>
    </r>
    <r>
      <rPr>
        <b/>
        <sz val="12"/>
        <rFont val="Times New Roman"/>
        <family val="1"/>
      </rPr>
      <t>--</t>
    </r>
    <r>
      <rPr>
        <b/>
        <sz val="12"/>
        <rFont val="宋体"/>
        <family val="3"/>
        <charset val="134"/>
      </rPr>
      <t>综合管理部（能源分配计算表）本月为暂估数据</t>
    </r>
    <phoneticPr fontId="9" type="noConversion"/>
  </si>
  <si>
    <r>
      <rPr>
        <b/>
        <sz val="12"/>
        <rFont val="宋体"/>
        <family val="3"/>
        <charset val="134"/>
      </rPr>
      <t>备注二：合计金额数据来源</t>
    </r>
    <r>
      <rPr>
        <b/>
        <sz val="12"/>
        <rFont val="Times New Roman"/>
        <family val="1"/>
      </rPr>
      <t>--</t>
    </r>
    <r>
      <rPr>
        <b/>
        <sz val="12"/>
        <rFont val="宋体"/>
        <family val="3"/>
        <charset val="134"/>
      </rPr>
      <t>用友财务软件</t>
    </r>
    <r>
      <rPr>
        <b/>
        <sz val="12"/>
        <rFont val="Times New Roman"/>
        <family val="1"/>
      </rPr>
      <t>--</t>
    </r>
    <r>
      <rPr>
        <b/>
        <sz val="12"/>
        <rFont val="宋体"/>
        <family val="3"/>
        <charset val="134"/>
      </rPr>
      <t>部门总账</t>
    </r>
    <r>
      <rPr>
        <b/>
        <sz val="12"/>
        <rFont val="Times New Roman"/>
        <family val="1"/>
      </rPr>
      <t>--</t>
    </r>
    <r>
      <rPr>
        <b/>
        <sz val="12"/>
        <rFont val="宋体"/>
        <family val="3"/>
        <charset val="134"/>
      </rPr>
      <t>科目：生产成本</t>
    </r>
    <r>
      <rPr>
        <b/>
        <sz val="12"/>
        <rFont val="Times New Roman"/>
        <family val="1"/>
      </rPr>
      <t>/</t>
    </r>
    <r>
      <rPr>
        <b/>
        <sz val="12"/>
        <rFont val="宋体"/>
        <family val="3"/>
        <charset val="134"/>
      </rPr>
      <t>辅助生产成本（</t>
    </r>
    <r>
      <rPr>
        <b/>
        <sz val="12"/>
        <rFont val="Times New Roman"/>
        <family val="1"/>
      </rPr>
      <t>410102</t>
    </r>
    <r>
      <rPr>
        <b/>
        <sz val="12"/>
        <rFont val="宋体"/>
        <family val="3"/>
        <charset val="134"/>
      </rPr>
      <t>）</t>
    </r>
    <phoneticPr fontId="9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</si>
  <si>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2015.03</t>
    </r>
    <phoneticPr fontId="9" type="noConversion"/>
  </si>
  <si>
    <r>
      <rPr>
        <b/>
        <sz val="12"/>
        <rFont val="宋体"/>
        <family val="3"/>
        <charset val="134"/>
      </rPr>
      <t>开利机组冷水机组</t>
    </r>
    <phoneticPr fontId="9" type="noConversion"/>
  </si>
  <si>
    <r>
      <t>101</t>
    </r>
    <r>
      <rPr>
        <b/>
        <sz val="11"/>
        <color theme="1"/>
        <rFont val="宋体"/>
        <family val="3"/>
        <charset val="134"/>
      </rPr>
      <t>苯唑西林钠车间</t>
    </r>
    <phoneticPr fontId="2" type="noConversion"/>
  </si>
  <si>
    <r>
      <t>102</t>
    </r>
    <r>
      <rPr>
        <b/>
        <sz val="11"/>
        <color theme="1"/>
        <rFont val="宋体"/>
        <family val="3"/>
        <charset val="134"/>
      </rPr>
      <t>冻干原料药车间</t>
    </r>
    <phoneticPr fontId="2" type="noConversion"/>
  </si>
  <si>
    <r>
      <t>103</t>
    </r>
    <r>
      <rPr>
        <b/>
        <sz val="11"/>
        <color theme="1"/>
        <rFont val="宋体"/>
        <family val="3"/>
        <charset val="134"/>
      </rPr>
      <t>合成车间、溶媒回收车间</t>
    </r>
    <phoneticPr fontId="2" type="noConversion"/>
  </si>
  <si>
    <r>
      <t>104</t>
    </r>
    <r>
      <rPr>
        <b/>
        <sz val="11"/>
        <color theme="1"/>
        <rFont val="宋体"/>
        <family val="3"/>
        <charset val="134"/>
      </rPr>
      <t>普通原料药车间</t>
    </r>
    <phoneticPr fontId="2" type="noConversion"/>
  </si>
  <si>
    <r>
      <t>201</t>
    </r>
    <r>
      <rPr>
        <b/>
        <sz val="11"/>
        <color theme="1"/>
        <rFont val="宋体"/>
        <family val="3"/>
        <charset val="134"/>
      </rPr>
      <t>青霉素粉针车间</t>
    </r>
    <phoneticPr fontId="2" type="noConversion"/>
  </si>
  <si>
    <r>
      <t>202</t>
    </r>
    <r>
      <rPr>
        <b/>
        <sz val="11"/>
        <color theme="1"/>
        <rFont val="宋体"/>
        <family val="3"/>
        <charset val="134"/>
      </rPr>
      <t>头孢粉针车间</t>
    </r>
    <phoneticPr fontId="2" type="noConversion"/>
  </si>
  <si>
    <r>
      <t>203</t>
    </r>
    <r>
      <rPr>
        <b/>
        <sz val="11"/>
        <color theme="1"/>
        <rFont val="宋体"/>
        <family val="3"/>
        <charset val="134"/>
      </rPr>
      <t>冻干粉针车间</t>
    </r>
    <phoneticPr fontId="2" type="noConversion"/>
  </si>
  <si>
    <r>
      <t>204</t>
    </r>
    <r>
      <rPr>
        <b/>
        <sz val="11"/>
        <color theme="1"/>
        <rFont val="宋体"/>
        <family val="3"/>
        <charset val="134"/>
      </rPr>
      <t>胶囊车间</t>
    </r>
    <phoneticPr fontId="2" type="noConversion"/>
  </si>
  <si>
    <r>
      <t>205</t>
    </r>
    <r>
      <rPr>
        <b/>
        <sz val="11"/>
        <color theme="1"/>
        <rFont val="宋体"/>
        <family val="3"/>
        <charset val="134"/>
      </rPr>
      <t>冻干粉针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肿瘤</t>
    </r>
    <r>
      <rPr>
        <b/>
        <sz val="11"/>
        <color theme="1"/>
        <rFont val="Times New Roman"/>
        <family val="1"/>
      </rPr>
      <t>)</t>
    </r>
    <r>
      <rPr>
        <b/>
        <sz val="11"/>
        <color theme="1"/>
        <rFont val="宋体"/>
        <family val="3"/>
        <charset val="134"/>
      </rPr>
      <t>车间</t>
    </r>
    <phoneticPr fontId="2" type="noConversion"/>
  </si>
  <si>
    <r>
      <t>206</t>
    </r>
    <r>
      <rPr>
        <b/>
        <sz val="11"/>
        <color theme="1"/>
        <rFont val="宋体"/>
        <family val="3"/>
        <charset val="134"/>
      </rPr>
      <t>青霉素粉针二期车间</t>
    </r>
    <phoneticPr fontId="2" type="noConversion"/>
  </si>
  <si>
    <r>
      <rPr>
        <b/>
        <sz val="11"/>
        <color theme="1"/>
        <rFont val="宋体"/>
        <family val="2"/>
        <charset val="134"/>
      </rPr>
      <t>药品研发部</t>
    </r>
  </si>
  <si>
    <r>
      <rPr>
        <b/>
        <sz val="11"/>
        <color theme="1"/>
        <rFont val="宋体"/>
        <family val="2"/>
        <charset val="134"/>
      </rPr>
      <t>综合管理部</t>
    </r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</si>
  <si>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2015.02</t>
    </r>
    <phoneticPr fontId="9" type="noConversion"/>
  </si>
  <si>
    <r>
      <t>205</t>
    </r>
    <r>
      <rPr>
        <b/>
        <sz val="11"/>
        <color theme="1"/>
        <rFont val="宋体"/>
        <family val="3"/>
        <charset val="134"/>
      </rPr>
      <t>冻干粉针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肿瘤</t>
    </r>
    <r>
      <rPr>
        <b/>
        <sz val="11"/>
        <color theme="1"/>
        <rFont val="Times New Roman"/>
        <family val="1"/>
      </rPr>
      <t>)</t>
    </r>
    <r>
      <rPr>
        <b/>
        <sz val="11"/>
        <color theme="1"/>
        <rFont val="宋体"/>
        <family val="3"/>
        <charset val="134"/>
      </rPr>
      <t>车间</t>
    </r>
    <phoneticPr fontId="2" type="noConversion"/>
  </si>
  <si>
    <t>月初入库依诺肝素钠1天  其余配合研发试生产 按研发比例分摊如下</t>
    <phoneticPr fontId="2" type="noConversion"/>
  </si>
  <si>
    <t>RD01</t>
    <phoneticPr fontId="2" type="noConversion"/>
  </si>
  <si>
    <t>RD02</t>
    <phoneticPr fontId="2" type="noConversion"/>
  </si>
  <si>
    <t>RD03</t>
  </si>
  <si>
    <t>RD04</t>
  </si>
  <si>
    <t>RD05</t>
  </si>
  <si>
    <t>RD06</t>
  </si>
  <si>
    <t>RD07</t>
  </si>
  <si>
    <t>RD08</t>
  </si>
  <si>
    <t>RD09</t>
  </si>
  <si>
    <t>RD10</t>
  </si>
  <si>
    <t>停产</t>
    <phoneticPr fontId="2" type="noConversion"/>
  </si>
  <si>
    <t>全月停产</t>
    <phoneticPr fontId="2" type="noConversion"/>
  </si>
  <si>
    <r>
      <t>1.0</t>
    </r>
    <r>
      <rPr>
        <sz val="10"/>
        <rFont val="宋体"/>
        <family val="3"/>
        <charset val="134"/>
      </rPr>
      <t>左卡尼汀</t>
    </r>
    <r>
      <rPr>
        <sz val="10"/>
        <rFont val="Microsoft Sans Serif"/>
        <family val="2"/>
      </rPr>
      <t xml:space="preserve">  </t>
    </r>
    <r>
      <rPr>
        <sz val="10"/>
        <rFont val="宋体"/>
        <family val="3"/>
        <charset val="134"/>
      </rPr>
      <t>上月</t>
    </r>
    <phoneticPr fontId="5" type="noConversion"/>
  </si>
  <si>
    <r>
      <t>1.0</t>
    </r>
    <r>
      <rPr>
        <sz val="10"/>
        <rFont val="宋体"/>
        <family val="3"/>
        <charset val="134"/>
      </rPr>
      <t>左卡尼汀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本月</t>
    </r>
    <phoneticPr fontId="5" type="noConversion"/>
  </si>
  <si>
    <r>
      <t>60mg</t>
    </r>
    <r>
      <rPr>
        <sz val="10"/>
        <rFont val="宋体"/>
        <family val="3"/>
        <charset val="134"/>
      </rPr>
      <t>注射用奥美拉唑钠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 xml:space="preserve">)  </t>
    </r>
    <r>
      <rPr>
        <sz val="10"/>
        <rFont val="宋体"/>
        <family val="3"/>
        <charset val="134"/>
      </rPr>
      <t>本月</t>
    </r>
    <phoneticPr fontId="2" type="noConversion"/>
  </si>
  <si>
    <r>
      <t>60mg</t>
    </r>
    <r>
      <rPr>
        <sz val="10"/>
        <rFont val="宋体"/>
        <family val="3"/>
        <charset val="134"/>
      </rPr>
      <t>注射用奥美拉唑钠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 xml:space="preserve">)  </t>
    </r>
    <r>
      <rPr>
        <sz val="10"/>
        <rFont val="宋体"/>
        <family val="3"/>
        <charset val="134"/>
      </rPr>
      <t>下月</t>
    </r>
    <phoneticPr fontId="2" type="noConversion"/>
  </si>
  <si>
    <r>
      <rPr>
        <b/>
        <sz val="10"/>
        <rFont val="宋体"/>
        <family val="3"/>
        <charset val="134"/>
      </rPr>
      <t>能源与制造按冻干工时计算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工资按生产工时计算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未入库部分做结存</t>
    </r>
    <phoneticPr fontId="2" type="noConversion"/>
  </si>
  <si>
    <r>
      <t>2.0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 xml:space="preserve"> 400</t>
    </r>
    <phoneticPr fontId="9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</si>
  <si>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2015.04</t>
    </r>
    <phoneticPr fontId="9" type="noConversion"/>
  </si>
  <si>
    <t>辅助费用分配                                      2015.04</t>
    <phoneticPr fontId="5" type="noConversion"/>
  </si>
  <si>
    <r>
      <t>2015.4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</si>
  <si>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2015.4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</si>
  <si>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2015.4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</si>
  <si>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2015.4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</si>
  <si>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2015.4</t>
    </r>
    <r>
      <rPr>
        <b/>
        <sz val="10"/>
        <rFont val="宋体"/>
        <family val="3"/>
        <charset val="134"/>
      </rPr>
      <t>霉素粉针剂车间三项费用分配表</t>
    </r>
    <phoneticPr fontId="9" type="noConversion"/>
  </si>
  <si>
    <r>
      <t>2015.4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</si>
  <si>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2015.4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</si>
  <si>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2015.4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</si>
  <si>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2015.4</t>
    </r>
    <r>
      <rPr>
        <b/>
        <sz val="10"/>
        <rFont val="宋体"/>
        <family val="3"/>
        <charset val="134"/>
      </rPr>
      <t>青霉素粉针剂二期车间三项费用分配表</t>
    </r>
    <phoneticPr fontId="9" type="noConversion"/>
  </si>
  <si>
    <r>
      <t>104</t>
    </r>
    <r>
      <rPr>
        <b/>
        <sz val="11"/>
        <color theme="1"/>
        <rFont val="宋体"/>
        <family val="3"/>
        <charset val="134"/>
      </rPr>
      <t>普通原料药车间</t>
    </r>
    <phoneticPr fontId="2" type="noConversion"/>
  </si>
  <si>
    <t>104普通原料药车间</t>
    <phoneticPr fontId="2" type="noConversion"/>
  </si>
  <si>
    <t>机物料</t>
    <phoneticPr fontId="2" type="noConversion"/>
  </si>
  <si>
    <t>RD01</t>
    <phoneticPr fontId="2" type="noConversion"/>
  </si>
  <si>
    <t>RD02</t>
    <phoneticPr fontId="2" type="noConversion"/>
  </si>
  <si>
    <t>全月配合研发 能源与制造按RD比例分配</t>
    <phoneticPr fontId="2" type="noConversion"/>
  </si>
  <si>
    <t>溶媒回收 24H/批 醋酸丁酯22批 正丁醇8批 醋酸乙酯4批 乙醇1批</t>
    <phoneticPr fontId="2" type="noConversion"/>
  </si>
  <si>
    <t>停工损失</t>
    <phoneticPr fontId="2" type="noConversion"/>
  </si>
  <si>
    <t>102冻干原料药车间</t>
    <phoneticPr fontId="2" type="noConversion"/>
  </si>
  <si>
    <t>全月停产</t>
    <phoneticPr fontId="2" type="noConversion"/>
  </si>
  <si>
    <r>
      <rPr>
        <b/>
        <sz val="10"/>
        <rFont val="宋体"/>
        <family val="3"/>
        <charset val="134"/>
      </rPr>
      <t>苯唑西林钠入库</t>
    </r>
    <r>
      <rPr>
        <b/>
        <sz val="10"/>
        <rFont val="Microsoft Sans Serif"/>
        <family val="2"/>
      </rPr>
      <t>40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20H/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  </t>
    </r>
    <r>
      <rPr>
        <b/>
        <sz val="10"/>
        <rFont val="宋体"/>
        <family val="3"/>
        <charset val="134"/>
      </rPr>
      <t>苯唑西林钠（缓冲剂）直接生产</t>
    </r>
    <r>
      <rPr>
        <b/>
        <sz val="10"/>
        <rFont val="Microsoft Sans Serif"/>
        <family val="2"/>
      </rPr>
      <t>24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20H/</t>
    </r>
    <r>
      <rPr>
        <b/>
        <sz val="10"/>
        <rFont val="宋体"/>
        <family val="3"/>
        <charset val="134"/>
      </rPr>
      <t>批</t>
    </r>
    <phoneticPr fontId="2" type="noConversion"/>
  </si>
  <si>
    <r>
      <t>1.5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phoneticPr fontId="9" type="noConversion"/>
  </si>
  <si>
    <r>
      <t>1.0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</si>
  <si>
    <r>
      <t>1.0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phoneticPr fontId="2" type="noConversion"/>
  </si>
  <si>
    <r>
      <t>0.75</t>
    </r>
    <r>
      <rPr>
        <sz val="10"/>
        <rFont val="宋体"/>
        <family val="3"/>
        <charset val="134"/>
      </rPr>
      <t>二叶强</t>
    </r>
    <phoneticPr fontId="9" type="noConversion"/>
  </si>
  <si>
    <r>
      <t>0.75</t>
    </r>
    <r>
      <rPr>
        <sz val="10"/>
        <rFont val="宋体"/>
        <family val="3"/>
        <charset val="134"/>
      </rPr>
      <t>二叶强</t>
    </r>
    <phoneticPr fontId="2" type="noConversion"/>
  </si>
  <si>
    <r>
      <t>1.5</t>
    </r>
    <r>
      <rPr>
        <sz val="10"/>
        <rFont val="宋体"/>
        <family val="3"/>
        <charset val="134"/>
      </rPr>
      <t>二叶强</t>
    </r>
    <phoneticPr fontId="9" type="noConversion"/>
  </si>
  <si>
    <r>
      <t>1.5</t>
    </r>
    <r>
      <rPr>
        <sz val="10"/>
        <rFont val="宋体"/>
        <family val="3"/>
        <charset val="134"/>
      </rPr>
      <t>二叶强</t>
    </r>
    <phoneticPr fontId="2" type="noConversion"/>
  </si>
  <si>
    <r>
      <t>1.0</t>
    </r>
    <r>
      <rPr>
        <sz val="10"/>
        <rFont val="宋体"/>
        <family val="3"/>
        <charset val="134"/>
      </rPr>
      <t>二叶安</t>
    </r>
    <phoneticPr fontId="2" type="noConversion"/>
  </si>
  <si>
    <r>
      <t>1.125</t>
    </r>
    <r>
      <rPr>
        <sz val="10"/>
        <rFont val="宋体"/>
        <family val="3"/>
        <charset val="134"/>
      </rPr>
      <t>哌舒西林</t>
    </r>
    <phoneticPr fontId="9" type="noConversion"/>
  </si>
  <si>
    <r>
      <t>1.125</t>
    </r>
    <r>
      <rPr>
        <sz val="10"/>
        <rFont val="宋体"/>
        <family val="3"/>
        <charset val="134"/>
      </rPr>
      <t>哌舒西林</t>
    </r>
    <phoneticPr fontId="2" type="noConversion"/>
  </si>
  <si>
    <t>打色部分为做结存待下月入库再行分配</t>
    <phoneticPr fontId="2" type="noConversion"/>
  </si>
  <si>
    <t>206青霉素粉针二期车间</t>
    <phoneticPr fontId="2" type="noConversion"/>
  </si>
  <si>
    <r>
      <t>3.0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phoneticPr fontId="2" type="noConversion"/>
  </si>
  <si>
    <r>
      <t>1.25</t>
    </r>
    <r>
      <rPr>
        <sz val="10"/>
        <rFont val="宋体"/>
        <family val="3"/>
        <charset val="134"/>
      </rPr>
      <t>美洛西林钠舒巴坦钠</t>
    </r>
    <phoneticPr fontId="2" type="noConversion"/>
  </si>
  <si>
    <r>
      <t>2.5</t>
    </r>
    <r>
      <rPr>
        <sz val="10"/>
        <rFont val="宋体"/>
        <family val="3"/>
        <charset val="134"/>
      </rPr>
      <t>美洛西林钠舒巴坦钠</t>
    </r>
    <phoneticPr fontId="2" type="noConversion"/>
  </si>
  <si>
    <t>201青霉素粉针车间</t>
    <phoneticPr fontId="2" type="noConversion"/>
  </si>
  <si>
    <r>
      <t>1.0</t>
    </r>
    <r>
      <rPr>
        <sz val="10"/>
        <rFont val="宋体"/>
        <family val="3"/>
        <charset val="134"/>
      </rPr>
      <t>二叶松（出口）</t>
    </r>
    <phoneticPr fontId="2" type="noConversion"/>
  </si>
  <si>
    <t>202头孢粉针车间</t>
    <phoneticPr fontId="2" type="noConversion"/>
  </si>
  <si>
    <t>10mg阿德福韦酯胶囊</t>
    <phoneticPr fontId="5" type="noConversion"/>
  </si>
  <si>
    <r>
      <t>1.0</t>
    </r>
    <r>
      <rPr>
        <sz val="10"/>
        <rFont val="宋体"/>
        <family val="3"/>
        <charset val="134"/>
      </rPr>
      <t>左卡尼汀</t>
    </r>
    <r>
      <rPr>
        <sz val="10"/>
        <rFont val="Microsoft Sans Serif"/>
        <family val="2"/>
      </rPr>
      <t xml:space="preserve">  </t>
    </r>
    <phoneticPr fontId="5" type="noConversion"/>
  </si>
  <si>
    <r>
      <t>1.0</t>
    </r>
    <r>
      <rPr>
        <sz val="10"/>
        <rFont val="宋体"/>
        <family val="3"/>
        <charset val="134"/>
      </rPr>
      <t>左卡尼汀</t>
    </r>
    <r>
      <rPr>
        <sz val="10"/>
        <rFont val="Microsoft Sans Serif"/>
        <family val="2"/>
      </rPr>
      <t xml:space="preserve"> </t>
    </r>
    <phoneticPr fontId="5" type="noConversion"/>
  </si>
  <si>
    <t>203冻干粉针车间</t>
    <phoneticPr fontId="2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</si>
  <si>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2015.05</t>
    </r>
    <phoneticPr fontId="9" type="noConversion"/>
  </si>
  <si>
    <t>辅助费用分配                                      2015.05</t>
    <phoneticPr fontId="5" type="noConversion"/>
  </si>
  <si>
    <r>
      <t>2015.5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</si>
  <si>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2015.5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</si>
  <si>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2015.5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</si>
  <si>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2015.5</t>
    </r>
    <r>
      <rPr>
        <b/>
        <sz val="10"/>
        <rFont val="宋体"/>
        <family val="3"/>
        <charset val="134"/>
      </rPr>
      <t>霉素粉针剂车间三项费用分配表</t>
    </r>
    <phoneticPr fontId="9" type="noConversion"/>
  </si>
  <si>
    <r>
      <t>2015.5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</si>
  <si>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2015.5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</si>
  <si>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2015.5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</si>
  <si>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2015.5</t>
    </r>
    <r>
      <rPr>
        <b/>
        <sz val="10"/>
        <rFont val="宋体"/>
        <family val="3"/>
        <charset val="134"/>
      </rPr>
      <t>青霉素粉针剂二期车间三项费用分配表</t>
    </r>
    <phoneticPr fontId="9" type="noConversion"/>
  </si>
  <si>
    <t>溶媒回收 24H/批 醋酸丁酯9批 正丁醇4批 醋酸乙酯1批 乙醇1批</t>
    <phoneticPr fontId="2" type="noConversion"/>
  </si>
  <si>
    <t>阿洛西林钠30批 48H/批  苯唑西林钠18批 20H/批 以工时来分摊人工</t>
    <phoneticPr fontId="2" type="noConversion"/>
  </si>
  <si>
    <t>P12</t>
    <phoneticPr fontId="2" type="noConversion"/>
  </si>
  <si>
    <t>RD07</t>
    <phoneticPr fontId="2" type="noConversion"/>
  </si>
  <si>
    <r>
      <t>101</t>
    </r>
    <r>
      <rPr>
        <b/>
        <sz val="10"/>
        <rFont val="宋体"/>
        <family val="3"/>
        <charset val="134"/>
      </rPr>
      <t>车间生产</t>
    </r>
    <r>
      <rPr>
        <b/>
        <sz val="10"/>
        <rFont val="Microsoft Sans Serif"/>
        <family val="2"/>
      </rPr>
      <t>10</t>
    </r>
    <r>
      <rPr>
        <b/>
        <sz val="10"/>
        <rFont val="宋体"/>
        <family val="3"/>
        <charset val="134"/>
      </rPr>
      <t>天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折旧费用</t>
    </r>
    <r>
      <rPr>
        <b/>
        <sz val="10"/>
        <rFont val="Microsoft Sans Serif"/>
        <family val="2"/>
      </rPr>
      <t>10/31</t>
    </r>
    <r>
      <rPr>
        <b/>
        <sz val="10"/>
        <rFont val="宋体"/>
        <family val="3"/>
        <charset val="134"/>
      </rPr>
      <t>入产成品</t>
    </r>
    <r>
      <rPr>
        <b/>
        <sz val="10"/>
        <rFont val="Microsoft Sans Serif"/>
        <family val="2"/>
      </rPr>
      <t xml:space="preserve"> 21/31</t>
    </r>
    <r>
      <rPr>
        <b/>
        <sz val="10"/>
        <rFont val="宋体"/>
        <family val="3"/>
        <charset val="134"/>
      </rPr>
      <t>停工损失</t>
    </r>
    <phoneticPr fontId="2" type="noConversion"/>
  </si>
  <si>
    <t>成本分摊费用</t>
    <phoneticPr fontId="2" type="noConversion"/>
  </si>
  <si>
    <t>折旧费用9/31核算停工损失</t>
    <phoneticPr fontId="2" type="noConversion"/>
  </si>
  <si>
    <r>
      <rPr>
        <b/>
        <sz val="10"/>
        <rFont val="宋体"/>
        <family val="3"/>
        <charset val="134"/>
      </rPr>
      <t>折旧费用的</t>
    </r>
    <r>
      <rPr>
        <b/>
        <sz val="10"/>
        <rFont val="Microsoft Sans Serif"/>
        <family val="2"/>
      </rPr>
      <t>18/31</t>
    </r>
    <r>
      <rPr>
        <b/>
        <sz val="10"/>
        <rFont val="宋体"/>
        <family val="3"/>
        <charset val="134"/>
      </rPr>
      <t>核算停工损失</t>
    </r>
    <phoneticPr fontId="2" type="noConversion"/>
  </si>
  <si>
    <t>注射用甘草酸二胺</t>
    <phoneticPr fontId="5" type="noConversion"/>
  </si>
  <si>
    <t>注射用胸腺五肽</t>
    <phoneticPr fontId="5" type="noConversion"/>
  </si>
  <si>
    <t>注射用乙酰谷酰胺</t>
    <phoneticPr fontId="5" type="noConversion"/>
  </si>
  <si>
    <r>
      <t>2.0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phoneticPr fontId="9" type="noConversion"/>
  </si>
  <si>
    <r>
      <t>50mg</t>
    </r>
    <r>
      <rPr>
        <sz val="10"/>
        <color theme="1"/>
        <rFont val="宋体"/>
        <family val="3"/>
        <charset val="134"/>
      </rPr>
      <t>甘草酸</t>
    </r>
    <r>
      <rPr>
        <sz val="10"/>
        <color theme="1"/>
        <rFont val="Microsoft Sans Serif"/>
        <family val="2"/>
      </rPr>
      <t xml:space="preserve"> </t>
    </r>
    <r>
      <rPr>
        <sz val="10"/>
        <color theme="1"/>
        <rFont val="宋体"/>
        <family val="3"/>
        <charset val="134"/>
      </rPr>
      <t>下月</t>
    </r>
    <phoneticPr fontId="2" type="noConversion"/>
  </si>
  <si>
    <r>
      <rPr>
        <sz val="10"/>
        <rFont val="宋体"/>
        <family val="3"/>
        <charset val="134"/>
      </rPr>
      <t>甲磺酸（鑫烨）</t>
    </r>
    <r>
      <rPr>
        <sz val="10"/>
        <rFont val="Microsoft Sans Serif"/>
        <family val="2"/>
      </rPr>
      <t>40mg 4/320</t>
    </r>
    <phoneticPr fontId="2" type="noConversion"/>
  </si>
  <si>
    <r>
      <t>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  10/600</t>
    </r>
    <phoneticPr fontId="5" type="noConversion"/>
  </si>
  <si>
    <r>
      <t>250mg</t>
    </r>
    <r>
      <rPr>
        <sz val="10"/>
        <rFont val="宋体"/>
        <family val="3"/>
        <charset val="134"/>
      </rPr>
      <t>阿奇（鑫烨）</t>
    </r>
    <phoneticPr fontId="2" type="noConversion"/>
  </si>
  <si>
    <t>206青霉素粉针二期车间</t>
    <phoneticPr fontId="2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</si>
  <si>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2015.06</t>
    </r>
    <phoneticPr fontId="9" type="noConversion"/>
  </si>
  <si>
    <t>辅助费用分配                                      2015.06</t>
    <phoneticPr fontId="5" type="noConversion"/>
  </si>
  <si>
    <r>
      <t>2015.6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</si>
  <si>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2015.6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</si>
  <si>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2015.6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</si>
  <si>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2015.6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</si>
  <si>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2015.6</t>
    </r>
    <r>
      <rPr>
        <b/>
        <sz val="10"/>
        <rFont val="宋体"/>
        <family val="3"/>
        <charset val="134"/>
      </rPr>
      <t>霉素粉针剂车间三项费用分配表</t>
    </r>
    <phoneticPr fontId="9" type="noConversion"/>
  </si>
  <si>
    <r>
      <t>2015.6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</si>
  <si>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2015.6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</si>
  <si>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2015.6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</si>
  <si>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2015.6</t>
    </r>
    <r>
      <rPr>
        <b/>
        <sz val="10"/>
        <rFont val="宋体"/>
        <family val="3"/>
        <charset val="134"/>
      </rPr>
      <t>青霉素粉针剂二期车间三项费用分配表</t>
    </r>
    <phoneticPr fontId="9" type="noConversion"/>
  </si>
  <si>
    <r>
      <rPr>
        <sz val="10"/>
        <rFont val="宋体"/>
        <family val="3"/>
        <charset val="134"/>
      </rPr>
      <t>甲磺酸（舒乐康）</t>
    </r>
    <r>
      <rPr>
        <sz val="10"/>
        <rFont val="Microsoft Sans Serif"/>
        <family val="2"/>
      </rPr>
      <t>40mg  600</t>
    </r>
    <phoneticPr fontId="5" type="noConversion"/>
  </si>
  <si>
    <r>
      <t>50mg</t>
    </r>
    <r>
      <rPr>
        <b/>
        <sz val="10"/>
        <rFont val="宋体"/>
        <family val="3"/>
        <charset val="134"/>
      </rPr>
      <t>甘草酸二铵胶囊</t>
    </r>
    <r>
      <rPr>
        <b/>
        <sz val="10"/>
        <rFont val="Microsoft Sans Serif"/>
        <family val="2"/>
      </rPr>
      <t>48/200(</t>
    </r>
    <r>
      <rPr>
        <b/>
        <sz val="10"/>
        <rFont val="宋体"/>
        <family val="3"/>
        <charset val="134"/>
      </rPr>
      <t>司可宁</t>
    </r>
    <r>
      <rPr>
        <b/>
        <sz val="10"/>
        <rFont val="Microsoft Sans Serif"/>
        <family val="2"/>
      </rPr>
      <t>)</t>
    </r>
    <phoneticPr fontId="9" type="noConversion"/>
  </si>
  <si>
    <t>本月左卡尼汀单价上升（入库数少）</t>
    <phoneticPr fontId="2" type="noConversion"/>
  </si>
  <si>
    <t>204胶囊车间</t>
    <phoneticPr fontId="2" type="noConversion"/>
  </si>
  <si>
    <t>203冻干粉针车间</t>
    <phoneticPr fontId="2" type="noConversion"/>
  </si>
  <si>
    <t>RD07</t>
    <phoneticPr fontId="2" type="noConversion"/>
  </si>
  <si>
    <t>本月溶媒回收2天，回收酒精2批，考虑按2/30折旧核算溶媒回收，其余核算停产；工资按2/30核算溶媒，其余按辅助人员配合104进行项目试验</t>
  </si>
  <si>
    <r>
      <t>P12</t>
    </r>
    <r>
      <rPr>
        <sz val="10"/>
        <rFont val="宋体"/>
        <family val="3"/>
        <charset val="134"/>
      </rPr>
      <t>（缓冲剂）</t>
    </r>
    <phoneticPr fontId="2" type="noConversion"/>
  </si>
  <si>
    <r>
      <rPr>
        <b/>
        <sz val="10"/>
        <rFont val="宋体"/>
        <family val="3"/>
        <charset val="134"/>
      </rPr>
      <t>美洛西林钠</t>
    </r>
    <r>
      <rPr>
        <b/>
        <sz val="10"/>
        <rFont val="Microsoft Sans Serif"/>
        <family val="2"/>
      </rPr>
      <t>20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48H/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阿洛西林钠</t>
    </r>
    <r>
      <rPr>
        <b/>
        <sz val="10"/>
        <rFont val="Microsoft Sans Serif"/>
        <family val="2"/>
      </rPr>
      <t>30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48H/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P12</t>
    </r>
    <r>
      <rPr>
        <b/>
        <sz val="10"/>
        <rFont val="宋体"/>
        <family val="3"/>
        <charset val="134"/>
      </rPr>
      <t>缓冲剂</t>
    </r>
    <r>
      <rPr>
        <b/>
        <sz val="10"/>
        <rFont val="Microsoft Sans Serif"/>
        <family val="2"/>
      </rPr>
      <t>16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无菌磷酸氢二钠</t>
    </r>
    <r>
      <rPr>
        <b/>
        <sz val="10"/>
        <rFont val="Microsoft Sans Serif"/>
        <family val="2"/>
      </rPr>
      <t>1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48H/</t>
    </r>
    <r>
      <rPr>
        <b/>
        <sz val="10"/>
        <rFont val="宋体"/>
        <family val="3"/>
        <charset val="134"/>
      </rPr>
      <t>批</t>
    </r>
    <phoneticPr fontId="2" type="noConversion"/>
  </si>
  <si>
    <t>102冻干原料药车间</t>
    <phoneticPr fontId="2" type="noConversion"/>
  </si>
  <si>
    <t>101苯唑西林钠车间</t>
    <phoneticPr fontId="2" type="noConversion"/>
  </si>
  <si>
    <t>104普通原料药车间</t>
    <phoneticPr fontId="2" type="noConversion"/>
  </si>
  <si>
    <t>202头孢粉针车间</t>
    <phoneticPr fontId="2" type="noConversion"/>
  </si>
  <si>
    <r>
      <t>2015.7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</si>
  <si>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2015.7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</si>
  <si>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2015.7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</si>
  <si>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2015.7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</si>
  <si>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2015.7</t>
    </r>
    <r>
      <rPr>
        <b/>
        <sz val="10"/>
        <rFont val="宋体"/>
        <family val="3"/>
        <charset val="134"/>
      </rPr>
      <t>霉素粉针剂车间三项费用分配表</t>
    </r>
    <phoneticPr fontId="9" type="noConversion"/>
  </si>
  <si>
    <r>
      <t>2015.7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</si>
  <si>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2015.7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</si>
  <si>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2015.7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</si>
  <si>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2015.7</t>
    </r>
    <r>
      <rPr>
        <b/>
        <sz val="10"/>
        <rFont val="宋体"/>
        <family val="3"/>
        <charset val="134"/>
      </rPr>
      <t>青霉素粉针剂二期车间三项费用分配表</t>
    </r>
    <phoneticPr fontId="9" type="noConversion"/>
  </si>
  <si>
    <t>回收醋酸乙酯</t>
    <phoneticPr fontId="5" type="noConversion"/>
  </si>
  <si>
    <t>粗品1生产13批 粗品2生产13批 48H/批     回收醋酸丁酯26批 回收丁醇10批 回收乙酯4批 回收乙醇1批  12H/批</t>
    <phoneticPr fontId="2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</si>
  <si>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2015.07</t>
    </r>
    <phoneticPr fontId="9" type="noConversion"/>
  </si>
  <si>
    <t>辅助费用分配                                      2015.07</t>
    <phoneticPr fontId="5" type="noConversion"/>
  </si>
  <si>
    <t>103合成车间、溶媒回收车间</t>
    <phoneticPr fontId="2" type="noConversion"/>
  </si>
  <si>
    <t>102冻干原料药车间</t>
    <phoneticPr fontId="2" type="noConversion"/>
  </si>
  <si>
    <t>全月停产</t>
    <phoneticPr fontId="2" type="noConversion"/>
  </si>
  <si>
    <r>
      <rPr>
        <b/>
        <sz val="10"/>
        <rFont val="宋体"/>
        <family val="3"/>
        <charset val="134"/>
      </rPr>
      <t>苯唑西林钠入库</t>
    </r>
    <r>
      <rPr>
        <b/>
        <sz val="10"/>
        <rFont val="Microsoft Sans Serif"/>
        <family val="2"/>
      </rPr>
      <t>16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20H/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  </t>
    </r>
    <r>
      <rPr>
        <b/>
        <sz val="10"/>
        <rFont val="宋体"/>
        <family val="3"/>
        <charset val="134"/>
      </rPr>
      <t>苯唑西林钠（缓冲剂）直接生产</t>
    </r>
    <r>
      <rPr>
        <b/>
        <sz val="10"/>
        <rFont val="Microsoft Sans Serif"/>
        <family val="2"/>
      </rPr>
      <t>57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20H/</t>
    </r>
    <r>
      <rPr>
        <b/>
        <sz val="10"/>
        <rFont val="宋体"/>
        <family val="3"/>
        <charset val="134"/>
      </rPr>
      <t>批</t>
    </r>
    <phoneticPr fontId="2" type="noConversion"/>
  </si>
  <si>
    <t>101苯唑西林钠车间</t>
    <phoneticPr fontId="2" type="noConversion"/>
  </si>
  <si>
    <t>104普通原料药车间</t>
    <phoneticPr fontId="2" type="noConversion"/>
  </si>
  <si>
    <t>全月费用划入RD10项目下</t>
    <phoneticPr fontId="2" type="noConversion"/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</si>
  <si>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)6/400</t>
    </r>
    <phoneticPr fontId="5" type="noConversion"/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</si>
  <si>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)12/400</t>
    </r>
    <phoneticPr fontId="2" type="noConversion"/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</si>
  <si>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中大</t>
    </r>
    <r>
      <rPr>
        <sz val="10"/>
        <rFont val="Microsoft Sans Serif"/>
        <family val="2"/>
      </rPr>
      <t>)14/400</t>
    </r>
    <phoneticPr fontId="2" type="noConversion"/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</si>
  <si>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中大</t>
    </r>
    <r>
      <rPr>
        <sz val="10"/>
        <rFont val="Microsoft Sans Serif"/>
        <family val="2"/>
      </rPr>
      <t>)14/300</t>
    </r>
    <phoneticPr fontId="5" type="noConversion"/>
  </si>
  <si>
    <t>扎莱普隆胶囊</t>
    <phoneticPr fontId="2" type="noConversion"/>
  </si>
  <si>
    <t>黄色三费结存下月</t>
    <phoneticPr fontId="2" type="noConversion"/>
  </si>
  <si>
    <t>203冻干粉针车间</t>
    <phoneticPr fontId="2" type="noConversion"/>
  </si>
  <si>
    <t>202头孢粉针车间</t>
    <phoneticPr fontId="2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</si>
  <si>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2015.08</t>
    </r>
    <phoneticPr fontId="9" type="noConversion"/>
  </si>
  <si>
    <t>辅助费用分配                                      2015.08</t>
    <phoneticPr fontId="5" type="noConversion"/>
  </si>
  <si>
    <r>
      <t>2015.8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</si>
  <si>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2015.8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</si>
  <si>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2015.8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</si>
  <si>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2015.8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</si>
  <si>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2015.8</t>
    </r>
    <r>
      <rPr>
        <b/>
        <sz val="10"/>
        <rFont val="宋体"/>
        <family val="3"/>
        <charset val="134"/>
      </rPr>
      <t>霉素粉针剂车间三项费用分配表</t>
    </r>
    <phoneticPr fontId="9" type="noConversion"/>
  </si>
  <si>
    <r>
      <t>2015.8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</si>
  <si>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2015.8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</si>
  <si>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2015.8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</si>
  <si>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2015.8</t>
    </r>
    <r>
      <rPr>
        <b/>
        <sz val="10"/>
        <rFont val="宋体"/>
        <family val="3"/>
        <charset val="134"/>
      </rPr>
      <t>青霉素粉针剂二期车间三项费用分配表</t>
    </r>
    <phoneticPr fontId="9" type="noConversion"/>
  </si>
  <si>
    <t>大检修</t>
    <phoneticPr fontId="2" type="noConversion"/>
  </si>
  <si>
    <t>全月停产</t>
    <phoneticPr fontId="2" type="noConversion"/>
  </si>
  <si>
    <r>
      <t>1.0</t>
    </r>
    <r>
      <rPr>
        <sz val="10"/>
        <rFont val="宋体"/>
        <family val="3"/>
        <charset val="134"/>
      </rPr>
      <t>二叶同</t>
    </r>
    <r>
      <rPr>
        <sz val="10"/>
        <rFont val="Microsoft Sans Serif"/>
        <family val="2"/>
      </rPr>
      <t xml:space="preserve"> 712047</t>
    </r>
    <phoneticPr fontId="2" type="noConversion"/>
  </si>
  <si>
    <r>
      <t>1.0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 xml:space="preserve"> 712058</t>
    </r>
    <phoneticPr fontId="2" type="noConversion"/>
  </si>
  <si>
    <r>
      <t>2.0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 xml:space="preserve"> 712059</t>
    </r>
    <phoneticPr fontId="2" type="noConversion"/>
  </si>
  <si>
    <r>
      <t>1.0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10 712073</t>
    </r>
    <phoneticPr fontId="2" type="noConversion"/>
  </si>
  <si>
    <r>
      <t>1.0</t>
    </r>
    <r>
      <rPr>
        <sz val="10"/>
        <rFont val="宋体"/>
        <family val="3"/>
        <charset val="134"/>
      </rPr>
      <t>噻吩</t>
    </r>
    <r>
      <rPr>
        <sz val="10"/>
        <rFont val="Microsoft Sans Serif"/>
        <family val="2"/>
      </rPr>
      <t>10 712082</t>
    </r>
    <phoneticPr fontId="2" type="noConversion"/>
  </si>
  <si>
    <r>
      <t>1.0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 xml:space="preserve">10  </t>
    </r>
    <r>
      <rPr>
        <sz val="10"/>
        <rFont val="宋体"/>
        <family val="3"/>
        <charset val="134"/>
      </rPr>
      <t>西丁</t>
    </r>
    <r>
      <rPr>
        <sz val="10"/>
        <rFont val="Microsoft Sans Serif"/>
        <family val="2"/>
      </rPr>
      <t xml:space="preserve"> 712107</t>
    </r>
    <phoneticPr fontId="9" type="noConversion"/>
  </si>
  <si>
    <r>
      <t>1.5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 xml:space="preserve"> 712122</t>
    </r>
    <phoneticPr fontId="2" type="noConversion"/>
  </si>
  <si>
    <r>
      <t>1.0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 xml:space="preserve"> 712123</t>
    </r>
    <phoneticPr fontId="2" type="noConversion"/>
  </si>
  <si>
    <r>
      <t>1.0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10 712134</t>
    </r>
    <phoneticPr fontId="5" type="noConversion"/>
  </si>
  <si>
    <r>
      <t>0.5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唑肟</t>
    </r>
    <r>
      <rPr>
        <sz val="10"/>
        <rFont val="Microsoft Sans Serif"/>
        <family val="2"/>
      </rPr>
      <t xml:space="preserve"> 712141</t>
    </r>
    <phoneticPr fontId="5" type="noConversion"/>
  </si>
  <si>
    <r>
      <t>1.0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唑肟</t>
    </r>
    <r>
      <rPr>
        <sz val="10"/>
        <rFont val="Microsoft Sans Serif"/>
        <family val="2"/>
      </rPr>
      <t xml:space="preserve"> 712144</t>
    </r>
    <phoneticPr fontId="5" type="noConversion"/>
  </si>
  <si>
    <r>
      <t>1.0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1 712163</t>
    </r>
    <phoneticPr fontId="5" type="noConversion"/>
  </si>
  <si>
    <r>
      <t>1.0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10 712234</t>
    </r>
    <phoneticPr fontId="2" type="noConversion"/>
  </si>
  <si>
    <r>
      <t>1.0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10 712040</t>
    </r>
    <phoneticPr fontId="2" type="noConversion"/>
  </si>
  <si>
    <r>
      <t>3.0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 xml:space="preserve"> 712053</t>
    </r>
    <phoneticPr fontId="2" type="noConversion"/>
  </si>
  <si>
    <r>
      <t>1.0</t>
    </r>
    <r>
      <rPr>
        <b/>
        <sz val="10"/>
        <rFont val="宋体"/>
        <family val="3"/>
        <charset val="134"/>
      </rPr>
      <t>二叶赛</t>
    </r>
    <r>
      <rPr>
        <b/>
        <sz val="10"/>
        <rFont val="Microsoft Sans Serif"/>
        <family val="2"/>
      </rPr>
      <t xml:space="preserve">1 </t>
    </r>
    <r>
      <rPr>
        <b/>
        <sz val="10"/>
        <rFont val="宋体"/>
        <family val="3"/>
        <charset val="134"/>
      </rPr>
      <t>西丁</t>
    </r>
    <r>
      <rPr>
        <b/>
        <sz val="10"/>
        <rFont val="Microsoft Sans Serif"/>
        <family val="2"/>
      </rPr>
      <t xml:space="preserve"> 712106</t>
    </r>
    <phoneticPr fontId="9" type="noConversion"/>
  </si>
  <si>
    <r>
      <t>1.0</t>
    </r>
    <r>
      <rPr>
        <b/>
        <sz val="10"/>
        <rFont val="宋体"/>
        <family val="3"/>
        <charset val="134"/>
      </rPr>
      <t>二叶希</t>
    </r>
    <r>
      <rPr>
        <b/>
        <sz val="10"/>
        <rFont val="Microsoft Sans Serif"/>
        <family val="2"/>
      </rPr>
      <t>1 712090</t>
    </r>
    <phoneticPr fontId="2" type="noConversion"/>
  </si>
  <si>
    <r>
      <t>0.5</t>
    </r>
    <r>
      <rPr>
        <b/>
        <sz val="10"/>
        <rFont val="宋体"/>
        <family val="3"/>
        <charset val="134"/>
      </rPr>
      <t>二叶希</t>
    </r>
    <r>
      <rPr>
        <b/>
        <sz val="10"/>
        <rFont val="Microsoft Sans Serif"/>
        <family val="2"/>
      </rPr>
      <t>1 712097</t>
    </r>
    <phoneticPr fontId="2" type="noConversion"/>
  </si>
  <si>
    <t>大检修</t>
    <phoneticPr fontId="2" type="noConversion"/>
  </si>
  <si>
    <t>产成品分摊合计</t>
    <phoneticPr fontId="2" type="noConversion"/>
  </si>
  <si>
    <t>202头孢粉针车间</t>
    <phoneticPr fontId="2" type="noConversion"/>
  </si>
  <si>
    <t>大检修</t>
    <phoneticPr fontId="5" type="noConversion"/>
  </si>
  <si>
    <r>
      <rPr>
        <b/>
        <sz val="10"/>
        <rFont val="宋体"/>
        <family val="3"/>
        <charset val="134"/>
      </rPr>
      <t>小计</t>
    </r>
  </si>
  <si>
    <t>203冻干粉针车间</t>
    <phoneticPr fontId="2" type="noConversion"/>
  </si>
  <si>
    <r>
      <t>(0.25g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</si>
  <si>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甲磺酸（哥达）</t>
    </r>
    <r>
      <rPr>
        <sz val="10"/>
        <rFont val="Microsoft Sans Serif"/>
        <family val="2"/>
      </rPr>
      <t>40mg 640 714007</t>
    </r>
    <phoneticPr fontId="5" type="noConversion"/>
  </si>
  <si>
    <t>5mg扎莱普隆胶囊5600 714011</t>
    <phoneticPr fontId="2" type="noConversion"/>
  </si>
  <si>
    <t>10mg扎莱普隆胶囊2800 714105</t>
    <phoneticPr fontId="2" type="noConversion"/>
  </si>
  <si>
    <r>
      <t>50mg</t>
    </r>
    <r>
      <rPr>
        <sz val="10"/>
        <rFont val="宋体"/>
        <family val="3"/>
        <charset val="134"/>
      </rPr>
      <t>甘草酸二铵胶囊</t>
    </r>
    <r>
      <rPr>
        <sz val="10"/>
        <rFont val="Microsoft Sans Serif"/>
        <family val="2"/>
      </rPr>
      <t>24/200(</t>
    </r>
    <r>
      <rPr>
        <sz val="10"/>
        <rFont val="宋体"/>
        <family val="3"/>
        <charset val="134"/>
      </rPr>
      <t>司可宁</t>
    </r>
    <r>
      <rPr>
        <sz val="10"/>
        <rFont val="Microsoft Sans Serif"/>
        <family val="2"/>
      </rPr>
      <t>) 714091</t>
    </r>
    <phoneticPr fontId="9" type="noConversion"/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</si>
  <si>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乐奥苏</t>
    </r>
    <r>
      <rPr>
        <sz val="10"/>
        <rFont val="Microsoft Sans Serif"/>
        <family val="2"/>
      </rPr>
      <t>)28/300 714103</t>
    </r>
    <phoneticPr fontId="5" type="noConversion"/>
  </si>
  <si>
    <t>乙酰螺旋霉素胶囊200*24 714001</t>
    <phoneticPr fontId="5" type="noConversion"/>
  </si>
  <si>
    <t>乙酰螺旋霉素胶囊400*24 714104</t>
    <phoneticPr fontId="5" type="noConversion"/>
  </si>
  <si>
    <t>204胶囊车间</t>
    <phoneticPr fontId="2" type="noConversion"/>
  </si>
  <si>
    <t>104普通原料药车间</t>
    <phoneticPr fontId="2" type="noConversion"/>
  </si>
  <si>
    <t>粗品1生产19批 粗品2生产19批 48H/批     回收醋酸丁酯6批 回收丁醇2批 回收乙酯2批 回收乙醇1批  12H/批</t>
    <phoneticPr fontId="2" type="noConversion"/>
  </si>
  <si>
    <t xml:space="preserve">6号起停产  生产美洛7批 48H/批  磺苄3批  48H/批  </t>
    <phoneticPr fontId="2" type="noConversion"/>
  </si>
  <si>
    <t>停工</t>
    <phoneticPr fontId="5" type="noConversion"/>
  </si>
  <si>
    <r>
      <rPr>
        <b/>
        <sz val="10"/>
        <rFont val="宋体"/>
        <family val="3"/>
        <charset val="134"/>
      </rPr>
      <t>苯唑西林钠入库</t>
    </r>
    <r>
      <rPr>
        <b/>
        <sz val="10"/>
        <rFont val="Microsoft Sans Serif"/>
        <family val="2"/>
      </rPr>
      <t>17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20H/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  </t>
    </r>
    <r>
      <rPr>
        <b/>
        <sz val="10"/>
        <rFont val="宋体"/>
        <family val="3"/>
        <charset val="134"/>
      </rPr>
      <t/>
    </r>
    <phoneticPr fontId="2" type="noConversion"/>
  </si>
  <si>
    <t>停工损失</t>
    <phoneticPr fontId="2" type="noConversion"/>
  </si>
  <si>
    <r>
      <t>160</t>
    </r>
    <r>
      <rPr>
        <sz val="10"/>
        <rFont val="宋体"/>
        <family val="3"/>
        <charset val="134"/>
      </rPr>
      <t>万钠</t>
    </r>
    <r>
      <rPr>
        <sz val="10"/>
        <rFont val="Microsoft Sans Serif"/>
        <family val="2"/>
      </rPr>
      <t xml:space="preserve"> 711003</t>
    </r>
    <phoneticPr fontId="2" type="noConversion"/>
  </si>
  <si>
    <r>
      <t>1.0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 xml:space="preserve"> 711007</t>
    </r>
    <phoneticPr fontId="2" type="noConversion"/>
  </si>
  <si>
    <r>
      <t>400</t>
    </r>
    <r>
      <rPr>
        <sz val="10"/>
        <rFont val="宋体"/>
        <family val="3"/>
        <charset val="134"/>
      </rPr>
      <t>万钠</t>
    </r>
    <r>
      <rPr>
        <sz val="10"/>
        <rFont val="Microsoft Sans Serif"/>
        <family val="2"/>
      </rPr>
      <t xml:space="preserve"> 711009</t>
    </r>
    <phoneticPr fontId="2" type="noConversion"/>
  </si>
  <si>
    <r>
      <t>0.5g</t>
    </r>
    <r>
      <rPr>
        <sz val="10"/>
        <rFont val="宋体"/>
        <family val="3"/>
        <charset val="134"/>
      </rPr>
      <t>阿莫</t>
    </r>
    <r>
      <rPr>
        <sz val="10"/>
        <rFont val="Microsoft Sans Serif"/>
        <family val="2"/>
      </rPr>
      <t xml:space="preserve"> 711021</t>
    </r>
    <phoneticPr fontId="2" type="noConversion"/>
  </si>
  <si>
    <r>
      <t>0.75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 xml:space="preserve"> 711031</t>
    </r>
    <phoneticPr fontId="2" type="noConversion"/>
  </si>
  <si>
    <r>
      <t>3.0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10 711037</t>
    </r>
    <phoneticPr fontId="2" type="noConversion"/>
  </si>
  <si>
    <r>
      <t>3.2</t>
    </r>
    <r>
      <rPr>
        <sz val="10"/>
        <rFont val="宋体"/>
        <family val="3"/>
        <charset val="134"/>
      </rPr>
      <t>二叶康</t>
    </r>
    <r>
      <rPr>
        <sz val="10"/>
        <rFont val="Microsoft Sans Serif"/>
        <family val="2"/>
      </rPr>
      <t xml:space="preserve"> 711112</t>
    </r>
    <phoneticPr fontId="2" type="noConversion"/>
  </si>
  <si>
    <r>
      <t>2.25</t>
    </r>
    <r>
      <rPr>
        <sz val="10"/>
        <rFont val="宋体"/>
        <family val="3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他唑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 711123</t>
    </r>
    <phoneticPr fontId="2" type="noConversion"/>
  </si>
  <si>
    <r>
      <t>3.0</t>
    </r>
    <r>
      <rPr>
        <sz val="10"/>
        <rFont val="宋体"/>
        <family val="3"/>
        <charset val="134"/>
      </rPr>
      <t>嗪舒</t>
    </r>
    <r>
      <rPr>
        <sz val="10"/>
        <rFont val="Microsoft Sans Serif"/>
        <family val="2"/>
      </rPr>
      <t>10 711144</t>
    </r>
    <phoneticPr fontId="2" type="noConversion"/>
  </si>
  <si>
    <r>
      <t>1.5</t>
    </r>
    <r>
      <rPr>
        <sz val="10"/>
        <rFont val="宋体"/>
        <family val="3"/>
        <charset val="134"/>
      </rPr>
      <t>哌拉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舒巴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)10/600 711146</t>
    </r>
    <phoneticPr fontId="5" type="noConversion"/>
  </si>
  <si>
    <r>
      <t>1.5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 xml:space="preserve"> 711077</t>
    </r>
    <phoneticPr fontId="2" type="noConversion"/>
  </si>
  <si>
    <r>
      <t>1.5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10 711038</t>
    </r>
    <phoneticPr fontId="2" type="noConversion"/>
  </si>
  <si>
    <r>
      <t>0.75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 xml:space="preserve"> 711042</t>
    </r>
    <phoneticPr fontId="2" type="noConversion"/>
  </si>
  <si>
    <r>
      <t>1.5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 xml:space="preserve"> 711045</t>
    </r>
    <phoneticPr fontId="2" type="noConversion"/>
  </si>
  <si>
    <r>
      <t>1.0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 xml:space="preserve"> 711079</t>
    </r>
    <phoneticPr fontId="2" type="noConversion"/>
  </si>
  <si>
    <t>205冻干粉针(肿瘤)车间</t>
    <phoneticPr fontId="2" type="noConversion"/>
  </si>
  <si>
    <t>辅助费用分配                                      2015.09</t>
    <phoneticPr fontId="5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</si>
  <si>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2015.09</t>
    </r>
    <phoneticPr fontId="9" type="noConversion"/>
  </si>
  <si>
    <r>
      <t>2015.9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</si>
  <si>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2015.9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</si>
  <si>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2015.9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</si>
  <si>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2015.9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</si>
  <si>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2015.9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</si>
  <si>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2015.9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</si>
  <si>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2015.9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</si>
  <si>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100mg</t>
    </r>
    <r>
      <rPr>
        <sz val="10"/>
        <rFont val="宋体"/>
        <family val="3"/>
        <charset val="134"/>
      </rPr>
      <t>川芎嗪二叶青</t>
    </r>
    <r>
      <rPr>
        <sz val="10"/>
        <rFont val="Microsoft Sans Serif"/>
        <family val="2"/>
      </rPr>
      <t xml:space="preserve">10/1000 </t>
    </r>
    <phoneticPr fontId="5" type="noConversion"/>
  </si>
  <si>
    <t>注：因上月经历车间大检修，本月生产过程有长菌情况发生，拉长了整体生产工时，本月三项费用上升</t>
    <phoneticPr fontId="2" type="noConversion"/>
  </si>
  <si>
    <r>
      <t>0.5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 xml:space="preserve"> 712031</t>
    </r>
    <phoneticPr fontId="5" type="noConversion"/>
  </si>
  <si>
    <r>
      <t>2.0</t>
    </r>
    <r>
      <rPr>
        <sz val="10"/>
        <rFont val="宋体"/>
        <family val="3"/>
        <charset val="134"/>
      </rPr>
      <t>噻吩</t>
    </r>
    <r>
      <rPr>
        <sz val="10"/>
        <rFont val="Microsoft Sans Serif"/>
        <family val="2"/>
      </rPr>
      <t xml:space="preserve"> 712085</t>
    </r>
    <phoneticPr fontId="2" type="noConversion"/>
  </si>
  <si>
    <r>
      <t>2.0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 xml:space="preserve">  </t>
    </r>
    <r>
      <rPr>
        <sz val="10"/>
        <rFont val="宋体"/>
        <family val="3"/>
        <charset val="134"/>
      </rPr>
      <t>西丁</t>
    </r>
    <r>
      <rPr>
        <sz val="10"/>
        <rFont val="Microsoft Sans Serif"/>
        <family val="2"/>
      </rPr>
      <t xml:space="preserve"> 712104</t>
    </r>
    <phoneticPr fontId="5" type="noConversion"/>
  </si>
  <si>
    <r>
      <t>0.5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10 712131</t>
    </r>
    <phoneticPr fontId="9" type="noConversion"/>
  </si>
  <si>
    <r>
      <t>2.0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 xml:space="preserve"> 400 712135</t>
    </r>
    <phoneticPr fontId="9" type="noConversion"/>
  </si>
  <si>
    <r>
      <t>0.5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10 712161</t>
    </r>
    <phoneticPr fontId="2" type="noConversion"/>
  </si>
  <si>
    <r>
      <t>1.0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10 712162</t>
    </r>
    <phoneticPr fontId="9" type="noConversion"/>
  </si>
  <si>
    <r>
      <t>0.5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1 712164</t>
    </r>
    <phoneticPr fontId="2" type="noConversion"/>
  </si>
  <si>
    <r>
      <t>1.0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1 712136</t>
    </r>
    <phoneticPr fontId="5" type="noConversion"/>
  </si>
  <si>
    <r>
      <t>2.0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唑肟</t>
    </r>
    <r>
      <rPr>
        <sz val="10"/>
        <rFont val="Microsoft Sans Serif"/>
        <family val="2"/>
      </rPr>
      <t xml:space="preserve"> 712143</t>
    </r>
    <phoneticPr fontId="5" type="noConversion"/>
  </si>
  <si>
    <r>
      <t>0.25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 xml:space="preserve"> 712063</t>
    </r>
    <phoneticPr fontId="9" type="noConversion"/>
  </si>
  <si>
    <r>
      <t>1.0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1 712022</t>
    </r>
    <phoneticPr fontId="2" type="noConversion"/>
  </si>
  <si>
    <r>
      <rPr>
        <b/>
        <sz val="10"/>
        <rFont val="宋体"/>
        <family val="3"/>
        <charset val="134"/>
      </rPr>
      <t>蓝色为一支装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黄色为结存下月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蓝色分摊一支装工资</t>
    </r>
    <phoneticPr fontId="2" type="noConversion"/>
  </si>
  <si>
    <t>104普通原料药车间</t>
    <phoneticPr fontId="2" type="noConversion"/>
  </si>
  <si>
    <t>费用摊销RD10</t>
    <phoneticPr fontId="2" type="noConversion"/>
  </si>
  <si>
    <t>本月溶媒回收丁酯25批 丁醇11批 乙酯6批 乙醇2批 12H/批 粗品1  30批 粗品2  30批 48H/批</t>
    <phoneticPr fontId="2" type="noConversion"/>
  </si>
  <si>
    <t>103合成车间、溶媒回收车间</t>
    <phoneticPr fontId="2" type="noConversion"/>
  </si>
  <si>
    <t>青霉素无菌原药工艺改进（RD01）</t>
    <phoneticPr fontId="2" type="noConversion"/>
  </si>
  <si>
    <t>美洛西林钠4批 48H/批   磺苄西林钠3批  48H/批 研发工艺改进工时19*24</t>
    <phoneticPr fontId="2" type="noConversion"/>
  </si>
  <si>
    <r>
      <rPr>
        <b/>
        <sz val="10"/>
        <rFont val="宋体"/>
        <family val="3"/>
        <charset val="134"/>
      </rPr>
      <t>苯唑西林钠</t>
    </r>
    <r>
      <rPr>
        <b/>
        <sz val="10"/>
        <rFont val="Microsoft Sans Serif"/>
        <family val="2"/>
      </rPr>
      <t>49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20H/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</t>
    </r>
    <r>
      <rPr>
        <b/>
        <sz val="10"/>
        <rFont val="宋体"/>
        <family val="3"/>
        <charset val="134"/>
      </rPr>
      <t>苯唑西林钠（缓冲剂）</t>
    </r>
    <r>
      <rPr>
        <b/>
        <sz val="10"/>
        <rFont val="Microsoft Sans Serif"/>
        <family val="2"/>
      </rPr>
      <t>20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20H/</t>
    </r>
    <r>
      <rPr>
        <b/>
        <sz val="10"/>
        <rFont val="宋体"/>
        <family val="3"/>
        <charset val="134"/>
      </rPr>
      <t>批</t>
    </r>
    <phoneticPr fontId="2" type="noConversion"/>
  </si>
  <si>
    <r>
      <rPr>
        <b/>
        <sz val="10"/>
        <color rgb="FFFF0000"/>
        <rFont val="宋体"/>
        <family val="3"/>
        <charset val="134"/>
      </rPr>
      <t>本月溶媒回收单价下降</t>
    </r>
    <r>
      <rPr>
        <b/>
        <sz val="10"/>
        <color rgb="FFFF0000"/>
        <rFont val="Microsoft Sans Serif"/>
        <family val="2"/>
      </rPr>
      <t xml:space="preserve"> 6APA</t>
    </r>
    <r>
      <rPr>
        <b/>
        <sz val="10"/>
        <color rgb="FFFF0000"/>
        <rFont val="宋体"/>
        <family val="3"/>
        <charset val="134"/>
      </rPr>
      <t>单价下降</t>
    </r>
    <r>
      <rPr>
        <b/>
        <sz val="10"/>
        <color rgb="FFFF0000"/>
        <rFont val="Microsoft Sans Serif"/>
        <family val="2"/>
      </rPr>
      <t xml:space="preserve"> </t>
    </r>
    <r>
      <rPr>
        <b/>
        <sz val="10"/>
        <color rgb="FFFF0000"/>
        <rFont val="宋体"/>
        <family val="3"/>
        <charset val="134"/>
      </rPr>
      <t>造成单价下降</t>
    </r>
    <phoneticPr fontId="2" type="noConversion"/>
  </si>
  <si>
    <r>
      <t>2.5</t>
    </r>
    <r>
      <rPr>
        <sz val="10"/>
        <rFont val="宋体"/>
        <family val="3"/>
        <charset val="134"/>
      </rPr>
      <t>二叶美</t>
    </r>
    <phoneticPr fontId="2" type="noConversion"/>
  </si>
  <si>
    <t>2.0二叶美</t>
  </si>
  <si>
    <t>201青霉素粉针车间</t>
    <phoneticPr fontId="2" type="noConversion"/>
  </si>
  <si>
    <r>
      <t>2015.9</t>
    </r>
    <r>
      <rPr>
        <b/>
        <sz val="10"/>
        <rFont val="宋体"/>
        <family val="3"/>
        <charset val="134"/>
      </rPr>
      <t>青霉素粉针剂车间三项费用分配表</t>
    </r>
    <phoneticPr fontId="9" type="noConversion"/>
  </si>
  <si>
    <r>
      <t>2015.9</t>
    </r>
    <r>
      <rPr>
        <b/>
        <sz val="10"/>
        <rFont val="宋体"/>
        <family val="3"/>
        <charset val="134"/>
      </rPr>
      <t>霉素粉针剂二期车间三项费用分配表</t>
    </r>
    <phoneticPr fontId="9" type="noConversion"/>
  </si>
  <si>
    <r>
      <t>2015.10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</si>
  <si>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2015.10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</si>
  <si>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2015.10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</si>
  <si>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2015.10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</si>
  <si>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2015.10</t>
    </r>
    <r>
      <rPr>
        <b/>
        <sz val="10"/>
        <rFont val="宋体"/>
        <family val="3"/>
        <charset val="134"/>
      </rPr>
      <t>青霉素粉针剂车间三项费用分配表</t>
    </r>
    <phoneticPr fontId="9" type="noConversion"/>
  </si>
  <si>
    <r>
      <t>2015.10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</si>
  <si>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2015.10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</si>
  <si>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2015.10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</si>
  <si>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2015.10</t>
    </r>
    <r>
      <rPr>
        <b/>
        <sz val="10"/>
        <rFont val="宋体"/>
        <family val="3"/>
        <charset val="134"/>
      </rPr>
      <t>霉素粉针剂二期车间三项费用分配表</t>
    </r>
    <phoneticPr fontId="9" type="noConversion"/>
  </si>
  <si>
    <t>辅助费用分配                                      2015.10</t>
    <phoneticPr fontId="5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</si>
  <si>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2015.10</t>
    </r>
    <phoneticPr fontId="9" type="noConversion"/>
  </si>
  <si>
    <t>回收乙醇1批 12H/批 磺苄西林钠粗品1  22批 48H/批  磺苄西林钠粗品2   22批   48H/批</t>
    <phoneticPr fontId="2" type="noConversion"/>
  </si>
  <si>
    <t>磺苄西林钠入库7批  70H/批  美洛西林钠入库46批  48H/批</t>
    <phoneticPr fontId="2" type="noConversion"/>
  </si>
  <si>
    <t>101苯唑西林钠车间</t>
    <phoneticPr fontId="2" type="noConversion"/>
  </si>
  <si>
    <t>206青霉素粉针二期车间</t>
    <phoneticPr fontId="2" type="noConversion"/>
  </si>
  <si>
    <r>
      <rPr>
        <b/>
        <sz val="10"/>
        <rFont val="宋体"/>
        <family val="3"/>
        <charset val="134"/>
      </rPr>
      <t>研发</t>
    </r>
    <r>
      <rPr>
        <b/>
        <sz val="10"/>
        <rFont val="Microsoft Sans Serif"/>
        <family val="2"/>
      </rPr>
      <t>RD01</t>
    </r>
    <phoneticPr fontId="2" type="noConversion"/>
  </si>
  <si>
    <t>RD01项目</t>
    <phoneticPr fontId="2" type="noConversion"/>
  </si>
  <si>
    <t>配合研发RD07及少量阿德福韦酯入库</t>
    <phoneticPr fontId="2" type="noConversion"/>
  </si>
  <si>
    <t>阿德福韦酯</t>
    <phoneticPr fontId="2" type="noConversion"/>
  </si>
  <si>
    <r>
      <t>1.0</t>
    </r>
    <r>
      <rPr>
        <sz val="10"/>
        <rFont val="宋体"/>
        <family val="3"/>
        <charset val="134"/>
      </rPr>
      <t>头噻肟</t>
    </r>
    <r>
      <rPr>
        <sz val="10"/>
        <rFont val="Microsoft Sans Serif"/>
        <family val="2"/>
      </rPr>
      <t xml:space="preserve"> 712002</t>
    </r>
    <phoneticPr fontId="5" type="noConversion"/>
  </si>
  <si>
    <r>
      <t>0.5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10 712095</t>
    </r>
    <phoneticPr fontId="2" type="noConversion"/>
  </si>
  <si>
    <r>
      <t>0.75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 xml:space="preserve">  712121</t>
    </r>
    <phoneticPr fontId="2" type="noConversion"/>
  </si>
  <si>
    <t>202头孢粉针车间</t>
    <phoneticPr fontId="2" type="noConversion"/>
  </si>
  <si>
    <t>203冻干粉针车间</t>
    <phoneticPr fontId="2" type="noConversion"/>
  </si>
  <si>
    <r>
      <t>75mg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24*400 714024</t>
    </r>
    <phoneticPr fontId="5" type="noConversion"/>
  </si>
  <si>
    <r>
      <t>150mg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12*400 714025</t>
    </r>
    <phoneticPr fontId="2" type="noConversion"/>
  </si>
  <si>
    <t>10mg阿德福韦酯胶囊 714042</t>
    <phoneticPr fontId="5" type="noConversion"/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</si>
  <si>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中大</t>
    </r>
    <r>
      <rPr>
        <sz val="10"/>
        <rFont val="Microsoft Sans Serif"/>
        <family val="2"/>
      </rPr>
      <t>)14/300 714102</t>
    </r>
    <phoneticPr fontId="5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</si>
  <si>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2015.11</t>
    </r>
    <phoneticPr fontId="9" type="noConversion"/>
  </si>
  <si>
    <t>辅助费用分配                                      2015.11</t>
    <phoneticPr fontId="5" type="noConversion"/>
  </si>
  <si>
    <r>
      <t>2015.11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</si>
  <si>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</si>
  <si>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</si>
  <si>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</si>
  <si>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2015.11</t>
    </r>
    <r>
      <rPr>
        <b/>
        <sz val="10"/>
        <rFont val="宋体"/>
        <family val="3"/>
        <charset val="134"/>
      </rPr>
      <t>青霉素粉针剂车间三项费用分配表</t>
    </r>
    <phoneticPr fontId="9" type="noConversion"/>
  </si>
  <si>
    <r>
      <t>2015.11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</si>
  <si>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2015.11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</si>
  <si>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2015.11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</si>
  <si>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2015.11</t>
    </r>
    <r>
      <rPr>
        <b/>
        <sz val="10"/>
        <rFont val="宋体"/>
        <family val="3"/>
        <charset val="134"/>
      </rPr>
      <t>霉素粉针剂二期车间三项费用分配表</t>
    </r>
    <phoneticPr fontId="9" type="noConversion"/>
  </si>
  <si>
    <t xml:space="preserve">本月磺苄西林钠粗品入库粗1 29批 粗2 29批 48H/批 </t>
    <phoneticPr fontId="2" type="noConversion"/>
  </si>
  <si>
    <r>
      <rPr>
        <b/>
        <sz val="10"/>
        <rFont val="宋体"/>
        <family val="3"/>
        <charset val="134"/>
      </rPr>
      <t>溶媒回收丁酯</t>
    </r>
    <r>
      <rPr>
        <b/>
        <sz val="10"/>
        <rFont val="Microsoft Sans Serif"/>
        <family val="2"/>
      </rPr>
      <t>13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丁醇</t>
    </r>
    <r>
      <rPr>
        <b/>
        <sz val="10"/>
        <rFont val="Microsoft Sans Serif"/>
        <family val="2"/>
      </rPr>
      <t>4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乙酯</t>
    </r>
    <r>
      <rPr>
        <b/>
        <sz val="10"/>
        <rFont val="Microsoft Sans Serif"/>
        <family val="2"/>
      </rPr>
      <t>2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乙醇</t>
    </r>
    <r>
      <rPr>
        <b/>
        <sz val="10"/>
        <rFont val="Microsoft Sans Serif"/>
        <family val="2"/>
      </rPr>
      <t>1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12H/</t>
    </r>
    <r>
      <rPr>
        <b/>
        <sz val="10"/>
        <rFont val="宋体"/>
        <family val="3"/>
        <charset val="134"/>
      </rPr>
      <t>批</t>
    </r>
    <phoneticPr fontId="2" type="noConversion"/>
  </si>
  <si>
    <t>生产10天 阿洛西林钠14批 48H/批</t>
    <phoneticPr fontId="2" type="noConversion"/>
  </si>
  <si>
    <r>
      <rPr>
        <b/>
        <sz val="10"/>
        <rFont val="宋体"/>
        <family val="3"/>
        <charset val="134"/>
      </rPr>
      <t>剩余进行配合</t>
    </r>
    <r>
      <rPr>
        <b/>
        <sz val="10"/>
        <rFont val="Microsoft Sans Serif"/>
        <family val="2"/>
      </rPr>
      <t>RD01</t>
    </r>
    <r>
      <rPr>
        <b/>
        <sz val="10"/>
        <rFont val="宋体"/>
        <family val="3"/>
        <charset val="134"/>
      </rPr>
      <t>工艺改进</t>
    </r>
    <phoneticPr fontId="2" type="noConversion"/>
  </si>
  <si>
    <t>成本合计</t>
    <phoneticPr fontId="5" type="noConversion"/>
  </si>
  <si>
    <r>
      <rPr>
        <b/>
        <sz val="10"/>
        <rFont val="宋体"/>
        <family val="3"/>
        <charset val="134"/>
      </rPr>
      <t>苯唑西林钠</t>
    </r>
    <r>
      <rPr>
        <b/>
        <sz val="10"/>
        <rFont val="Microsoft Sans Serif"/>
        <family val="2"/>
      </rPr>
      <t>16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20H/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 </t>
    </r>
    <r>
      <rPr>
        <b/>
        <sz val="10"/>
        <rFont val="宋体"/>
        <family val="3"/>
        <charset val="134"/>
      </rPr>
      <t>苯唑西林钠（缓）</t>
    </r>
    <r>
      <rPr>
        <b/>
        <sz val="10"/>
        <rFont val="Microsoft Sans Serif"/>
        <family val="2"/>
      </rPr>
      <t>22</t>
    </r>
    <r>
      <rPr>
        <b/>
        <sz val="10"/>
        <rFont val="宋体"/>
        <family val="3"/>
        <charset val="134"/>
      </rPr>
      <t>批</t>
    </r>
    <r>
      <rPr>
        <b/>
        <sz val="10"/>
        <rFont val="Microsoft Sans Serif"/>
        <family val="2"/>
      </rPr>
      <t xml:space="preserve"> 20H/</t>
    </r>
    <r>
      <rPr>
        <b/>
        <sz val="10"/>
        <rFont val="宋体"/>
        <family val="3"/>
        <charset val="134"/>
      </rPr>
      <t>批</t>
    </r>
    <phoneticPr fontId="2" type="noConversion"/>
  </si>
  <si>
    <t>101苯唑西林钠车间</t>
    <phoneticPr fontId="2" type="noConversion"/>
  </si>
  <si>
    <t>停产</t>
    <phoneticPr fontId="2" type="noConversion"/>
  </si>
  <si>
    <r>
      <rPr>
        <sz val="10"/>
        <rFont val="宋体"/>
        <family val="3"/>
        <charset val="134"/>
      </rPr>
      <t>甲磺酸（鑫烨）</t>
    </r>
    <r>
      <rPr>
        <sz val="10"/>
        <rFont val="Microsoft Sans Serif"/>
        <family val="2"/>
      </rPr>
      <t>40mg 4/320 714013</t>
    </r>
    <phoneticPr fontId="2" type="noConversion"/>
  </si>
  <si>
    <r>
      <t>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  10/600 71402A</t>
    </r>
    <phoneticPr fontId="5" type="noConversion"/>
  </si>
  <si>
    <r>
      <rPr>
        <sz val="10"/>
        <rFont val="宋体"/>
        <family val="3"/>
        <charset val="134"/>
      </rPr>
      <t>二甲双胍格列本脲胶囊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二叶双平</t>
    </r>
    <r>
      <rPr>
        <sz val="10"/>
        <rFont val="Microsoft Sans Serif"/>
        <family val="2"/>
      </rPr>
      <t>)24/400 714031</t>
    </r>
    <phoneticPr fontId="9" type="noConversion"/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</si>
  <si>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)12/400 714085</t>
    </r>
    <phoneticPr fontId="2" type="noConversion"/>
  </si>
  <si>
    <t>0.5P-12 711004</t>
    <phoneticPr fontId="2" type="noConversion"/>
  </si>
  <si>
    <r>
      <t>2.0g</t>
    </r>
    <r>
      <rPr>
        <sz val="10"/>
        <rFont val="宋体"/>
        <family val="3"/>
        <charset val="134"/>
      </rPr>
      <t>阿莫</t>
    </r>
    <r>
      <rPr>
        <sz val="10"/>
        <rFont val="Microsoft Sans Serif"/>
        <family val="2"/>
      </rPr>
      <t xml:space="preserve"> 711023</t>
    </r>
    <phoneticPr fontId="2" type="noConversion"/>
  </si>
  <si>
    <r>
      <t>2.0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 xml:space="preserve"> 711078</t>
    </r>
    <phoneticPr fontId="2" type="noConversion"/>
  </si>
  <si>
    <r>
      <t>0.5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10 711101</t>
    </r>
    <phoneticPr fontId="2" type="noConversion"/>
  </si>
  <si>
    <t>1.0P-12 711010</t>
    <phoneticPr fontId="2" type="noConversion"/>
  </si>
  <si>
    <t>阿德福韦酯 620005</t>
    <phoneticPr fontId="2" type="noConversion"/>
  </si>
  <si>
    <t>依诺肝素钠 620008</t>
    <phoneticPr fontId="2" type="noConversion"/>
  </si>
  <si>
    <r>
      <t>3.0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10 711037</t>
    </r>
    <phoneticPr fontId="2" type="noConversion"/>
  </si>
  <si>
    <r>
      <t>2.25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 xml:space="preserve"> 711039</t>
    </r>
    <phoneticPr fontId="2" type="noConversion"/>
  </si>
  <si>
    <r>
      <t>0.75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 xml:space="preserve"> 711042</t>
    </r>
    <phoneticPr fontId="9" type="noConversion"/>
  </si>
  <si>
    <r>
      <t>3.0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 xml:space="preserve"> 711043</t>
    </r>
    <phoneticPr fontId="5" type="noConversion"/>
  </si>
  <si>
    <r>
      <t>1.5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 xml:space="preserve"> 711045</t>
    </r>
    <phoneticPr fontId="9" type="noConversion"/>
  </si>
  <si>
    <r>
      <t>1.5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 xml:space="preserve"> 711077</t>
    </r>
    <phoneticPr fontId="9" type="noConversion"/>
  </si>
  <si>
    <r>
      <t>1.0</t>
    </r>
    <r>
      <rPr>
        <sz val="10"/>
        <rFont val="宋体"/>
        <family val="3"/>
        <charset val="134"/>
      </rPr>
      <t>阿洛</t>
    </r>
    <r>
      <rPr>
        <sz val="10"/>
        <rFont val="Microsoft Sans Serif"/>
        <family val="2"/>
      </rPr>
      <t xml:space="preserve"> 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 xml:space="preserve"> 711079</t>
    </r>
    <phoneticPr fontId="2" type="noConversion"/>
  </si>
  <si>
    <r>
      <t>2.0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 xml:space="preserve"> 711092</t>
    </r>
    <phoneticPr fontId="2" type="noConversion"/>
  </si>
  <si>
    <r>
      <t>3.0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 xml:space="preserve"> 711094</t>
    </r>
    <phoneticPr fontId="2" type="noConversion"/>
  </si>
  <si>
    <r>
      <t>1.0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 xml:space="preserve"> 711102</t>
    </r>
    <phoneticPr fontId="2" type="noConversion"/>
  </si>
  <si>
    <r>
      <t>3.2</t>
    </r>
    <r>
      <rPr>
        <sz val="10"/>
        <rFont val="宋体"/>
        <family val="3"/>
        <charset val="134"/>
      </rPr>
      <t>二叶康</t>
    </r>
    <r>
      <rPr>
        <sz val="10"/>
        <rFont val="Microsoft Sans Serif"/>
        <family val="2"/>
      </rPr>
      <t xml:space="preserve"> 711112</t>
    </r>
    <phoneticPr fontId="2" type="noConversion"/>
  </si>
  <si>
    <r>
      <t>1.125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 xml:space="preserve"> 711121</t>
    </r>
    <phoneticPr fontId="9" type="noConversion"/>
  </si>
  <si>
    <r>
      <t>3.375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 xml:space="preserve"> 711125</t>
    </r>
    <phoneticPr fontId="9" type="noConversion"/>
  </si>
  <si>
    <r>
      <t>4.5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 xml:space="preserve"> 711126</t>
    </r>
    <phoneticPr fontId="9" type="noConversion"/>
  </si>
  <si>
    <r>
      <t>1.25</t>
    </r>
    <r>
      <rPr>
        <sz val="10"/>
        <rFont val="宋体"/>
        <family val="3"/>
        <charset val="134"/>
      </rPr>
      <t>美洛西林钠舒巴坦钠</t>
    </r>
    <r>
      <rPr>
        <sz val="10"/>
        <rFont val="Microsoft Sans Serif"/>
        <family val="2"/>
      </rPr>
      <t xml:space="preserve"> 711131</t>
    </r>
    <phoneticPr fontId="5" type="noConversion"/>
  </si>
  <si>
    <r>
      <t>3.0</t>
    </r>
    <r>
      <rPr>
        <sz val="10"/>
        <rFont val="宋体"/>
        <family val="3"/>
        <charset val="134"/>
      </rPr>
      <t>嗪舒</t>
    </r>
    <r>
      <rPr>
        <sz val="10"/>
        <rFont val="Microsoft Sans Serif"/>
        <family val="2"/>
      </rPr>
      <t>10 711144</t>
    </r>
    <phoneticPr fontId="9" type="noConversion"/>
  </si>
  <si>
    <r>
      <rPr>
        <b/>
        <sz val="10"/>
        <rFont val="宋体"/>
        <family val="3"/>
        <charset val="134"/>
      </rPr>
      <t>月初</t>
    </r>
    <r>
      <rPr>
        <b/>
        <sz val="10"/>
        <rFont val="Microsoft Sans Serif"/>
        <family val="2"/>
      </rPr>
      <t>1</t>
    </r>
    <r>
      <rPr>
        <b/>
        <sz val="10"/>
        <rFont val="宋体"/>
        <family val="3"/>
        <charset val="134"/>
      </rPr>
      <t>天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做完研发交接进行</t>
    </r>
    <r>
      <rPr>
        <b/>
        <sz val="10"/>
        <rFont val="Microsoft Sans Serif"/>
        <family val="2"/>
      </rPr>
      <t>RD06</t>
    </r>
    <r>
      <rPr>
        <b/>
        <sz val="10"/>
        <rFont val="宋体"/>
        <family val="3"/>
        <charset val="134"/>
      </rPr>
      <t>工作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相关车间套件部分制造费用</t>
    </r>
    <r>
      <rPr>
        <b/>
        <sz val="10"/>
        <rFont val="Microsoft Sans Serif"/>
        <family val="2"/>
      </rPr>
      <t>29/30</t>
    </r>
    <r>
      <rPr>
        <b/>
        <sz val="10"/>
        <rFont val="宋体"/>
        <family val="3"/>
        <charset val="134"/>
      </rPr>
      <t>划入研发费用</t>
    </r>
    <phoneticPr fontId="2" type="noConversion"/>
  </si>
  <si>
    <t>104普通原料药车间</t>
    <phoneticPr fontId="2" type="noConversion"/>
  </si>
  <si>
    <r>
      <t>100mg</t>
    </r>
    <r>
      <rPr>
        <sz val="10"/>
        <rFont val="宋体"/>
        <family val="3"/>
        <charset val="134"/>
      </rPr>
      <t>川芎嗪二叶青</t>
    </r>
    <r>
      <rPr>
        <sz val="10"/>
        <rFont val="Microsoft Sans Serif"/>
        <family val="2"/>
      </rPr>
      <t>10/1000  713016</t>
    </r>
    <phoneticPr fontId="5" type="noConversion"/>
  </si>
  <si>
    <r>
      <t>1.0</t>
    </r>
    <r>
      <rPr>
        <sz val="10"/>
        <rFont val="宋体"/>
        <family val="3"/>
        <charset val="134"/>
      </rPr>
      <t>左卡尼汀</t>
    </r>
    <r>
      <rPr>
        <sz val="10"/>
        <rFont val="Microsoft Sans Serif"/>
        <family val="2"/>
      </rPr>
      <t xml:space="preserve">  713082</t>
    </r>
    <phoneticPr fontId="5" type="noConversion"/>
  </si>
  <si>
    <r>
      <t>80mg</t>
    </r>
    <r>
      <rPr>
        <sz val="10"/>
        <rFont val="宋体"/>
        <family val="3"/>
        <charset val="134"/>
      </rPr>
      <t>奥扎格雷钠</t>
    </r>
    <r>
      <rPr>
        <sz val="10"/>
        <rFont val="Microsoft Sans Serif"/>
        <family val="2"/>
      </rPr>
      <t xml:space="preserve"> 10/1000 713105</t>
    </r>
    <phoneticPr fontId="5" type="noConversion"/>
  </si>
  <si>
    <r>
      <t>40mg</t>
    </r>
    <r>
      <rPr>
        <sz val="10"/>
        <rFont val="宋体"/>
        <family val="3"/>
        <charset val="134"/>
      </rPr>
      <t>奥扎格雷钠（二叶坦）</t>
    </r>
    <r>
      <rPr>
        <sz val="10"/>
        <rFont val="Microsoft Sans Serif"/>
        <family val="2"/>
      </rPr>
      <t>1000 713107</t>
    </r>
    <phoneticPr fontId="5" type="noConversion"/>
  </si>
  <si>
    <r>
      <rPr>
        <sz val="10"/>
        <rFont val="宋体"/>
        <family val="3"/>
        <charset val="134"/>
      </rPr>
      <t>其中：</t>
    </r>
    <r>
      <rPr>
        <sz val="10"/>
        <rFont val="Microsoft Sans Serif"/>
        <family val="2"/>
      </rPr>
      <t>40mg</t>
    </r>
    <r>
      <rPr>
        <sz val="10"/>
        <rFont val="宋体"/>
        <family val="3"/>
        <charset val="134"/>
      </rPr>
      <t>依诺肝素钠</t>
    </r>
    <r>
      <rPr>
        <sz val="10"/>
        <rFont val="Microsoft Sans Serif"/>
        <family val="2"/>
      </rPr>
      <t xml:space="preserve"> 713161</t>
    </r>
    <phoneticPr fontId="5" type="noConversion"/>
  </si>
  <si>
    <t>本月生产肝素钠</t>
    <phoneticPr fontId="2" type="noConversion"/>
  </si>
  <si>
    <t>203冻干粉针车间</t>
    <phoneticPr fontId="2" type="noConversion"/>
  </si>
  <si>
    <r>
      <rPr>
        <b/>
        <sz val="20"/>
        <rFont val="黑体"/>
        <family val="3"/>
        <charset val="134"/>
      </rPr>
      <t>能源分配</t>
    </r>
    <r>
      <rPr>
        <b/>
        <sz val="20"/>
        <rFont val="Times New Roman"/>
        <family val="1"/>
      </rPr>
      <t xml:space="preserve">                                                 2015.12</t>
    </r>
    <phoneticPr fontId="9" type="noConversion"/>
  </si>
  <si>
    <t>辅助费用分配                                      2015.12</t>
    <phoneticPr fontId="5" type="noConversion"/>
  </si>
  <si>
    <r>
      <t>2015.12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</si>
  <si>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</si>
  <si>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</si>
  <si>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5" type="noConversion"/>
  </si>
  <si>
    <r>
      <t>2015.12</t>
    </r>
    <r>
      <rPr>
        <b/>
        <sz val="10"/>
        <rFont val="宋体"/>
        <family val="3"/>
        <charset val="134"/>
      </rPr>
      <t>青霉素粉针剂车间三项费用分配表</t>
    </r>
    <phoneticPr fontId="9" type="noConversion"/>
  </si>
  <si>
    <r>
      <t>2015.12</t>
    </r>
    <r>
      <rPr>
        <b/>
        <sz val="10"/>
        <rFont val="宋体"/>
        <family val="3"/>
        <charset val="134"/>
      </rPr>
      <t>头孢粉针剂车间三项费用分配表</t>
    </r>
    <phoneticPr fontId="9" type="noConversion"/>
  </si>
  <si>
    <r>
      <t>2015.12</t>
    </r>
    <r>
      <rPr>
        <b/>
        <sz val="10"/>
        <rFont val="宋体"/>
        <family val="3"/>
        <charset val="134"/>
      </rPr>
      <t>月份冻干粉针剂车间三项费用分配表</t>
    </r>
    <phoneticPr fontId="9" type="noConversion"/>
  </si>
  <si>
    <r>
      <t>2015.12</t>
    </r>
    <r>
      <rPr>
        <b/>
        <sz val="10"/>
        <rFont val="宋体"/>
        <family val="3"/>
        <charset val="134"/>
      </rPr>
      <t>月份胶囊剂车间三项费用分配表</t>
    </r>
    <phoneticPr fontId="9" type="noConversion"/>
  </si>
  <si>
    <r>
      <t>2015.12</t>
    </r>
    <r>
      <rPr>
        <b/>
        <sz val="10"/>
        <rFont val="宋体"/>
        <family val="3"/>
        <charset val="134"/>
      </rPr>
      <t>霉素粉针剂二期车间三项费用分配表</t>
    </r>
    <phoneticPr fontId="9" type="noConversion"/>
  </si>
  <si>
    <r>
      <t>60mg</t>
    </r>
    <r>
      <rPr>
        <sz val="10"/>
        <rFont val="宋体"/>
        <family val="3"/>
        <charset val="134"/>
      </rPr>
      <t>奥美</t>
    </r>
    <r>
      <rPr>
        <sz val="10"/>
        <rFont val="Microsoft Sans Serif"/>
        <family val="2"/>
      </rPr>
      <t>10/400 713073</t>
    </r>
    <phoneticPr fontId="5" type="noConversion"/>
  </si>
  <si>
    <r>
      <t>0.5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 xml:space="preserve"> 712108</t>
    </r>
    <phoneticPr fontId="2" type="noConversion"/>
  </si>
  <si>
    <r>
      <rPr>
        <b/>
        <sz val="10"/>
        <rFont val="宋体"/>
        <family val="3"/>
        <charset val="134"/>
      </rPr>
      <t>头孢类工艺改进项目</t>
    </r>
    <r>
      <rPr>
        <b/>
        <sz val="10"/>
        <rFont val="Microsoft Sans Serif"/>
        <family val="2"/>
      </rPr>
      <t>RD06 7</t>
    </r>
    <r>
      <rPr>
        <b/>
        <sz val="10"/>
        <rFont val="宋体"/>
        <family val="3"/>
        <charset val="134"/>
      </rPr>
      <t>天</t>
    </r>
    <r>
      <rPr>
        <b/>
        <sz val="10"/>
        <rFont val="Microsoft Sans Serif"/>
        <family val="2"/>
      </rPr>
      <t xml:space="preserve">  </t>
    </r>
    <r>
      <rPr>
        <b/>
        <sz val="10"/>
        <rFont val="宋体"/>
        <family val="3"/>
        <charset val="134"/>
      </rPr>
      <t>其余正常生产</t>
    </r>
    <phoneticPr fontId="2" type="noConversion"/>
  </si>
  <si>
    <t>RD06=小计*7/31</t>
    <phoneticPr fontId="2" type="noConversion"/>
  </si>
  <si>
    <t xml:space="preserve">17号起开始生产 之前车间整体配合青霉素无菌原药工艺改进试验 </t>
    <phoneticPr fontId="2" type="noConversion"/>
  </si>
  <si>
    <t>青霉素无菌原药工艺改进（RD01）=14/31</t>
    <phoneticPr fontId="2" type="noConversion"/>
  </si>
  <si>
    <t>产成品分摊合计：=17/31</t>
    <phoneticPr fontId="5" type="noConversion"/>
  </si>
  <si>
    <t>成本合计</t>
    <phoneticPr fontId="5" type="noConversion"/>
  </si>
  <si>
    <t xml:space="preserve">粗品1 48批 48H/批 粗品2 48批 48H/批  </t>
    <phoneticPr fontId="2" type="noConversion"/>
  </si>
  <si>
    <t>回收醋酸丁酯</t>
    <phoneticPr fontId="5" type="noConversion"/>
  </si>
  <si>
    <t>回收正丁醇</t>
    <phoneticPr fontId="5" type="noConversion"/>
  </si>
  <si>
    <t>回收醋酸乙酯</t>
    <phoneticPr fontId="5" type="noConversion"/>
  </si>
  <si>
    <t>回收乙醇</t>
    <phoneticPr fontId="5" type="noConversion"/>
  </si>
  <si>
    <t>回收醋酸丁酯 23批  回收正丁醇 10批  回收醋酸乙酯6批 回收乙醇1批 都是12H/批</t>
    <phoneticPr fontId="2" type="noConversion"/>
  </si>
  <si>
    <t>101苯唑西林钠车间</t>
    <phoneticPr fontId="2" type="noConversion"/>
  </si>
  <si>
    <t>少量生产配合研发 研发工时计算生产同等</t>
    <phoneticPr fontId="2" type="noConversion"/>
  </si>
  <si>
    <t>104普通原料药车间</t>
    <phoneticPr fontId="2" type="noConversion"/>
  </si>
  <si>
    <r>
      <t>160</t>
    </r>
    <r>
      <rPr>
        <sz val="10"/>
        <rFont val="宋体"/>
        <family val="3"/>
        <charset val="134"/>
      </rPr>
      <t>万钠</t>
    </r>
    <r>
      <rPr>
        <sz val="10"/>
        <rFont val="Microsoft Sans Serif"/>
        <family val="2"/>
      </rPr>
      <t xml:space="preserve"> 711003</t>
    </r>
    <phoneticPr fontId="9" type="noConversion"/>
  </si>
  <si>
    <r>
      <t>1.0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 xml:space="preserve">  711007</t>
    </r>
    <phoneticPr fontId="2" type="noConversion"/>
  </si>
  <si>
    <r>
      <t>0.5g</t>
    </r>
    <r>
      <rPr>
        <sz val="10"/>
        <rFont val="宋体"/>
        <family val="3"/>
        <charset val="134"/>
      </rPr>
      <t>阿莫</t>
    </r>
    <r>
      <rPr>
        <sz val="10"/>
        <rFont val="Microsoft Sans Serif"/>
        <family val="2"/>
      </rPr>
      <t xml:space="preserve">  711021</t>
    </r>
    <phoneticPr fontId="2" type="noConversion"/>
  </si>
  <si>
    <r>
      <t>1.5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10   711038</t>
    </r>
    <phoneticPr fontId="2" type="noConversion"/>
  </si>
  <si>
    <r>
      <t>1.2</t>
    </r>
    <r>
      <rPr>
        <sz val="10"/>
        <rFont val="宋体"/>
        <family val="3"/>
        <charset val="134"/>
      </rPr>
      <t>二叶克</t>
    </r>
    <r>
      <rPr>
        <sz val="10"/>
        <rFont val="Microsoft Sans Serif"/>
        <family val="2"/>
      </rPr>
      <t xml:space="preserve"> 711056</t>
    </r>
    <phoneticPr fontId="2" type="noConversion"/>
  </si>
  <si>
    <r>
      <t>1.2</t>
    </r>
    <r>
      <rPr>
        <sz val="10"/>
        <rFont val="宋体"/>
        <family val="3"/>
        <charset val="134"/>
      </rPr>
      <t>二叶克</t>
    </r>
    <r>
      <rPr>
        <sz val="10"/>
        <rFont val="Microsoft Sans Serif"/>
        <family val="2"/>
      </rPr>
      <t xml:space="preserve">  711056</t>
    </r>
    <phoneticPr fontId="2" type="noConversion"/>
  </si>
  <si>
    <r>
      <t>1.0</t>
    </r>
    <r>
      <rPr>
        <sz val="10"/>
        <rFont val="宋体"/>
        <family val="3"/>
        <charset val="134"/>
      </rPr>
      <t>二叶安</t>
    </r>
    <r>
      <rPr>
        <sz val="10"/>
        <rFont val="Microsoft Sans Serif"/>
        <family val="2"/>
      </rPr>
      <t xml:space="preserve">  711061</t>
    </r>
    <phoneticPr fontId="9" type="noConversion"/>
  </si>
  <si>
    <t>201青霉素粉针车间</t>
    <phoneticPr fontId="2" type="noConversion"/>
  </si>
  <si>
    <t>RD01=18/31</t>
    <phoneticPr fontId="2" type="noConversion"/>
  </si>
  <si>
    <r>
      <t>14</t>
    </r>
    <r>
      <rPr>
        <b/>
        <sz val="10"/>
        <color theme="1"/>
        <rFont val="宋体"/>
        <family val="3"/>
        <charset val="134"/>
      </rPr>
      <t>号起配合研发进行青霉素重点品种工艺改进</t>
    </r>
    <r>
      <rPr>
        <b/>
        <sz val="10"/>
        <color theme="1"/>
        <rFont val="Microsoft Sans Serif"/>
        <family val="2"/>
      </rPr>
      <t>RD01</t>
    </r>
    <r>
      <rPr>
        <b/>
        <sz val="10"/>
        <color theme="1"/>
        <rFont val="宋体"/>
        <family val="3"/>
        <charset val="134"/>
      </rPr>
      <t>项目试验</t>
    </r>
    <r>
      <rPr>
        <b/>
        <sz val="10"/>
        <color theme="1"/>
        <rFont val="Microsoft Sans Serif"/>
        <family val="2"/>
      </rPr>
      <t xml:space="preserve"> </t>
    </r>
    <phoneticPr fontId="2" type="noConversion"/>
  </si>
  <si>
    <t>小计-RD06</t>
    <phoneticPr fontId="2" type="noConversion"/>
  </si>
  <si>
    <t>成本分摊费用=小计-RD01</t>
    <phoneticPr fontId="2" type="noConversion"/>
  </si>
  <si>
    <r>
      <t>0.6</t>
    </r>
    <r>
      <rPr>
        <sz val="10"/>
        <rFont val="宋体"/>
        <family val="3"/>
        <charset val="134"/>
      </rPr>
      <t>二叶克</t>
    </r>
    <r>
      <rPr>
        <sz val="10"/>
        <rFont val="Microsoft Sans Serif"/>
        <family val="2"/>
      </rPr>
      <t xml:space="preserve">  711054</t>
    </r>
    <phoneticPr fontId="2" type="noConversion"/>
  </si>
  <si>
    <t>206青霉素粉针二期车间</t>
    <phoneticPr fontId="2" type="noConversion"/>
  </si>
  <si>
    <t>生产完工：</t>
    <phoneticPr fontId="2" type="noConversion"/>
  </si>
  <si>
    <t>生产未完工：</t>
    <phoneticPr fontId="2" type="noConversion"/>
  </si>
  <si>
    <t>冻干完工：</t>
    <phoneticPr fontId="2" type="noConversion"/>
  </si>
  <si>
    <t>冻干未完工：</t>
    <phoneticPr fontId="2" type="noConversion"/>
  </si>
  <si>
    <t>此2项只0803部门显示</t>
    <phoneticPr fontId="2" type="noConversion"/>
  </si>
  <si>
    <t>黄色部分为当期生产过但尚未完工入库的品种，填列工时用当期的能源、工资、制造分配之后显示出数字即可</t>
    <phoneticPr fontId="2" type="noConversion"/>
  </si>
  <si>
    <t>说明</t>
    <phoneticPr fontId="2" type="noConversion"/>
  </si>
  <si>
    <r>
      <t>75mg</t>
    </r>
    <r>
      <rPr>
        <sz val="10"/>
        <color theme="1"/>
        <rFont val="宋体"/>
        <family val="3"/>
        <charset val="134"/>
      </rPr>
      <t>二叶虹</t>
    </r>
    <r>
      <rPr>
        <sz val="10"/>
        <color theme="1"/>
        <rFont val="Microsoft Sans Serif"/>
        <family val="2"/>
      </rPr>
      <t xml:space="preserve">24*400 714024  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Microsoft Sans Serif"/>
        <family val="2"/>
      </rPr>
      <t>72</t>
    </r>
    <r>
      <rPr>
        <sz val="10"/>
        <color theme="1"/>
        <rFont val="宋体"/>
        <family val="3"/>
        <charset val="134"/>
      </rPr>
      <t>工时</t>
    </r>
    <r>
      <rPr>
        <sz val="10"/>
        <color theme="1"/>
        <rFont val="Microsoft Sans Serif"/>
        <family val="2"/>
      </rPr>
      <t xml:space="preserve"> 37</t>
    </r>
    <r>
      <rPr>
        <sz val="10"/>
        <color theme="1"/>
        <rFont val="宋体"/>
        <family val="3"/>
        <charset val="134"/>
      </rPr>
      <t>工时</t>
    </r>
    <r>
      <rPr>
        <sz val="10"/>
        <color theme="1"/>
        <rFont val="Microsoft Sans Serif"/>
        <family val="2"/>
      </rPr>
      <t xml:space="preserve"> </t>
    </r>
    <r>
      <rPr>
        <sz val="10"/>
        <color theme="1"/>
        <rFont val="宋体"/>
        <family val="3"/>
        <charset val="134"/>
      </rPr>
      <t>以产品材料耗用登记中的生产完工</t>
    </r>
    <r>
      <rPr>
        <sz val="10"/>
        <color theme="1"/>
        <rFont val="Microsoft Sans Serif"/>
        <family val="2"/>
      </rPr>
      <t xml:space="preserve"> </t>
    </r>
    <r>
      <rPr>
        <sz val="10"/>
        <color theme="1"/>
        <rFont val="宋体"/>
        <family val="3"/>
        <charset val="134"/>
      </rPr>
      <t>生产未完工</t>
    </r>
    <r>
      <rPr>
        <sz val="10"/>
        <color theme="1"/>
        <rFont val="Microsoft Sans Serif"/>
        <family val="2"/>
      </rPr>
      <t xml:space="preserve"> </t>
    </r>
    <r>
      <rPr>
        <sz val="10"/>
        <color theme="1"/>
        <rFont val="宋体"/>
        <family val="3"/>
        <charset val="134"/>
      </rPr>
      <t>来取数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</si>
</sst>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-* #,##0.00_-;\-* #,##0.00_-;_-* &quot;-&quot;??_-;_-@_-"/>
    <numFmt numFmtId="177" formatCode="#,##0.00_ "/>
    <numFmt numFmtId="178" formatCode="#,##0.00_);[Red]\(#,##0.00\)"/>
    <numFmt numFmtId="179" formatCode="#,##0.000_ "/>
    <numFmt numFmtId="180" formatCode="0.00_);[Red]\(0.00\)"/>
    <numFmt numFmtId="181" formatCode="0.00_ "/>
    <numFmt numFmtId="182" formatCode="#,##0.0_ "/>
    <numFmt numFmtId="183" formatCode="0_ "/>
  </numFmts>
  <fonts count="3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Microsoft Sans Serif"/>
      <family val="2"/>
      <charset val="134"/>
    </font>
    <font>
      <b/>
      <sz val="10"/>
      <name val="Microsoft Sans Serif"/>
      <family val="2"/>
      <charset val="134"/>
    </font>
    <font>
      <b/>
      <sz val="10"/>
      <name val="宋体"/>
      <family val="3"/>
      <charset val="134"/>
    </font>
    <font>
      <sz val="9"/>
      <name val="宋体-10Point倍宽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20"/>
      <name val="黑体"/>
      <family val="3"/>
      <charset val="134"/>
    </font>
    <font>
      <b/>
      <sz val="12"/>
      <name val="Times New Roman"/>
      <family val="1"/>
    </font>
    <font>
      <b/>
      <sz val="20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name val="Microsoft Sans Serif"/>
      <family val="2"/>
    </font>
    <font>
      <b/>
      <sz val="10"/>
      <name val="Microsoft Sans Serif"/>
      <family val="2"/>
    </font>
    <font>
      <sz val="10"/>
      <color theme="1"/>
      <name val="Microsoft Sans Serif"/>
      <family val="2"/>
    </font>
    <font>
      <sz val="10"/>
      <color theme="1"/>
      <name val="宋体"/>
      <family val="2"/>
      <charset val="134"/>
    </font>
    <font>
      <b/>
      <sz val="10"/>
      <color theme="1"/>
      <name val="Microsoft Sans Serif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2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Microsoft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/>
  </cellStyleXfs>
  <cellXfs count="291">
    <xf numFmtId="0" fontId="0" fillId="0" borderId="0" xfId="0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177" fontId="0" fillId="0" borderId="1" xfId="0" applyNumberFormat="1" applyFill="1" applyBorder="1" applyAlignment="1">
      <alignment horizontal="right"/>
    </xf>
    <xf numFmtId="179" fontId="13" fillId="0" borderId="12" xfId="4" applyNumberFormat="1" applyFont="1" applyFill="1" applyBorder="1" applyAlignment="1">
      <alignment horizontal="center" vertical="center"/>
    </xf>
    <xf numFmtId="10" fontId="13" fillId="0" borderId="1" xfId="3" applyNumberFormat="1" applyFont="1" applyFill="1" applyBorder="1" applyAlignment="1">
      <alignment horizontal="center" vertical="center"/>
    </xf>
    <xf numFmtId="177" fontId="13" fillId="0" borderId="1" xfId="4" applyNumberFormat="1" applyFont="1" applyFill="1" applyBorder="1" applyAlignment="1">
      <alignment horizontal="center" vertical="center"/>
    </xf>
    <xf numFmtId="179" fontId="13" fillId="0" borderId="13" xfId="4" applyNumberFormat="1" applyFont="1" applyFill="1" applyBorder="1" applyAlignment="1">
      <alignment horizontal="center" vertical="center"/>
    </xf>
    <xf numFmtId="177" fontId="13" fillId="0" borderId="8" xfId="4" applyNumberFormat="1" applyFont="1" applyFill="1" applyBorder="1" applyAlignment="1">
      <alignment horizontal="left" vertical="center"/>
    </xf>
    <xf numFmtId="177" fontId="13" fillId="0" borderId="1" xfId="4" applyNumberFormat="1" applyFont="1" applyFill="1" applyBorder="1" applyAlignment="1">
      <alignment horizontal="right" vertical="center"/>
    </xf>
    <xf numFmtId="10" fontId="13" fillId="0" borderId="1" xfId="4" applyNumberFormat="1" applyFont="1" applyFill="1" applyBorder="1" applyAlignment="1">
      <alignment horizontal="center" vertical="center"/>
    </xf>
    <xf numFmtId="177" fontId="13" fillId="0" borderId="13" xfId="4" applyNumberFormat="1" applyFont="1" applyFill="1" applyBorder="1" applyAlignment="1">
      <alignment horizontal="right" vertical="center"/>
    </xf>
    <xf numFmtId="177" fontId="13" fillId="0" borderId="14" xfId="4" applyNumberFormat="1" applyFont="1" applyFill="1" applyBorder="1" applyAlignment="1">
      <alignment horizontal="left" vertical="center"/>
    </xf>
    <xf numFmtId="10" fontId="13" fillId="0" borderId="15" xfId="3" applyNumberFormat="1" applyFont="1" applyFill="1" applyBorder="1" applyAlignment="1">
      <alignment horizontal="center" vertical="center"/>
    </xf>
    <xf numFmtId="177" fontId="13" fillId="0" borderId="15" xfId="4" applyNumberFormat="1" applyFont="1" applyFill="1" applyBorder="1" applyAlignment="1">
      <alignment horizontal="right" vertical="center"/>
    </xf>
    <xf numFmtId="10" fontId="13" fillId="0" borderId="15" xfId="4" applyNumberFormat="1" applyFont="1" applyFill="1" applyBorder="1" applyAlignment="1">
      <alignment horizontal="center" vertical="center"/>
    </xf>
    <xf numFmtId="10" fontId="13" fillId="0" borderId="0" xfId="3" applyNumberFormat="1" applyFont="1" applyFill="1" applyAlignment="1">
      <alignment horizontal="center" vertical="center"/>
    </xf>
    <xf numFmtId="177" fontId="13" fillId="0" borderId="0" xfId="4" applyNumberFormat="1" applyFont="1" applyFill="1" applyAlignment="1">
      <alignment horizontal="center" vertical="center"/>
    </xf>
    <xf numFmtId="179" fontId="13" fillId="0" borderId="0" xfId="4" applyNumberFormat="1" applyFont="1" applyFill="1" applyAlignment="1">
      <alignment horizontal="center" vertical="center"/>
    </xf>
    <xf numFmtId="10" fontId="13" fillId="3" borderId="1" xfId="3" applyNumberFormat="1" applyFont="1" applyFill="1" applyBorder="1" applyAlignment="1">
      <alignment horizontal="center" vertical="center"/>
    </xf>
    <xf numFmtId="10" fontId="13" fillId="3" borderId="1" xfId="4" applyNumberFormat="1" applyFont="1" applyFill="1" applyBorder="1" applyAlignment="1">
      <alignment horizontal="center" vertical="center"/>
    </xf>
    <xf numFmtId="0" fontId="0" fillId="0" borderId="0" xfId="0" applyAlignment="1"/>
    <xf numFmtId="180" fontId="0" fillId="0" borderId="0" xfId="0" applyNumberFormat="1" applyAlignment="1"/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0" applyNumberFormat="1" applyFill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0" fillId="0" borderId="1" xfId="0" applyNumberFormat="1" applyBorder="1" applyAlignment="1"/>
    <xf numFmtId="0" fontId="0" fillId="0" borderId="1" xfId="0" quotePrefix="1" applyNumberFormat="1" applyBorder="1" applyAlignment="1"/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13" fillId="7" borderId="1" xfId="3" applyNumberFormat="1" applyFont="1" applyFill="1" applyBorder="1" applyAlignment="1">
      <alignment horizontal="center" vertical="center"/>
    </xf>
    <xf numFmtId="177" fontId="13" fillId="7" borderId="1" xfId="4" applyNumberFormat="1" applyFont="1" applyFill="1" applyBorder="1" applyAlignment="1">
      <alignment horizontal="right" vertical="center"/>
    </xf>
    <xf numFmtId="10" fontId="13" fillId="7" borderId="1" xfId="4" applyNumberFormat="1" applyFont="1" applyFill="1" applyBorder="1" applyAlignment="1">
      <alignment horizontal="center" vertical="center"/>
    </xf>
    <xf numFmtId="177" fontId="13" fillId="7" borderId="13" xfId="4" applyNumberFormat="1" applyFont="1" applyFill="1" applyBorder="1" applyAlignment="1">
      <alignment horizontal="right" vertical="center"/>
    </xf>
    <xf numFmtId="177" fontId="17" fillId="0" borderId="1" xfId="0" applyNumberFormat="1" applyFont="1" applyFill="1" applyBorder="1" applyAlignment="1"/>
    <xf numFmtId="177" fontId="17" fillId="0" borderId="0" xfId="0" applyNumberFormat="1" applyFont="1" applyFill="1" applyAlignment="1"/>
    <xf numFmtId="177" fontId="17" fillId="0" borderId="0" xfId="0" applyNumberFormat="1" applyFont="1" applyFill="1" applyAlignment="1">
      <alignment horizontal="center"/>
    </xf>
    <xf numFmtId="177" fontId="17" fillId="0" borderId="1" xfId="2" applyNumberFormat="1" applyFont="1" applyFill="1" applyBorder="1" applyAlignment="1"/>
    <xf numFmtId="177" fontId="17" fillId="0" borderId="1" xfId="2" applyNumberFormat="1" applyFont="1" applyFill="1" applyBorder="1" applyAlignment="1">
      <alignment horizontal="center"/>
    </xf>
    <xf numFmtId="177" fontId="17" fillId="0" borderId="1" xfId="2" applyNumberFormat="1" applyFont="1" applyFill="1" applyBorder="1" applyAlignment="1">
      <alignment horizontal="right"/>
    </xf>
    <xf numFmtId="177" fontId="17" fillId="0" borderId="1" xfId="0" applyNumberFormat="1" applyFont="1" applyFill="1" applyBorder="1" applyAlignment="1">
      <alignment horizontal="center"/>
    </xf>
    <xf numFmtId="177" fontId="17" fillId="0" borderId="1" xfId="2" applyNumberFormat="1" applyFont="1" applyFill="1" applyBorder="1" applyAlignment="1">
      <alignment vertical="center" wrapText="1"/>
    </xf>
    <xf numFmtId="49" fontId="17" fillId="0" borderId="1" xfId="0" applyNumberFormat="1" applyFont="1" applyFill="1" applyBorder="1" applyAlignment="1">
      <alignment horizontal="center"/>
    </xf>
    <xf numFmtId="177" fontId="18" fillId="0" borderId="1" xfId="2" applyNumberFormat="1" applyFont="1" applyFill="1" applyBorder="1" applyAlignment="1">
      <alignment horizontal="center"/>
    </xf>
    <xf numFmtId="177" fontId="18" fillId="0" borderId="1" xfId="0" applyNumberFormat="1" applyFont="1" applyFill="1" applyBorder="1" applyAlignment="1"/>
    <xf numFmtId="177" fontId="18" fillId="0" borderId="1" xfId="2" applyNumberFormat="1" applyFont="1" applyFill="1" applyBorder="1" applyAlignment="1">
      <alignment horizontal="right"/>
    </xf>
    <xf numFmtId="177" fontId="17" fillId="0" borderId="0" xfId="2" applyNumberFormat="1" applyFont="1" applyFill="1" applyBorder="1" applyAlignment="1"/>
    <xf numFmtId="177" fontId="17" fillId="0" borderId="0" xfId="2" applyNumberFormat="1" applyFont="1" applyFill="1" applyBorder="1" applyAlignment="1">
      <alignment horizontal="center"/>
    </xf>
    <xf numFmtId="177" fontId="17" fillId="4" borderId="1" xfId="2" applyNumberFormat="1" applyFont="1" applyFill="1" applyBorder="1" applyAlignment="1"/>
    <xf numFmtId="177" fontId="17" fillId="6" borderId="1" xfId="0" applyNumberFormat="1" applyFont="1" applyFill="1" applyBorder="1" applyAlignment="1"/>
    <xf numFmtId="177" fontId="17" fillId="6" borderId="1" xfId="0" applyNumberFormat="1" applyFont="1" applyFill="1" applyBorder="1" applyAlignment="1">
      <alignment horizontal="center"/>
    </xf>
    <xf numFmtId="177" fontId="17" fillId="6" borderId="1" xfId="2" applyNumberFormat="1" applyFont="1" applyFill="1" applyBorder="1" applyAlignment="1">
      <alignment horizontal="center"/>
    </xf>
    <xf numFmtId="177" fontId="17" fillId="0" borderId="1" xfId="0" applyNumberFormat="1" applyFont="1" applyFill="1" applyBorder="1" applyAlignment="1">
      <alignment horizontal="right"/>
    </xf>
    <xf numFmtId="177" fontId="17" fillId="5" borderId="1" xfId="0" applyNumberFormat="1" applyFont="1" applyFill="1" applyBorder="1" applyAlignment="1"/>
    <xf numFmtId="177" fontId="17" fillId="5" borderId="1" xfId="2" applyNumberFormat="1" applyFont="1" applyFill="1" applyBorder="1" applyAlignment="1">
      <alignment horizontal="center"/>
    </xf>
    <xf numFmtId="177" fontId="17" fillId="5" borderId="1" xfId="2" applyNumberFormat="1" applyFont="1" applyFill="1" applyBorder="1" applyAlignment="1"/>
    <xf numFmtId="177" fontId="17" fillId="5" borderId="1" xfId="0" applyNumberFormat="1" applyFont="1" applyFill="1" applyBorder="1" applyAlignment="1">
      <alignment horizontal="right"/>
    </xf>
    <xf numFmtId="177" fontId="18" fillId="0" borderId="1" xfId="0" applyNumberFormat="1" applyFont="1" applyFill="1" applyBorder="1" applyAlignment="1">
      <alignment horizontal="center"/>
    </xf>
    <xf numFmtId="177" fontId="18" fillId="0" borderId="0" xfId="2" applyNumberFormat="1" applyFont="1" applyFill="1" applyBorder="1" applyAlignment="1"/>
    <xf numFmtId="177" fontId="17" fillId="0" borderId="0" xfId="2" applyNumberFormat="1" applyFont="1" applyFill="1" applyAlignment="1">
      <alignment horizontal="center"/>
    </xf>
    <xf numFmtId="177" fontId="17" fillId="0" borderId="0" xfId="2" applyNumberFormat="1" applyFont="1" applyFill="1" applyAlignment="1"/>
    <xf numFmtId="177" fontId="17" fillId="4" borderId="1" xfId="2" applyNumberFormat="1" applyFont="1" applyFill="1" applyBorder="1" applyAlignment="1">
      <alignment horizontal="right"/>
    </xf>
    <xf numFmtId="177" fontId="17" fillId="0" borderId="1" xfId="2" applyNumberFormat="1" applyFont="1" applyFill="1" applyBorder="1" applyAlignment="1">
      <alignment wrapText="1"/>
    </xf>
    <xf numFmtId="177" fontId="17" fillId="0" borderId="6" xfId="2" applyNumberFormat="1" applyFont="1" applyFill="1" applyBorder="1" applyAlignment="1">
      <alignment wrapText="1"/>
    </xf>
    <xf numFmtId="177" fontId="17" fillId="0" borderId="6" xfId="2" applyNumberFormat="1" applyFont="1" applyFill="1" applyBorder="1" applyAlignment="1">
      <alignment horizontal="center"/>
    </xf>
    <xf numFmtId="177" fontId="17" fillId="0" borderId="1" xfId="0" applyNumberFormat="1" applyFont="1" applyFill="1" applyBorder="1" applyAlignment="1">
      <alignment horizontal="center" vertical="center"/>
    </xf>
    <xf numFmtId="177" fontId="17" fillId="0" borderId="7" xfId="2" applyNumberFormat="1" applyFont="1" applyFill="1" applyBorder="1" applyAlignment="1">
      <alignment wrapText="1"/>
    </xf>
    <xf numFmtId="177" fontId="17" fillId="0" borderId="7" xfId="2" applyNumberFormat="1" applyFont="1" applyFill="1" applyBorder="1" applyAlignment="1">
      <alignment horizontal="center"/>
    </xf>
    <xf numFmtId="177" fontId="17" fillId="0" borderId="8" xfId="2" applyNumberFormat="1" applyFont="1" applyFill="1" applyBorder="1" applyAlignment="1">
      <alignment wrapText="1"/>
    </xf>
    <xf numFmtId="177" fontId="17" fillId="0" borderId="9" xfId="2" applyNumberFormat="1" applyFont="1" applyFill="1" applyBorder="1" applyAlignment="1">
      <alignment wrapText="1"/>
    </xf>
    <xf numFmtId="177" fontId="18" fillId="0" borderId="1" xfId="2" applyNumberFormat="1" applyFont="1" applyFill="1" applyBorder="1" applyAlignment="1">
      <alignment horizontal="center" wrapText="1"/>
    </xf>
    <xf numFmtId="177" fontId="18" fillId="0" borderId="0" xfId="0" applyNumberFormat="1" applyFont="1" applyFill="1" applyAlignment="1"/>
    <xf numFmtId="0" fontId="18" fillId="0" borderId="1" xfId="0" applyFont="1" applyFill="1" applyBorder="1" applyAlignment="1"/>
    <xf numFmtId="0" fontId="19" fillId="0" borderId="1" xfId="0" applyFont="1" applyFill="1" applyBorder="1" applyAlignment="1">
      <alignment horizontal="center"/>
    </xf>
    <xf numFmtId="0" fontId="19" fillId="0" borderId="0" xfId="0" applyFont="1" applyFill="1">
      <alignment vertical="center"/>
    </xf>
    <xf numFmtId="0" fontId="19" fillId="0" borderId="1" xfId="0" applyFont="1" applyFill="1" applyBorder="1" applyAlignment="1"/>
    <xf numFmtId="178" fontId="19" fillId="0" borderId="1" xfId="0" applyNumberFormat="1" applyFont="1" applyFill="1" applyBorder="1" applyAlignment="1">
      <alignment horizontal="right"/>
    </xf>
    <xf numFmtId="178" fontId="18" fillId="0" borderId="1" xfId="0" applyNumberFormat="1" applyFont="1" applyFill="1" applyBorder="1" applyAlignment="1">
      <alignment horizontal="right"/>
    </xf>
    <xf numFmtId="0" fontId="19" fillId="0" borderId="0" xfId="0" applyFont="1" applyFill="1" applyBorder="1" applyAlignment="1"/>
    <xf numFmtId="178" fontId="18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/>
    <xf numFmtId="178" fontId="17" fillId="0" borderId="1" xfId="0" applyNumberFormat="1" applyFont="1" applyFill="1" applyBorder="1" applyAlignment="1">
      <alignment horizontal="right"/>
    </xf>
    <xf numFmtId="0" fontId="17" fillId="0" borderId="4" xfId="0" applyFont="1" applyFill="1" applyBorder="1" applyAlignment="1"/>
    <xf numFmtId="177" fontId="17" fillId="0" borderId="0" xfId="0" applyNumberFormat="1" applyFont="1" applyFill="1" applyBorder="1" applyAlignment="1"/>
    <xf numFmtId="0" fontId="17" fillId="0" borderId="0" xfId="0" applyFont="1" applyFill="1" applyBorder="1" applyAlignment="1"/>
    <xf numFmtId="178" fontId="19" fillId="0" borderId="0" xfId="0" applyNumberFormat="1" applyFont="1" applyFill="1" applyBorder="1" applyAlignment="1">
      <alignment horizontal="right"/>
    </xf>
    <xf numFmtId="178" fontId="17" fillId="0" borderId="1" xfId="0" applyNumberFormat="1" applyFont="1" applyFill="1" applyBorder="1" applyAlignment="1"/>
    <xf numFmtId="177" fontId="19" fillId="0" borderId="1" xfId="0" applyNumberFormat="1" applyFont="1" applyFill="1" applyBorder="1" applyAlignment="1">
      <alignment horizontal="right"/>
    </xf>
    <xf numFmtId="178" fontId="18" fillId="0" borderId="1" xfId="0" applyNumberFormat="1" applyFont="1" applyFill="1" applyBorder="1" applyAlignment="1"/>
    <xf numFmtId="177" fontId="18" fillId="0" borderId="1" xfId="0" applyNumberFormat="1" applyFont="1" applyFill="1" applyBorder="1" applyAlignment="1">
      <alignment horizontal="right"/>
    </xf>
    <xf numFmtId="177" fontId="21" fillId="0" borderId="1" xfId="0" applyNumberFormat="1" applyFont="1" applyFill="1" applyBorder="1" applyAlignment="1">
      <alignment horizontal="right"/>
    </xf>
    <xf numFmtId="0" fontId="18" fillId="0" borderId="4" xfId="0" applyFont="1" applyFill="1" applyBorder="1" applyAlignment="1"/>
    <xf numFmtId="178" fontId="17" fillId="0" borderId="0" xfId="0" applyNumberFormat="1" applyFont="1" applyFill="1" applyBorder="1" applyAlignment="1">
      <alignment horizontal="right"/>
    </xf>
    <xf numFmtId="177" fontId="17" fillId="0" borderId="0" xfId="0" applyNumberFormat="1" applyFont="1" applyFill="1" applyBorder="1" applyAlignment="1">
      <alignment horizontal="right"/>
    </xf>
    <xf numFmtId="0" fontId="21" fillId="0" borderId="4" xfId="0" applyFont="1" applyFill="1" applyBorder="1" applyAlignment="1"/>
    <xf numFmtId="0" fontId="18" fillId="0" borderId="5" xfId="0" applyFont="1" applyFill="1" applyBorder="1" applyAlignment="1"/>
    <xf numFmtId="178" fontId="18" fillId="0" borderId="5" xfId="0" applyNumberFormat="1" applyFont="1" applyFill="1" applyBorder="1" applyAlignment="1"/>
    <xf numFmtId="177" fontId="18" fillId="0" borderId="5" xfId="0" applyNumberFormat="1" applyFont="1" applyFill="1" applyBorder="1" applyAlignment="1">
      <alignment horizontal="right"/>
    </xf>
    <xf numFmtId="0" fontId="17" fillId="0" borderId="5" xfId="0" applyFont="1" applyFill="1" applyBorder="1" applyAlignment="1"/>
    <xf numFmtId="177" fontId="17" fillId="0" borderId="3" xfId="0" applyNumberFormat="1" applyFont="1" applyFill="1" applyBorder="1" applyAlignment="1">
      <alignment vertical="center" wrapText="1"/>
    </xf>
    <xf numFmtId="177" fontId="17" fillId="0" borderId="0" xfId="0" applyNumberFormat="1" applyFont="1" applyFill="1" applyAlignment="1">
      <alignment vertical="center" wrapText="1"/>
    </xf>
    <xf numFmtId="181" fontId="18" fillId="0" borderId="1" xfId="0" applyNumberFormat="1" applyFont="1" applyFill="1" applyBorder="1" applyAlignment="1">
      <alignment horizontal="right"/>
    </xf>
    <xf numFmtId="177" fontId="8" fillId="0" borderId="0" xfId="0" applyNumberFormat="1" applyFont="1" applyFill="1" applyAlignment="1"/>
    <xf numFmtId="177" fontId="10" fillId="0" borderId="1" xfId="0" applyNumberFormat="1" applyFont="1" applyFill="1" applyBorder="1" applyAlignment="1"/>
    <xf numFmtId="0" fontId="23" fillId="0" borderId="1" xfId="0" applyFont="1" applyFill="1" applyBorder="1" applyAlignment="1"/>
    <xf numFmtId="181" fontId="19" fillId="0" borderId="1" xfId="0" applyNumberFormat="1" applyFont="1" applyFill="1" applyBorder="1" applyAlignment="1">
      <alignment horizontal="right"/>
    </xf>
    <xf numFmtId="177" fontId="18" fillId="0" borderId="0" xfId="2" applyNumberFormat="1" applyFont="1" applyFill="1" applyAlignment="1"/>
    <xf numFmtId="0" fontId="8" fillId="0" borderId="5" xfId="0" applyFont="1" applyFill="1" applyBorder="1" applyAlignment="1"/>
    <xf numFmtId="177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>
      <alignment vertical="center"/>
    </xf>
    <xf numFmtId="177" fontId="17" fillId="8" borderId="1" xfId="0" applyNumberFormat="1" applyFont="1" applyFill="1" applyBorder="1" applyAlignment="1"/>
    <xf numFmtId="177" fontId="17" fillId="8" borderId="1" xfId="2" applyNumberFormat="1" applyFont="1" applyFill="1" applyBorder="1" applyAlignment="1"/>
    <xf numFmtId="177" fontId="17" fillId="8" borderId="1" xfId="2" applyNumberFormat="1" applyFont="1" applyFill="1" applyBorder="1" applyAlignment="1">
      <alignment horizontal="center"/>
    </xf>
    <xf numFmtId="177" fontId="17" fillId="8" borderId="1" xfId="0" applyNumberFormat="1" applyFont="1" applyFill="1" applyBorder="1" applyAlignment="1">
      <alignment horizontal="right"/>
    </xf>
    <xf numFmtId="177" fontId="17" fillId="5" borderId="1" xfId="0" applyNumberFormat="1" applyFont="1" applyFill="1" applyBorder="1" applyAlignment="1">
      <alignment horizontal="center"/>
    </xf>
    <xf numFmtId="177" fontId="17" fillId="7" borderId="1" xfId="0" applyNumberFormat="1" applyFont="1" applyFill="1" applyBorder="1" applyAlignment="1"/>
    <xf numFmtId="177" fontId="17" fillId="7" borderId="1" xfId="2" applyNumberFormat="1" applyFont="1" applyFill="1" applyBorder="1" applyAlignment="1">
      <alignment horizontal="center"/>
    </xf>
    <xf numFmtId="177" fontId="17" fillId="7" borderId="1" xfId="2" applyNumberFormat="1" applyFont="1" applyFill="1" applyBorder="1" applyAlignment="1"/>
    <xf numFmtId="0" fontId="0" fillId="0" borderId="1" xfId="0" applyBorder="1" applyAlignment="1">
      <alignment horizontal="center"/>
    </xf>
    <xf numFmtId="177" fontId="10" fillId="0" borderId="1" xfId="2" applyNumberFormat="1" applyFont="1" applyFill="1" applyBorder="1" applyAlignment="1">
      <alignment vertical="center" wrapText="1"/>
    </xf>
    <xf numFmtId="0" fontId="19" fillId="9" borderId="0" xfId="0" applyFont="1" applyFill="1">
      <alignment vertical="center"/>
    </xf>
    <xf numFmtId="178" fontId="0" fillId="0" borderId="1" xfId="0" applyNumberFormat="1" applyFill="1" applyBorder="1" applyAlignment="1">
      <alignment horizontal="right"/>
    </xf>
    <xf numFmtId="0" fontId="10" fillId="0" borderId="0" xfId="0" applyFont="1" applyFill="1" applyBorder="1" applyAlignment="1"/>
    <xf numFmtId="10" fontId="13" fillId="0" borderId="1" xfId="4" applyNumberFormat="1" applyFont="1" applyFill="1" applyBorder="1" applyAlignment="1">
      <alignment horizontal="right" vertical="center"/>
    </xf>
    <xf numFmtId="0" fontId="25" fillId="0" borderId="0" xfId="0" applyFont="1">
      <alignment vertical="center"/>
    </xf>
    <xf numFmtId="0" fontId="26" fillId="0" borderId="1" xfId="0" applyNumberFormat="1" applyFont="1" applyBorder="1" applyAlignment="1"/>
    <xf numFmtId="0" fontId="26" fillId="0" borderId="1" xfId="0" applyFont="1" applyBorder="1" applyAlignment="1">
      <alignment horizontal="left"/>
    </xf>
    <xf numFmtId="0" fontId="26" fillId="0" borderId="1" xfId="0" quotePrefix="1" applyNumberFormat="1" applyFont="1" applyBorder="1" applyAlignment="1"/>
    <xf numFmtId="177" fontId="13" fillId="3" borderId="8" xfId="4" applyNumberFormat="1" applyFont="1" applyFill="1" applyBorder="1" applyAlignment="1">
      <alignment horizontal="left" vertical="center"/>
    </xf>
    <xf numFmtId="177" fontId="13" fillId="0" borderId="0" xfId="4" applyNumberFormat="1" applyFont="1" applyFill="1" applyAlignment="1">
      <alignment horizontal="left" vertical="center"/>
    </xf>
    <xf numFmtId="177" fontId="13" fillId="7" borderId="8" xfId="4" applyNumberFormat="1" applyFont="1" applyFill="1" applyBorder="1" applyAlignment="1">
      <alignment horizontal="left" vertical="center"/>
    </xf>
    <xf numFmtId="177" fontId="26" fillId="0" borderId="1" xfId="0" applyNumberFormat="1" applyFont="1" applyBorder="1">
      <alignment vertical="center"/>
    </xf>
    <xf numFmtId="0" fontId="8" fillId="0" borderId="1" xfId="0" applyFont="1" applyFill="1" applyBorder="1" applyAlignment="1"/>
    <xf numFmtId="0" fontId="8" fillId="0" borderId="4" xfId="0" applyFont="1" applyFill="1" applyBorder="1" applyAlignment="1"/>
    <xf numFmtId="0" fontId="23" fillId="0" borderId="0" xfId="0" applyFont="1" applyFill="1">
      <alignment vertical="center"/>
    </xf>
    <xf numFmtId="177" fontId="17" fillId="5" borderId="1" xfId="2" applyNumberFormat="1" applyFont="1" applyFill="1" applyBorder="1" applyAlignment="1">
      <alignment vertical="center" wrapText="1"/>
    </xf>
    <xf numFmtId="177" fontId="17" fillId="4" borderId="1" xfId="0" applyNumberFormat="1" applyFont="1" applyFill="1" applyBorder="1" applyAlignment="1"/>
    <xf numFmtId="177" fontId="17" fillId="4" borderId="1" xfId="2" applyNumberFormat="1" applyFont="1" applyFill="1" applyBorder="1" applyAlignment="1">
      <alignment horizontal="center"/>
    </xf>
    <xf numFmtId="177" fontId="17" fillId="10" borderId="1" xfId="0" applyNumberFormat="1" applyFont="1" applyFill="1" applyBorder="1" applyAlignment="1"/>
    <xf numFmtId="177" fontId="17" fillId="10" borderId="1" xfId="0" applyNumberFormat="1" applyFont="1" applyFill="1" applyBorder="1" applyAlignment="1">
      <alignment horizontal="center"/>
    </xf>
    <xf numFmtId="177" fontId="17" fillId="4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177" fontId="26" fillId="7" borderId="1" xfId="0" applyNumberFormat="1" applyFont="1" applyFill="1" applyBorder="1">
      <alignment vertical="center"/>
    </xf>
    <xf numFmtId="0" fontId="19" fillId="7" borderId="0" xfId="0" applyFont="1" applyFill="1">
      <alignment vertical="center"/>
    </xf>
    <xf numFmtId="0" fontId="8" fillId="0" borderId="0" xfId="0" applyFont="1" applyFill="1" applyBorder="1" applyAlignment="1"/>
    <xf numFmtId="177" fontId="17" fillId="11" borderId="1" xfId="2" applyNumberFormat="1" applyFont="1" applyFill="1" applyBorder="1" applyAlignment="1">
      <alignment vertical="center" wrapText="1"/>
    </xf>
    <xf numFmtId="0" fontId="17" fillId="11" borderId="1" xfId="0" applyNumberFormat="1" applyFont="1" applyFill="1" applyBorder="1" applyAlignment="1">
      <alignment horizontal="center"/>
    </xf>
    <xf numFmtId="177" fontId="17" fillId="11" borderId="1" xfId="2" applyNumberFormat="1" applyFont="1" applyFill="1" applyBorder="1" applyAlignment="1">
      <alignment horizontal="right"/>
    </xf>
    <xf numFmtId="0" fontId="22" fillId="11" borderId="0" xfId="0" applyFont="1" applyFill="1">
      <alignment vertical="center"/>
    </xf>
    <xf numFmtId="177" fontId="17" fillId="11" borderId="1" xfId="0" applyNumberFormat="1" applyFont="1" applyFill="1" applyBorder="1" applyAlignment="1"/>
    <xf numFmtId="177" fontId="17" fillId="11" borderId="1" xfId="2" applyNumberFormat="1" applyFont="1" applyFill="1" applyBorder="1" applyAlignment="1">
      <alignment horizontal="center"/>
    </xf>
    <xf numFmtId="177" fontId="17" fillId="12" borderId="1" xfId="2" applyNumberFormat="1" applyFont="1" applyFill="1" applyBorder="1" applyAlignment="1">
      <alignment horizontal="center"/>
    </xf>
    <xf numFmtId="177" fontId="10" fillId="0" borderId="1" xfId="2" applyNumberFormat="1" applyFont="1" applyFill="1" applyBorder="1" applyAlignment="1">
      <alignment wrapText="1"/>
    </xf>
    <xf numFmtId="177" fontId="17" fillId="12" borderId="1" xfId="2" applyNumberFormat="1" applyFont="1" applyFill="1" applyBorder="1" applyAlignment="1">
      <alignment wrapText="1"/>
    </xf>
    <xf numFmtId="177" fontId="17" fillId="12" borderId="1" xfId="2" applyNumberFormat="1" applyFont="1" applyFill="1" applyBorder="1" applyAlignment="1"/>
    <xf numFmtId="177" fontId="17" fillId="12" borderId="8" xfId="2" applyNumberFormat="1" applyFont="1" applyFill="1" applyBorder="1" applyAlignment="1">
      <alignment wrapText="1"/>
    </xf>
    <xf numFmtId="177" fontId="17" fillId="12" borderId="1" xfId="2" applyNumberFormat="1" applyFont="1" applyFill="1" applyBorder="1" applyAlignment="1">
      <alignment horizontal="right"/>
    </xf>
    <xf numFmtId="178" fontId="19" fillId="0" borderId="0" xfId="0" applyNumberFormat="1" applyFont="1" applyFill="1">
      <alignment vertical="center"/>
    </xf>
    <xf numFmtId="182" fontId="19" fillId="0" borderId="0" xfId="0" applyNumberFormat="1" applyFont="1" applyFill="1">
      <alignment vertical="center"/>
    </xf>
    <xf numFmtId="0" fontId="0" fillId="0" borderId="1" xfId="0" applyBorder="1" applyAlignment="1">
      <alignment horizontal="center"/>
    </xf>
    <xf numFmtId="177" fontId="17" fillId="10" borderId="1" xfId="2" applyNumberFormat="1" applyFont="1" applyFill="1" applyBorder="1" applyAlignment="1">
      <alignment horizontal="center"/>
    </xf>
    <xf numFmtId="177" fontId="17" fillId="10" borderId="1" xfId="2" applyNumberFormat="1" applyFont="1" applyFill="1" applyBorder="1" applyAlignment="1">
      <alignment horizontal="right"/>
    </xf>
    <xf numFmtId="177" fontId="17" fillId="10" borderId="0" xfId="0" applyNumberFormat="1" applyFont="1" applyFill="1" applyAlignment="1">
      <alignment horizontal="center"/>
    </xf>
    <xf numFmtId="49" fontId="17" fillId="10" borderId="1" xfId="0" applyNumberFormat="1" applyFont="1" applyFill="1" applyBorder="1" applyAlignment="1">
      <alignment horizontal="center"/>
    </xf>
    <xf numFmtId="177" fontId="18" fillId="10" borderId="1" xfId="2" applyNumberFormat="1" applyFont="1" applyFill="1" applyBorder="1" applyAlignment="1">
      <alignment horizontal="center"/>
    </xf>
    <xf numFmtId="177" fontId="18" fillId="10" borderId="1" xfId="0" applyNumberFormat="1" applyFont="1" applyFill="1" applyBorder="1" applyAlignment="1"/>
    <xf numFmtId="177" fontId="18" fillId="10" borderId="1" xfId="2" applyNumberFormat="1" applyFont="1" applyFill="1" applyBorder="1" applyAlignment="1">
      <alignment horizontal="right"/>
    </xf>
    <xf numFmtId="177" fontId="17" fillId="10" borderId="1" xfId="2" applyNumberFormat="1" applyFont="1" applyFill="1" applyBorder="1" applyAlignment="1"/>
    <xf numFmtId="177" fontId="17" fillId="10" borderId="1" xfId="0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horizontal="center"/>
    </xf>
    <xf numFmtId="0" fontId="18" fillId="0" borderId="2" xfId="0" applyFont="1" applyFill="1" applyBorder="1" applyAlignment="1"/>
    <xf numFmtId="178" fontId="0" fillId="0" borderId="3" xfId="0" applyNumberFormat="1" applyFill="1" applyBorder="1" applyAlignment="1">
      <alignment horizontal="right"/>
    </xf>
    <xf numFmtId="178" fontId="18" fillId="0" borderId="3" xfId="0" applyNumberFormat="1" applyFont="1" applyFill="1" applyBorder="1" applyAlignment="1">
      <alignment horizontal="right"/>
    </xf>
    <xf numFmtId="177" fontId="8" fillId="0" borderId="0" xfId="2" applyNumberFormat="1" applyFont="1" applyFill="1" applyBorder="1" applyAlignment="1"/>
    <xf numFmtId="177" fontId="17" fillId="5" borderId="1" xfId="2" applyNumberFormat="1" applyFont="1" applyFill="1" applyBorder="1" applyAlignment="1">
      <alignment horizontal="right"/>
    </xf>
    <xf numFmtId="0" fontId="22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0" borderId="1" xfId="0" applyFont="1" applyFill="1" applyBorder="1">
      <alignment vertical="center"/>
    </xf>
    <xf numFmtId="0" fontId="0" fillId="0" borderId="1" xfId="0" applyBorder="1" applyAlignment="1">
      <alignment horizontal="center"/>
    </xf>
    <xf numFmtId="177" fontId="26" fillId="0" borderId="1" xfId="0" applyNumberFormat="1" applyFont="1" applyBorder="1" applyAlignment="1">
      <alignment horizontal="center" vertical="center"/>
    </xf>
    <xf numFmtId="177" fontId="13" fillId="0" borderId="13" xfId="4" applyNumberFormat="1" applyFont="1" applyFill="1" applyBorder="1" applyAlignment="1">
      <alignment horizontal="center" vertical="center"/>
    </xf>
    <xf numFmtId="177" fontId="13" fillId="7" borderId="1" xfId="4" applyNumberFormat="1" applyFont="1" applyFill="1" applyBorder="1" applyAlignment="1">
      <alignment horizontal="center" vertical="center"/>
    </xf>
    <xf numFmtId="177" fontId="26" fillId="7" borderId="1" xfId="0" applyNumberFormat="1" applyFont="1" applyFill="1" applyBorder="1" applyAlignment="1">
      <alignment horizontal="center" vertical="center"/>
    </xf>
    <xf numFmtId="177" fontId="13" fillId="7" borderId="13" xfId="4" applyNumberFormat="1" applyFont="1" applyFill="1" applyBorder="1" applyAlignment="1">
      <alignment horizontal="center" vertical="center"/>
    </xf>
    <xf numFmtId="177" fontId="13" fillId="0" borderId="15" xfId="4" applyNumberFormat="1" applyFont="1" applyFill="1" applyBorder="1" applyAlignment="1">
      <alignment horizontal="center" vertical="center"/>
    </xf>
    <xf numFmtId="177" fontId="17" fillId="5" borderId="6" xfId="2" applyNumberFormat="1" applyFont="1" applyFill="1" applyBorder="1" applyAlignment="1">
      <alignment wrapText="1"/>
    </xf>
    <xf numFmtId="177" fontId="17" fillId="5" borderId="6" xfId="2" applyNumberFormat="1" applyFont="1" applyFill="1" applyBorder="1" applyAlignment="1">
      <alignment horizontal="center"/>
    </xf>
    <xf numFmtId="177" fontId="17" fillId="5" borderId="8" xfId="2" applyNumberFormat="1" applyFont="1" applyFill="1" applyBorder="1" applyAlignment="1">
      <alignment wrapText="1"/>
    </xf>
    <xf numFmtId="177" fontId="17" fillId="5" borderId="9" xfId="2" applyNumberFormat="1" applyFont="1" applyFill="1" applyBorder="1" applyAlignment="1">
      <alignment wrapText="1"/>
    </xf>
    <xf numFmtId="0" fontId="19" fillId="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177" fontId="18" fillId="0" borderId="9" xfId="2" applyNumberFormat="1" applyFont="1" applyFill="1" applyBorder="1" applyAlignment="1">
      <alignment wrapText="1"/>
    </xf>
    <xf numFmtId="177" fontId="18" fillId="4" borderId="1" xfId="2" applyNumberFormat="1" applyFont="1" applyFill="1" applyBorder="1" applyAlignment="1"/>
    <xf numFmtId="177" fontId="18" fillId="0" borderId="1" xfId="2" applyNumberFormat="1" applyFont="1" applyFill="1" applyBorder="1" applyAlignment="1"/>
    <xf numFmtId="177" fontId="8" fillId="0" borderId="0" xfId="2" applyNumberFormat="1" applyFont="1" applyFill="1" applyAlignment="1"/>
    <xf numFmtId="0" fontId="0" fillId="0" borderId="1" xfId="0" applyBorder="1" applyAlignment="1">
      <alignment horizontal="center"/>
    </xf>
    <xf numFmtId="0" fontId="20" fillId="0" borderId="1" xfId="0" applyFont="1" applyFill="1" applyBorder="1" applyAlignment="1"/>
    <xf numFmtId="177" fontId="19" fillId="4" borderId="1" xfId="0" applyNumberFormat="1" applyFont="1" applyFill="1" applyBorder="1" applyAlignment="1">
      <alignment horizontal="right"/>
    </xf>
    <xf numFmtId="178" fontId="21" fillId="0" borderId="1" xfId="0" applyNumberFormat="1" applyFont="1" applyFill="1" applyBorder="1" applyAlignment="1">
      <alignment horizontal="right"/>
    </xf>
    <xf numFmtId="178" fontId="19" fillId="0" borderId="1" xfId="0" applyNumberFormat="1" applyFont="1" applyFill="1" applyBorder="1" applyAlignment="1">
      <alignment horizontal="left"/>
    </xf>
    <xf numFmtId="181" fontId="21" fillId="0" borderId="1" xfId="0" applyNumberFormat="1" applyFont="1" applyFill="1" applyBorder="1" applyAlignment="1">
      <alignment horizontal="right"/>
    </xf>
    <xf numFmtId="177" fontId="17" fillId="10" borderId="6" xfId="2" applyNumberFormat="1" applyFont="1" applyFill="1" applyBorder="1" applyAlignment="1">
      <alignment wrapText="1"/>
    </xf>
    <xf numFmtId="177" fontId="17" fillId="10" borderId="6" xfId="2" applyNumberFormat="1" applyFont="1" applyFill="1" applyBorder="1" applyAlignment="1">
      <alignment horizontal="center"/>
    </xf>
    <xf numFmtId="177" fontId="17" fillId="10" borderId="1" xfId="2" applyNumberFormat="1" applyFont="1" applyFill="1" applyBorder="1" applyAlignment="1">
      <alignment wrapText="1"/>
    </xf>
    <xf numFmtId="177" fontId="17" fillId="10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177" fontId="17" fillId="10" borderId="7" xfId="2" applyNumberFormat="1" applyFont="1" applyFill="1" applyBorder="1" applyAlignment="1">
      <alignment wrapText="1"/>
    </xf>
    <xf numFmtId="177" fontId="17" fillId="10" borderId="7" xfId="2" applyNumberFormat="1" applyFont="1" applyFill="1" applyBorder="1" applyAlignment="1">
      <alignment horizontal="center"/>
    </xf>
    <xf numFmtId="177" fontId="17" fillId="10" borderId="8" xfId="2" applyNumberFormat="1" applyFont="1" applyFill="1" applyBorder="1" applyAlignment="1">
      <alignment wrapText="1"/>
    </xf>
    <xf numFmtId="177" fontId="17" fillId="10" borderId="9" xfId="2" applyNumberFormat="1" applyFont="1" applyFill="1" applyBorder="1" applyAlignment="1">
      <alignment wrapText="1"/>
    </xf>
    <xf numFmtId="177" fontId="17" fillId="5" borderId="1" xfId="2" applyNumberFormat="1" applyFont="1" applyFill="1" applyBorder="1" applyAlignment="1">
      <alignment wrapText="1"/>
    </xf>
    <xf numFmtId="177" fontId="10" fillId="5" borderId="1" xfId="2" applyNumberFormat="1" applyFont="1" applyFill="1" applyBorder="1" applyAlignment="1">
      <alignment wrapText="1"/>
    </xf>
    <xf numFmtId="177" fontId="10" fillId="0" borderId="0" xfId="0" applyNumberFormat="1" applyFont="1" applyFill="1" applyAlignment="1"/>
    <xf numFmtId="177" fontId="17" fillId="5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177" fontId="18" fillId="5" borderId="1" xfId="0" applyNumberFormat="1" applyFont="1" applyFill="1" applyBorder="1" applyAlignment="1"/>
    <xf numFmtId="177" fontId="8" fillId="4" borderId="1" xfId="2" applyNumberFormat="1" applyFont="1" applyFill="1" applyBorder="1" applyAlignment="1"/>
    <xf numFmtId="0" fontId="22" fillId="0" borderId="1" xfId="0" applyFont="1" applyFill="1" applyBorder="1">
      <alignment vertical="center"/>
    </xf>
    <xf numFmtId="177" fontId="8" fillId="0" borderId="1" xfId="0" applyNumberFormat="1" applyFont="1" applyFill="1" applyBorder="1" applyAlignment="1"/>
    <xf numFmtId="177" fontId="17" fillId="5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/>
    <xf numFmtId="178" fontId="17" fillId="4" borderId="1" xfId="0" applyNumberFormat="1" applyFont="1" applyFill="1" applyBorder="1" applyAlignment="1">
      <alignment horizontal="right"/>
    </xf>
    <xf numFmtId="178" fontId="23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83" fontId="0" fillId="0" borderId="1" xfId="0" applyNumberFormat="1" applyFill="1" applyBorder="1" applyAlignment="1">
      <alignment horizontal="center"/>
    </xf>
    <xf numFmtId="183" fontId="0" fillId="0" borderId="4" xfId="0" applyNumberFormat="1" applyFill="1" applyBorder="1" applyAlignment="1">
      <alignment horizontal="center"/>
    </xf>
    <xf numFmtId="177" fontId="29" fillId="0" borderId="0" xfId="2" applyNumberFormat="1" applyFont="1" applyFill="1" applyAlignment="1"/>
    <xf numFmtId="178" fontId="19" fillId="4" borderId="1" xfId="0" applyNumberFormat="1" applyFont="1" applyFill="1" applyBorder="1" applyAlignment="1">
      <alignment horizontal="right"/>
    </xf>
    <xf numFmtId="178" fontId="18" fillId="0" borderId="0" xfId="0" applyNumberFormat="1" applyFont="1" applyFill="1" applyBorder="1" applyAlignment="1"/>
    <xf numFmtId="177" fontId="18" fillId="0" borderId="0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21" fillId="0" borderId="0" xfId="0" applyFont="1" applyFill="1">
      <alignment vertical="center"/>
    </xf>
    <xf numFmtId="177" fontId="8" fillId="0" borderId="1" xfId="2" applyNumberFormat="1" applyFont="1" applyFill="1" applyBorder="1" applyAlignment="1"/>
    <xf numFmtId="177" fontId="18" fillId="13" borderId="1" xfId="2" applyNumberFormat="1" applyFont="1" applyFill="1" applyBorder="1" applyAlignment="1">
      <alignment horizontal="right"/>
    </xf>
    <xf numFmtId="0" fontId="18" fillId="2" borderId="1" xfId="0" applyFont="1" applyFill="1" applyBorder="1" applyAlignment="1"/>
    <xf numFmtId="177" fontId="17" fillId="2" borderId="1" xfId="2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7" fillId="2" borderId="1" xfId="0" applyFont="1" applyFill="1" applyBorder="1" applyAlignment="1"/>
    <xf numFmtId="177" fontId="17" fillId="2" borderId="1" xfId="2" applyNumberFormat="1" applyFont="1" applyFill="1" applyBorder="1" applyAlignment="1"/>
    <xf numFmtId="181" fontId="19" fillId="2" borderId="1" xfId="0" applyNumberFormat="1" applyFont="1" applyFill="1" applyBorder="1" applyAlignment="1">
      <alignment horizontal="right"/>
    </xf>
    <xf numFmtId="0" fontId="19" fillId="2" borderId="1" xfId="0" applyFont="1" applyFill="1" applyBorder="1" applyAlignment="1"/>
    <xf numFmtId="178" fontId="17" fillId="2" borderId="1" xfId="0" applyNumberFormat="1" applyFont="1" applyFill="1" applyBorder="1" applyAlignment="1"/>
    <xf numFmtId="0" fontId="23" fillId="2" borderId="1" xfId="0" applyFont="1" applyFill="1" applyBorder="1" applyAlignment="1"/>
    <xf numFmtId="178" fontId="18" fillId="2" borderId="1" xfId="0" applyNumberFormat="1" applyFont="1" applyFill="1" applyBorder="1" applyAlignment="1"/>
    <xf numFmtId="181" fontId="18" fillId="2" borderId="1" xfId="0" applyNumberFormat="1" applyFont="1" applyFill="1" applyBorder="1" applyAlignment="1">
      <alignment horizontal="right"/>
    </xf>
    <xf numFmtId="181" fontId="19" fillId="5" borderId="1" xfId="0" applyNumberFormat="1" applyFont="1" applyFill="1" applyBorder="1" applyAlignment="1">
      <alignment horizontal="right"/>
    </xf>
    <xf numFmtId="177" fontId="10" fillId="5" borderId="1" xfId="2" applyNumberFormat="1" applyFont="1" applyFill="1" applyBorder="1" applyAlignment="1">
      <alignment vertical="center" wrapText="1"/>
    </xf>
    <xf numFmtId="49" fontId="17" fillId="5" borderId="1" xfId="0" applyNumberFormat="1" applyFont="1" applyFill="1" applyBorder="1" applyAlignment="1">
      <alignment horizontal="center"/>
    </xf>
    <xf numFmtId="177" fontId="17" fillId="5" borderId="0" xfId="0" applyNumberFormat="1" applyFont="1" applyFill="1" applyAlignment="1"/>
    <xf numFmtId="177" fontId="2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2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6" fillId="0" borderId="1" xfId="0" applyNumberFormat="1" applyFont="1" applyFill="1" applyBorder="1" applyAlignment="1"/>
    <xf numFmtId="0" fontId="26" fillId="0" borderId="1" xfId="0" applyFont="1" applyFill="1" applyBorder="1" applyAlignment="1">
      <alignment horizontal="left"/>
    </xf>
    <xf numFmtId="0" fontId="26" fillId="0" borderId="1" xfId="0" quotePrefix="1" applyNumberFormat="1" applyFont="1" applyFill="1" applyBorder="1" applyAlignment="1"/>
    <xf numFmtId="0" fontId="25" fillId="0" borderId="0" xfId="0" applyFont="1" applyFill="1">
      <alignment vertical="center"/>
    </xf>
    <xf numFmtId="177" fontId="8" fillId="0" borderId="1" xfId="2" applyNumberFormat="1" applyFont="1" applyFill="1" applyBorder="1" applyAlignment="1">
      <alignment vertical="center" wrapText="1"/>
    </xf>
    <xf numFmtId="49" fontId="18" fillId="0" borderId="1" xfId="0" applyNumberFormat="1" applyFont="1" applyFill="1" applyBorder="1" applyAlignment="1">
      <alignment horizontal="center"/>
    </xf>
    <xf numFmtId="177" fontId="18" fillId="0" borderId="0" xfId="2" applyNumberFormat="1" applyFont="1" applyFill="1" applyBorder="1" applyAlignment="1">
      <alignment horizontal="center" wrapText="1"/>
    </xf>
    <xf numFmtId="177" fontId="17" fillId="0" borderId="0" xfId="2" applyNumberFormat="1" applyFont="1" applyFill="1" applyBorder="1" applyAlignment="1">
      <alignment horizontal="right"/>
    </xf>
    <xf numFmtId="177" fontId="18" fillId="0" borderId="3" xfId="2" applyNumberFormat="1" applyFont="1" applyFill="1" applyBorder="1" applyAlignment="1">
      <alignment horizontal="left" wrapText="1"/>
    </xf>
    <xf numFmtId="177" fontId="18" fillId="0" borderId="5" xfId="2" applyNumberFormat="1" applyFont="1" applyFill="1" applyBorder="1" applyAlignment="1">
      <alignment horizontal="center" vertical="center"/>
    </xf>
    <xf numFmtId="58" fontId="18" fillId="0" borderId="2" xfId="0" applyNumberFormat="1" applyFont="1" applyFill="1" applyBorder="1" applyAlignment="1">
      <alignment horizontal="left" wrapText="1"/>
    </xf>
    <xf numFmtId="0" fontId="18" fillId="0" borderId="3" xfId="0" applyFont="1" applyFill="1" applyBorder="1" applyAlignment="1">
      <alignment horizontal="left" wrapText="1"/>
    </xf>
    <xf numFmtId="58" fontId="21" fillId="0" borderId="0" xfId="0" applyNumberFormat="1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 wrapText="1"/>
    </xf>
    <xf numFmtId="177" fontId="8" fillId="0" borderId="3" xfId="2" applyNumberFormat="1" applyFont="1" applyFill="1" applyBorder="1" applyAlignment="1">
      <alignment horizontal="center" vertical="center" wrapText="1"/>
    </xf>
    <xf numFmtId="177" fontId="19" fillId="0" borderId="0" xfId="2" applyNumberFormat="1" applyFont="1" applyFill="1" applyBorder="1" applyAlignment="1">
      <alignment horizontal="center" wrapText="1"/>
    </xf>
    <xf numFmtId="58" fontId="17" fillId="0" borderId="2" xfId="0" applyNumberFormat="1" applyFont="1" applyFill="1" applyBorder="1" applyAlignment="1">
      <alignment horizontal="left" wrapText="1"/>
    </xf>
    <xf numFmtId="0" fontId="17" fillId="0" borderId="3" xfId="0" applyFont="1" applyFill="1" applyBorder="1" applyAlignment="1">
      <alignment horizontal="left" wrapText="1"/>
    </xf>
    <xf numFmtId="58" fontId="18" fillId="0" borderId="0" xfId="0" applyNumberFormat="1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 wrapText="1"/>
    </xf>
    <xf numFmtId="58" fontId="30" fillId="0" borderId="0" xfId="0" applyNumberFormat="1" applyFont="1" applyFill="1" applyBorder="1" applyAlignment="1">
      <alignment horizontal="left" wrapText="1"/>
    </xf>
    <xf numFmtId="0" fontId="30" fillId="0" borderId="0" xfId="0" applyFont="1" applyFill="1" applyBorder="1" applyAlignment="1">
      <alignment horizontal="left" wrapText="1"/>
    </xf>
    <xf numFmtId="0" fontId="15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24" fillId="0" borderId="16" xfId="4" applyNumberFormat="1" applyFont="1" applyFill="1" applyBorder="1" applyAlignment="1">
      <alignment horizontal="left" vertical="center"/>
    </xf>
    <xf numFmtId="177" fontId="13" fillId="0" borderId="10" xfId="4" applyNumberFormat="1" applyFont="1" applyFill="1" applyBorder="1" applyAlignment="1">
      <alignment horizontal="center" vertical="center"/>
    </xf>
    <xf numFmtId="177" fontId="13" fillId="0" borderId="8" xfId="4" applyNumberFormat="1" applyFont="1" applyFill="1" applyBorder="1" applyAlignment="1">
      <alignment horizontal="center" vertical="center"/>
    </xf>
    <xf numFmtId="10" fontId="13" fillId="0" borderId="11" xfId="3" applyNumberFormat="1" applyFont="1" applyFill="1" applyBorder="1" applyAlignment="1">
      <alignment horizontal="center" vertical="center"/>
    </xf>
    <xf numFmtId="177" fontId="13" fillId="0" borderId="11" xfId="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百分比" xfId="3" builtinId="5"/>
    <cellStyle name="常规" xfId="0" builtinId="0"/>
    <cellStyle name="常规_能源分配" xfId="4"/>
    <cellStyle name="千位分隔" xfId="2" builtinId="3"/>
    <cellStyle name="一般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9"/>
  <sheetViews>
    <sheetView topLeftCell="A4108" workbookViewId="0">
      <selection activeCell="C4160" sqref="C4160"/>
    </sheetView>
  </sheetViews>
  <sheetFormatPr defaultColWidth="9" defaultRowHeight="13.2"/>
  <cols>
    <col min="1" max="1" width="35.6640625" style="79" customWidth="1"/>
    <col min="2" max="2" width="8.44140625" style="79" customWidth="1"/>
    <col min="3" max="3" width="12.44140625" style="79" customWidth="1"/>
    <col min="4" max="4" width="11.77734375" style="79" customWidth="1"/>
    <col min="5" max="5" width="11.44140625" style="79" customWidth="1"/>
    <col min="6" max="6" width="10.33203125" style="79" customWidth="1"/>
    <col min="7" max="7" width="12.77734375" style="79" bestFit="1" customWidth="1"/>
    <col min="8" max="8" width="9" style="79"/>
    <col min="9" max="9" width="11.109375" style="79" bestFit="1" customWidth="1"/>
    <col min="10" max="16384" width="9" style="79"/>
  </cols>
  <sheetData>
    <row r="1" spans="1:7" ht="12.75" hidden="1" customHeight="1">
      <c r="A1" s="77" t="s">
        <v>336</v>
      </c>
      <c r="B1" s="39"/>
      <c r="C1" s="78"/>
      <c r="D1" s="78"/>
      <c r="E1" s="78"/>
      <c r="F1" s="78"/>
      <c r="G1" s="40"/>
    </row>
    <row r="2" spans="1:7" ht="12.75" hidden="1" customHeight="1">
      <c r="A2" s="80" t="s">
        <v>337</v>
      </c>
      <c r="B2" s="43" t="s">
        <v>87</v>
      </c>
      <c r="C2" s="78" t="s">
        <v>338</v>
      </c>
      <c r="D2" s="78" t="s">
        <v>339</v>
      </c>
      <c r="E2" s="78" t="s">
        <v>340</v>
      </c>
      <c r="F2" s="78" t="s">
        <v>341</v>
      </c>
      <c r="G2" s="40"/>
    </row>
    <row r="3" spans="1:7" ht="12.75" hidden="1" customHeight="1">
      <c r="A3" s="80" t="s">
        <v>0</v>
      </c>
      <c r="B3" s="81"/>
      <c r="C3" s="81"/>
      <c r="D3" s="81"/>
      <c r="E3" s="81"/>
      <c r="F3" s="81"/>
      <c r="G3" s="40"/>
    </row>
    <row r="4" spans="1:7" ht="12.75" hidden="1" customHeight="1">
      <c r="A4" s="80" t="s">
        <v>342</v>
      </c>
      <c r="B4" s="81"/>
      <c r="C4" s="81"/>
      <c r="D4" s="81"/>
      <c r="E4" s="81"/>
      <c r="F4" s="81"/>
      <c r="G4" s="40"/>
    </row>
    <row r="5" spans="1:7" ht="12.75" hidden="1" customHeight="1">
      <c r="A5" s="80" t="s">
        <v>343</v>
      </c>
      <c r="B5" s="81"/>
      <c r="C5" s="81">
        <v>7638.52</v>
      </c>
      <c r="D5" s="81">
        <v>0</v>
      </c>
      <c r="E5" s="81">
        <v>94676.11</v>
      </c>
      <c r="F5" s="81">
        <v>102314.63</v>
      </c>
      <c r="G5" s="40">
        <f>B1466</f>
        <v>800</v>
      </c>
    </row>
    <row r="6" spans="1:7" ht="12.75" hidden="1" customHeight="1">
      <c r="A6" s="80" t="s">
        <v>344</v>
      </c>
      <c r="B6" s="81"/>
      <c r="C6" s="81"/>
      <c r="D6" s="81"/>
      <c r="E6" s="81"/>
      <c r="F6" s="81"/>
      <c r="G6" s="40"/>
    </row>
    <row r="7" spans="1:7" ht="12.75" hidden="1" customHeight="1">
      <c r="A7" s="80" t="s">
        <v>345</v>
      </c>
      <c r="B7" s="81"/>
      <c r="C7" s="81"/>
      <c r="D7" s="81"/>
      <c r="E7" s="81"/>
      <c r="F7" s="81"/>
      <c r="G7" s="40"/>
    </row>
    <row r="8" spans="1:7" ht="12.75" hidden="1" customHeight="1">
      <c r="A8" s="77" t="s">
        <v>346</v>
      </c>
      <c r="B8" s="82"/>
      <c r="C8" s="82">
        <v>7638.52</v>
      </c>
      <c r="D8" s="82">
        <v>0</v>
      </c>
      <c r="E8" s="82">
        <v>94676.11</v>
      </c>
      <c r="F8" s="82">
        <f>SUM(C8:E8)</f>
        <v>102314.63</v>
      </c>
      <c r="G8" s="40"/>
    </row>
    <row r="9" spans="1:7" ht="12.75" hidden="1" customHeight="1">
      <c r="A9" s="276" t="s">
        <v>347</v>
      </c>
      <c r="B9" s="277"/>
      <c r="C9" s="277"/>
      <c r="D9" s="277"/>
      <c r="E9" s="277"/>
      <c r="F9" s="277"/>
      <c r="G9" s="40"/>
    </row>
    <row r="10" spans="1:7" ht="12.75" hidden="1" customHeight="1">
      <c r="A10" s="83"/>
      <c r="B10" s="84"/>
      <c r="C10" s="40"/>
      <c r="D10" s="40"/>
      <c r="E10" s="41"/>
      <c r="F10" s="40"/>
      <c r="G10" s="40"/>
    </row>
    <row r="11" spans="1:7" ht="12.75" hidden="1" customHeight="1">
      <c r="A11" s="85"/>
      <c r="B11" s="84"/>
      <c r="C11" s="40"/>
      <c r="D11" s="40"/>
      <c r="E11" s="41"/>
      <c r="F11" s="40"/>
      <c r="G11" s="40"/>
    </row>
    <row r="12" spans="1:7" ht="12.75" hidden="1" customHeight="1">
      <c r="A12" s="77"/>
      <c r="B12" s="82"/>
      <c r="C12" s="82"/>
      <c r="D12" s="82"/>
      <c r="E12" s="82"/>
      <c r="F12" s="82"/>
      <c r="G12" s="40"/>
    </row>
    <row r="13" spans="1:7" ht="12.75" hidden="1" customHeight="1">
      <c r="A13" s="77" t="s">
        <v>348</v>
      </c>
      <c r="B13" s="43" t="s">
        <v>87</v>
      </c>
      <c r="C13" s="86" t="s">
        <v>88</v>
      </c>
      <c r="D13" s="86" t="s">
        <v>89</v>
      </c>
      <c r="E13" s="86" t="s">
        <v>90</v>
      </c>
      <c r="F13" s="86" t="s">
        <v>91</v>
      </c>
      <c r="G13" s="40"/>
    </row>
    <row r="14" spans="1:7" ht="12.75" hidden="1" customHeight="1">
      <c r="A14" s="87" t="s">
        <v>349</v>
      </c>
      <c r="B14" s="88"/>
      <c r="C14" s="88"/>
      <c r="D14" s="88"/>
      <c r="E14" s="88"/>
      <c r="F14" s="88"/>
      <c r="G14" s="40"/>
    </row>
    <row r="15" spans="1:7" ht="12.75" hidden="1" customHeight="1">
      <c r="A15" s="87" t="s">
        <v>350</v>
      </c>
      <c r="B15" s="88">
        <f>45*48</f>
        <v>2160</v>
      </c>
      <c r="C15" s="88">
        <f>B15/B$24*C$24</f>
        <v>536500.39500000002</v>
      </c>
      <c r="D15" s="88">
        <f>C15/C$24*D$24</f>
        <v>148260.42899999997</v>
      </c>
      <c r="E15" s="88">
        <f>D15/D$24*E$24</f>
        <v>372204.68399999995</v>
      </c>
      <c r="F15" s="88">
        <f>SUM(C15:E15)</f>
        <v>1056965.5079999999</v>
      </c>
      <c r="G15" s="40"/>
    </row>
    <row r="16" spans="1:7" ht="12.75" hidden="1" customHeight="1">
      <c r="A16" s="87" t="s">
        <v>351</v>
      </c>
      <c r="B16" s="88">
        <f>4*48</f>
        <v>192</v>
      </c>
      <c r="C16" s="88">
        <f t="shared" ref="C16:E19" si="0">B16/B$24*C$24</f>
        <v>47688.924000000006</v>
      </c>
      <c r="D16" s="88">
        <f t="shared" si="0"/>
        <v>13178.7048</v>
      </c>
      <c r="E16" s="88">
        <f t="shared" si="0"/>
        <v>33084.860800000002</v>
      </c>
      <c r="F16" s="88">
        <f>SUM(C16:E16)-0.01</f>
        <v>93952.479600000006</v>
      </c>
      <c r="G16" s="40"/>
    </row>
    <row r="17" spans="1:7" ht="12.75" hidden="1" customHeight="1">
      <c r="A17" s="87" t="s">
        <v>352</v>
      </c>
      <c r="B17" s="57"/>
      <c r="C17" s="88">
        <f t="shared" si="0"/>
        <v>0</v>
      </c>
      <c r="D17" s="88">
        <f t="shared" si="0"/>
        <v>0</v>
      </c>
      <c r="E17" s="88">
        <f t="shared" si="0"/>
        <v>0</v>
      </c>
      <c r="F17" s="88">
        <f>SUM(C17:E17)</f>
        <v>0</v>
      </c>
      <c r="G17" s="40"/>
    </row>
    <row r="18" spans="1:7" ht="12.75" hidden="1" customHeight="1">
      <c r="A18" s="87" t="s">
        <v>353</v>
      </c>
      <c r="B18" s="88"/>
      <c r="C18" s="88">
        <f t="shared" si="0"/>
        <v>0</v>
      </c>
      <c r="D18" s="88">
        <f t="shared" si="0"/>
        <v>0</v>
      </c>
      <c r="E18" s="88">
        <f t="shared" si="0"/>
        <v>0</v>
      </c>
      <c r="F18" s="88">
        <f>SUM(C18:E18)</f>
        <v>0</v>
      </c>
      <c r="G18" s="40"/>
    </row>
    <row r="19" spans="1:7" ht="12.75" hidden="1" customHeight="1">
      <c r="A19" s="87" t="s">
        <v>354</v>
      </c>
      <c r="B19" s="88">
        <f>48</f>
        <v>48</v>
      </c>
      <c r="C19" s="88">
        <f t="shared" si="0"/>
        <v>11922.231000000002</v>
      </c>
      <c r="D19" s="88">
        <f t="shared" si="0"/>
        <v>3294.6761999999999</v>
      </c>
      <c r="E19" s="88">
        <f t="shared" si="0"/>
        <v>8271.2152000000006</v>
      </c>
      <c r="F19" s="88">
        <f>SUM(C19:E19)+0.01</f>
        <v>23488.132399999999</v>
      </c>
      <c r="G19" s="40"/>
    </row>
    <row r="20" spans="1:7" ht="12.75" hidden="1" customHeight="1">
      <c r="A20" s="87" t="s">
        <v>355</v>
      </c>
      <c r="B20" s="88"/>
      <c r="C20" s="88"/>
      <c r="D20" s="88"/>
      <c r="E20" s="88">
        <f>D20/D$24*E$24</f>
        <v>0</v>
      </c>
      <c r="F20" s="88"/>
      <c r="G20" s="40"/>
    </row>
    <row r="21" spans="1:7" ht="12.75" hidden="1" customHeight="1">
      <c r="A21" s="87" t="s">
        <v>356</v>
      </c>
      <c r="B21" s="88"/>
      <c r="C21" s="88"/>
      <c r="D21" s="57"/>
      <c r="E21" s="88">
        <f>D21/D$24*E$24</f>
        <v>0</v>
      </c>
      <c r="F21" s="57"/>
      <c r="G21" s="40"/>
    </row>
    <row r="22" spans="1:7" ht="12.75" hidden="1" customHeight="1">
      <c r="A22" s="87" t="s">
        <v>357</v>
      </c>
      <c r="B22" s="57"/>
      <c r="C22" s="88"/>
      <c r="D22" s="88"/>
      <c r="E22" s="88">
        <f>D22/D$24*E$24</f>
        <v>0</v>
      </c>
      <c r="F22" s="88"/>
      <c r="G22" s="40"/>
    </row>
    <row r="23" spans="1:7" ht="12.75" hidden="1" customHeight="1">
      <c r="A23" s="87" t="s">
        <v>243</v>
      </c>
      <c r="B23" s="57"/>
      <c r="C23" s="88"/>
      <c r="D23" s="88"/>
      <c r="E23" s="88">
        <f>D23/D$24*E$24</f>
        <v>0</v>
      </c>
      <c r="F23" s="88"/>
      <c r="G23" s="40"/>
    </row>
    <row r="24" spans="1:7" ht="12.75" hidden="1" customHeight="1">
      <c r="A24" s="77" t="s">
        <v>346</v>
      </c>
      <c r="B24" s="82">
        <f>SUM(B15:B19)</f>
        <v>2400</v>
      </c>
      <c r="C24" s="82">
        <f>596111.55</f>
        <v>596111.55000000005</v>
      </c>
      <c r="D24" s="82">
        <f>9156.6+75255.4+24049.8+43778.13+12493.88</f>
        <v>164733.81</v>
      </c>
      <c r="E24" s="82">
        <f>413560.76</f>
        <v>413560.76</v>
      </c>
      <c r="F24" s="82">
        <f>SUM(C24:E24)</f>
        <v>1174406.1200000001</v>
      </c>
      <c r="G24" s="40"/>
    </row>
    <row r="25" spans="1:7" ht="12.75" hidden="1" customHeight="1">
      <c r="A25" s="89" t="s">
        <v>358</v>
      </c>
      <c r="B25" s="84"/>
      <c r="C25" s="84"/>
      <c r="D25" s="84"/>
      <c r="E25" s="84"/>
      <c r="F25" s="84"/>
      <c r="G25" s="90"/>
    </row>
    <row r="26" spans="1:7" ht="12.75" hidden="1" customHeight="1">
      <c r="A26" s="91"/>
      <c r="B26" s="84"/>
      <c r="C26" s="84"/>
      <c r="D26" s="84"/>
      <c r="E26" s="84"/>
      <c r="F26" s="84"/>
      <c r="G26" s="40"/>
    </row>
    <row r="27" spans="1:7" ht="12.75" hidden="1" customHeight="1">
      <c r="A27" s="83"/>
      <c r="B27" s="92"/>
      <c r="C27" s="92"/>
      <c r="D27" s="92"/>
      <c r="E27" s="92"/>
      <c r="F27" s="92"/>
      <c r="G27" s="40"/>
    </row>
    <row r="28" spans="1:7" ht="12.75" hidden="1" customHeight="1">
      <c r="A28" s="77" t="s">
        <v>359</v>
      </c>
      <c r="B28" s="43" t="s">
        <v>87</v>
      </c>
      <c r="C28" s="78" t="s">
        <v>360</v>
      </c>
      <c r="D28" s="78" t="s">
        <v>339</v>
      </c>
      <c r="E28" s="78" t="s">
        <v>340</v>
      </c>
      <c r="F28" s="78" t="s">
        <v>341</v>
      </c>
      <c r="G28" s="40"/>
    </row>
    <row r="29" spans="1:7" ht="12.75" hidden="1" customHeight="1">
      <c r="A29" s="80" t="s">
        <v>361</v>
      </c>
      <c r="B29" s="93">
        <v>5</v>
      </c>
      <c r="C29" s="94">
        <f>5/7*C41</f>
        <v>4785.2785714285719</v>
      </c>
      <c r="D29" s="94">
        <f>5/7*7/31*D41</f>
        <v>4754.1354838709676</v>
      </c>
      <c r="E29" s="94">
        <f>5/7*7/31*E41</f>
        <v>9401.7419354838712</v>
      </c>
      <c r="F29" s="94">
        <f>SUM(C29:E29)</f>
        <v>18941.155990783409</v>
      </c>
      <c r="G29" s="40"/>
    </row>
    <row r="30" spans="1:7" ht="12.75" hidden="1" customHeight="1">
      <c r="A30" s="80" t="s">
        <v>362</v>
      </c>
      <c r="B30" s="93"/>
      <c r="C30" s="94"/>
      <c r="D30" s="94"/>
      <c r="E30" s="94"/>
      <c r="F30" s="94">
        <f t="shared" ref="F30:F40" si="1">SUM(C30:E30)</f>
        <v>0</v>
      </c>
      <c r="G30" s="40"/>
    </row>
    <row r="31" spans="1:7" ht="12.75" hidden="1" customHeight="1">
      <c r="A31" s="80" t="s">
        <v>363</v>
      </c>
      <c r="B31" s="93"/>
      <c r="C31" s="94"/>
      <c r="D31" s="94"/>
      <c r="E31" s="94"/>
      <c r="F31" s="94">
        <f t="shared" si="1"/>
        <v>0</v>
      </c>
      <c r="G31" s="40"/>
    </row>
    <row r="32" spans="1:7" ht="12.75" hidden="1" customHeight="1">
      <c r="A32" s="80" t="s">
        <v>364</v>
      </c>
      <c r="B32" s="93"/>
      <c r="C32" s="94"/>
      <c r="D32" s="94"/>
      <c r="E32" s="94"/>
      <c r="F32" s="94">
        <f t="shared" si="1"/>
        <v>0</v>
      </c>
      <c r="G32" s="40"/>
    </row>
    <row r="33" spans="1:7" ht="12.75" hidden="1" customHeight="1">
      <c r="A33" s="80" t="s">
        <v>365</v>
      </c>
      <c r="B33" s="93"/>
      <c r="C33" s="94"/>
      <c r="D33" s="94"/>
      <c r="E33" s="94"/>
      <c r="F33" s="94">
        <f t="shared" si="1"/>
        <v>0</v>
      </c>
      <c r="G33" s="40"/>
    </row>
    <row r="34" spans="1:7" ht="12.75" hidden="1" customHeight="1">
      <c r="A34" s="80" t="s">
        <v>366</v>
      </c>
      <c r="B34" s="93"/>
      <c r="C34" s="94"/>
      <c r="D34" s="94"/>
      <c r="E34" s="94"/>
      <c r="F34" s="94">
        <f t="shared" si="1"/>
        <v>0</v>
      </c>
      <c r="G34" s="40"/>
    </row>
    <row r="35" spans="1:7" ht="12.75" hidden="1" customHeight="1">
      <c r="A35" s="80" t="s">
        <v>367</v>
      </c>
      <c r="B35" s="93"/>
      <c r="C35" s="94"/>
      <c r="D35" s="94"/>
      <c r="E35" s="94"/>
      <c r="F35" s="94">
        <f t="shared" si="1"/>
        <v>0</v>
      </c>
      <c r="G35" s="40"/>
    </row>
    <row r="36" spans="1:7" ht="12.75" hidden="1" customHeight="1">
      <c r="A36" s="80" t="s">
        <v>368</v>
      </c>
      <c r="B36" s="40"/>
      <c r="C36" s="94"/>
      <c r="D36" s="94"/>
      <c r="E36" s="94"/>
      <c r="F36" s="94">
        <f t="shared" si="1"/>
        <v>0</v>
      </c>
      <c r="G36" s="40"/>
    </row>
    <row r="37" spans="1:7" ht="12.75" hidden="1" customHeight="1">
      <c r="A37" s="80" t="s">
        <v>369</v>
      </c>
      <c r="B37" s="93"/>
      <c r="C37" s="94"/>
      <c r="D37" s="94"/>
      <c r="E37" s="94"/>
      <c r="F37" s="94">
        <f t="shared" si="1"/>
        <v>0</v>
      </c>
      <c r="G37" s="40"/>
    </row>
    <row r="38" spans="1:7" ht="12.75" hidden="1" customHeight="1">
      <c r="A38" s="80" t="s">
        <v>370</v>
      </c>
      <c r="B38" s="93">
        <v>2</v>
      </c>
      <c r="C38" s="94">
        <f>2/7*C41</f>
        <v>1914.1114285714286</v>
      </c>
      <c r="D38" s="94">
        <f>2/7*7/31*D41</f>
        <v>1901.654193548387</v>
      </c>
      <c r="E38" s="94">
        <f>2/7*7/31*E41</f>
        <v>3760.6967741935487</v>
      </c>
      <c r="F38" s="94">
        <f t="shared" si="1"/>
        <v>7576.4623963133645</v>
      </c>
      <c r="G38" s="40"/>
    </row>
    <row r="39" spans="1:7" ht="12.75" hidden="1" customHeight="1">
      <c r="A39" s="80" t="s">
        <v>84</v>
      </c>
      <c r="B39" s="93"/>
      <c r="C39" s="94"/>
      <c r="D39" s="94">
        <f>21/31*D41</f>
        <v>19967.369032258062</v>
      </c>
      <c r="E39" s="94"/>
      <c r="F39" s="94">
        <f t="shared" si="1"/>
        <v>19967.369032258062</v>
      </c>
      <c r="G39" s="40"/>
    </row>
    <row r="40" spans="1:7" ht="12.75" hidden="1" customHeight="1">
      <c r="A40" s="80" t="s">
        <v>371</v>
      </c>
      <c r="B40" s="93"/>
      <c r="C40" s="94"/>
      <c r="D40" s="94">
        <f>3/31*D41</f>
        <v>2852.4812903225807</v>
      </c>
      <c r="E40" s="94">
        <f>24/31*E41</f>
        <v>45128.36129032258</v>
      </c>
      <c r="F40" s="94">
        <f t="shared" si="1"/>
        <v>47980.842580645163</v>
      </c>
      <c r="G40" s="40"/>
    </row>
    <row r="41" spans="1:7" ht="12.75" hidden="1" customHeight="1">
      <c r="A41" s="77" t="s">
        <v>346</v>
      </c>
      <c r="B41" s="95">
        <v>7</v>
      </c>
      <c r="C41" s="96">
        <f>6699.39</f>
        <v>6699.39</v>
      </c>
      <c r="D41" s="96">
        <f>14488+2887+9423.38+2677.26</f>
        <v>29475.64</v>
      </c>
      <c r="E41" s="96">
        <f>58290.8</f>
        <v>58290.8</v>
      </c>
      <c r="F41" s="97">
        <f>SUM(C41:E41)</f>
        <v>94465.83</v>
      </c>
      <c r="G41" s="40"/>
    </row>
    <row r="42" spans="1:7" ht="12.75" hidden="1" customHeight="1">
      <c r="A42" s="98" t="s">
        <v>372</v>
      </c>
      <c r="B42" s="99"/>
      <c r="C42" s="100"/>
      <c r="D42" s="100"/>
      <c r="E42" s="100"/>
      <c r="F42" s="100"/>
      <c r="G42" s="40"/>
    </row>
    <row r="43" spans="1:7" ht="12.75" hidden="1" customHeight="1">
      <c r="A43" s="98" t="s">
        <v>373</v>
      </c>
      <c r="B43" s="99"/>
      <c r="C43" s="100"/>
      <c r="D43" s="100"/>
      <c r="E43" s="100"/>
      <c r="F43" s="100"/>
      <c r="G43" s="40"/>
    </row>
    <row r="44" spans="1:7" ht="12.75" hidden="1" customHeight="1">
      <c r="A44" s="98" t="s">
        <v>374</v>
      </c>
      <c r="B44" s="99"/>
      <c r="C44" s="100"/>
      <c r="D44" s="100"/>
      <c r="E44" s="100"/>
      <c r="F44" s="100"/>
      <c r="G44" s="40"/>
    </row>
    <row r="45" spans="1:7" ht="12.75" hidden="1" customHeight="1">
      <c r="A45" s="101" t="s">
        <v>375</v>
      </c>
      <c r="B45" s="92"/>
      <c r="C45" s="92"/>
      <c r="D45" s="92"/>
      <c r="E45" s="92"/>
      <c r="F45" s="92"/>
      <c r="G45" s="40"/>
    </row>
    <row r="46" spans="1:7" ht="12.75" hidden="1" customHeight="1">
      <c r="A46" s="101"/>
      <c r="B46" s="92"/>
      <c r="C46" s="92"/>
      <c r="D46" s="92"/>
      <c r="E46" s="92"/>
      <c r="F46" s="92"/>
      <c r="G46" s="40"/>
    </row>
    <row r="47" spans="1:7" ht="12.75" hidden="1" customHeight="1">
      <c r="A47" s="101"/>
      <c r="B47" s="92"/>
      <c r="C47" s="92"/>
      <c r="D47" s="92"/>
      <c r="E47" s="92"/>
      <c r="F47" s="92"/>
      <c r="G47" s="40"/>
    </row>
    <row r="48" spans="1:7" ht="12.75" hidden="1" customHeight="1">
      <c r="A48" s="77" t="s">
        <v>376</v>
      </c>
      <c r="B48" s="43" t="s">
        <v>87</v>
      </c>
      <c r="C48" s="78" t="s">
        <v>360</v>
      </c>
      <c r="D48" s="78" t="s">
        <v>339</v>
      </c>
      <c r="E48" s="78" t="s">
        <v>340</v>
      </c>
      <c r="F48" s="78" t="s">
        <v>341</v>
      </c>
      <c r="G48" s="40"/>
    </row>
    <row r="49" spans="1:7" ht="12.75" hidden="1" customHeight="1">
      <c r="A49" s="80" t="s">
        <v>84</v>
      </c>
      <c r="B49" s="93"/>
      <c r="C49" s="94">
        <v>94398.87</v>
      </c>
      <c r="D49" s="94">
        <v>58471.4</v>
      </c>
      <c r="E49" s="94">
        <v>17882.509999999998</v>
      </c>
      <c r="F49" s="94">
        <v>170752.78</v>
      </c>
      <c r="G49" s="40"/>
    </row>
    <row r="50" spans="1:7" ht="12.75" hidden="1" customHeight="1">
      <c r="A50" s="77" t="s">
        <v>346</v>
      </c>
      <c r="B50" s="95"/>
      <c r="C50" s="96">
        <v>94398.87</v>
      </c>
      <c r="D50" s="96">
        <f>28621+29850.4</f>
        <v>58471.4</v>
      </c>
      <c r="E50" s="96">
        <v>17882.509999999998</v>
      </c>
      <c r="F50" s="96">
        <f>SUM(C50:E50)</f>
        <v>170752.78</v>
      </c>
      <c r="G50" s="40"/>
    </row>
    <row r="51" spans="1:7" ht="12.75" hidden="1" customHeight="1">
      <c r="A51" s="102"/>
      <c r="B51" s="103"/>
      <c r="C51" s="104"/>
      <c r="D51" s="104"/>
      <c r="E51" s="104"/>
      <c r="F51" s="104"/>
      <c r="G51" s="40"/>
    </row>
    <row r="52" spans="1:7" ht="12.75" hidden="1" customHeight="1">
      <c r="A52" s="105"/>
      <c r="B52" s="103"/>
      <c r="C52" s="104"/>
      <c r="D52" s="104"/>
      <c r="E52" s="104"/>
      <c r="F52" s="104"/>
      <c r="G52" s="40"/>
    </row>
    <row r="53" spans="1:7" ht="12.75" hidden="1" customHeight="1">
      <c r="A53" s="269" t="s">
        <v>85</v>
      </c>
      <c r="B53" s="269"/>
      <c r="C53" s="269"/>
      <c r="D53" s="269"/>
      <c r="E53" s="269"/>
      <c r="F53" s="269"/>
      <c r="G53" s="40"/>
    </row>
    <row r="54" spans="1:7" ht="12.75" hidden="1" customHeight="1">
      <c r="A54" s="42" t="s">
        <v>86</v>
      </c>
      <c r="B54" s="43" t="s">
        <v>87</v>
      </c>
      <c r="C54" s="43" t="s">
        <v>88</v>
      </c>
      <c r="D54" s="43" t="s">
        <v>89</v>
      </c>
      <c r="E54" s="43" t="s">
        <v>90</v>
      </c>
      <c r="F54" s="43" t="s">
        <v>91</v>
      </c>
      <c r="G54" s="40"/>
    </row>
    <row r="55" spans="1:7" ht="12.75" hidden="1" customHeight="1">
      <c r="A55" s="39" t="s">
        <v>1</v>
      </c>
      <c r="B55" s="43"/>
      <c r="C55" s="44"/>
      <c r="D55" s="44"/>
      <c r="E55" s="44"/>
      <c r="F55" s="44"/>
      <c r="G55" s="40"/>
    </row>
    <row r="56" spans="1:7" ht="12.75" hidden="1" customHeight="1">
      <c r="A56" s="39" t="s">
        <v>2</v>
      </c>
      <c r="B56" s="43">
        <v>22.5</v>
      </c>
      <c r="C56" s="44">
        <f>B56/B$115*C$115</f>
        <v>26351.041373239441</v>
      </c>
      <c r="D56" s="44">
        <f>C56/C$115*D$115</f>
        <v>37302.205721830993</v>
      </c>
      <c r="E56" s="44">
        <f>D56/D$115*E$115</f>
        <v>18307.452992957747</v>
      </c>
      <c r="F56" s="44">
        <f>SUM(C56:E56)</f>
        <v>81960.700088028185</v>
      </c>
      <c r="G56" s="40"/>
    </row>
    <row r="57" spans="1:7" ht="12.75" hidden="1" customHeight="1">
      <c r="A57" s="39" t="s">
        <v>92</v>
      </c>
      <c r="B57" s="43"/>
      <c r="C57" s="44">
        <f t="shared" ref="C57:E99" si="2">B57/B$115*C$115</f>
        <v>0</v>
      </c>
      <c r="D57" s="44">
        <f t="shared" si="2"/>
        <v>0</v>
      </c>
      <c r="E57" s="44">
        <f t="shared" si="2"/>
        <v>0</v>
      </c>
      <c r="F57" s="44">
        <f t="shared" ref="F57:F114" si="3">SUM(C57:E57)</f>
        <v>0</v>
      </c>
      <c r="G57" s="40"/>
    </row>
    <row r="58" spans="1:7" ht="12.75" hidden="1" customHeight="1">
      <c r="A58" s="39" t="s">
        <v>93</v>
      </c>
      <c r="B58" s="43"/>
      <c r="C58" s="44">
        <f t="shared" si="2"/>
        <v>0</v>
      </c>
      <c r="D58" s="44">
        <f t="shared" si="2"/>
        <v>0</v>
      </c>
      <c r="E58" s="44">
        <f t="shared" si="2"/>
        <v>0</v>
      </c>
      <c r="F58" s="44">
        <f t="shared" si="3"/>
        <v>0</v>
      </c>
      <c r="G58" s="40"/>
    </row>
    <row r="59" spans="1:7" ht="12.75" hidden="1" customHeight="1">
      <c r="A59" s="39" t="s">
        <v>94</v>
      </c>
      <c r="B59" s="43">
        <v>7.5</v>
      </c>
      <c r="C59" s="44">
        <f t="shared" si="2"/>
        <v>8783.6804577464791</v>
      </c>
      <c r="D59" s="44">
        <f t="shared" si="2"/>
        <v>12434.068573943663</v>
      </c>
      <c r="E59" s="44">
        <f t="shared" si="2"/>
        <v>6102.4843309859152</v>
      </c>
      <c r="F59" s="44">
        <f t="shared" si="3"/>
        <v>27320.233362676059</v>
      </c>
      <c r="G59" s="40"/>
    </row>
    <row r="60" spans="1:7" ht="12.75" hidden="1" customHeight="1">
      <c r="A60" s="39" t="s">
        <v>95</v>
      </c>
      <c r="B60" s="43"/>
      <c r="C60" s="44">
        <f t="shared" si="2"/>
        <v>0</v>
      </c>
      <c r="D60" s="44">
        <f t="shared" si="2"/>
        <v>0</v>
      </c>
      <c r="E60" s="44">
        <f t="shared" si="2"/>
        <v>0</v>
      </c>
      <c r="F60" s="44">
        <f t="shared" si="3"/>
        <v>0</v>
      </c>
      <c r="G60" s="40"/>
    </row>
    <row r="61" spans="1:7" ht="12.75" hidden="1" customHeight="1">
      <c r="A61" s="39" t="s">
        <v>96</v>
      </c>
      <c r="B61" s="43"/>
      <c r="C61" s="44">
        <f t="shared" si="2"/>
        <v>0</v>
      </c>
      <c r="D61" s="44">
        <f t="shared" si="2"/>
        <v>0</v>
      </c>
      <c r="E61" s="44">
        <f t="shared" si="2"/>
        <v>0</v>
      </c>
      <c r="F61" s="44">
        <f t="shared" si="3"/>
        <v>0</v>
      </c>
      <c r="G61" s="40"/>
    </row>
    <row r="62" spans="1:7" ht="12.75" hidden="1" customHeight="1">
      <c r="A62" s="39" t="s">
        <v>97</v>
      </c>
      <c r="B62" s="43"/>
      <c r="C62" s="44">
        <f t="shared" si="2"/>
        <v>0</v>
      </c>
      <c r="D62" s="44">
        <f t="shared" si="2"/>
        <v>0</v>
      </c>
      <c r="E62" s="44">
        <f t="shared" si="2"/>
        <v>0</v>
      </c>
      <c r="F62" s="44">
        <f t="shared" si="3"/>
        <v>0</v>
      </c>
      <c r="G62" s="40"/>
    </row>
    <row r="63" spans="1:7" ht="12.75" hidden="1" customHeight="1">
      <c r="A63" s="39" t="s">
        <v>98</v>
      </c>
      <c r="B63" s="43"/>
      <c r="C63" s="44">
        <f t="shared" si="2"/>
        <v>0</v>
      </c>
      <c r="D63" s="44">
        <f t="shared" si="2"/>
        <v>0</v>
      </c>
      <c r="E63" s="44">
        <f t="shared" si="2"/>
        <v>0</v>
      </c>
      <c r="F63" s="44">
        <f t="shared" si="3"/>
        <v>0</v>
      </c>
      <c r="G63" s="40"/>
    </row>
    <row r="64" spans="1:7" ht="12.75" hidden="1" customHeight="1">
      <c r="A64" s="39" t="s">
        <v>99</v>
      </c>
      <c r="B64" s="43"/>
      <c r="C64" s="44">
        <f t="shared" si="2"/>
        <v>0</v>
      </c>
      <c r="D64" s="44">
        <f t="shared" si="2"/>
        <v>0</v>
      </c>
      <c r="E64" s="44">
        <f t="shared" si="2"/>
        <v>0</v>
      </c>
      <c r="F64" s="44">
        <f t="shared" si="3"/>
        <v>0</v>
      </c>
      <c r="G64" s="40"/>
    </row>
    <row r="65" spans="1:7" ht="12.75" hidden="1" customHeight="1">
      <c r="A65" s="39" t="s">
        <v>100</v>
      </c>
      <c r="B65" s="45"/>
      <c r="C65" s="44">
        <f t="shared" si="2"/>
        <v>0</v>
      </c>
      <c r="D65" s="44">
        <f t="shared" si="2"/>
        <v>0</v>
      </c>
      <c r="E65" s="44">
        <f t="shared" si="2"/>
        <v>0</v>
      </c>
      <c r="F65" s="44">
        <f t="shared" si="3"/>
        <v>0</v>
      </c>
      <c r="G65" s="40"/>
    </row>
    <row r="66" spans="1:7" ht="12.75" hidden="1" customHeight="1">
      <c r="A66" s="39" t="s">
        <v>101</v>
      </c>
      <c r="B66" s="43">
        <v>10</v>
      </c>
      <c r="C66" s="44">
        <f t="shared" si="2"/>
        <v>11711.573943661973</v>
      </c>
      <c r="D66" s="44">
        <f t="shared" si="2"/>
        <v>16578.758098591552</v>
      </c>
      <c r="E66" s="44">
        <f t="shared" si="2"/>
        <v>8136.6457746478873</v>
      </c>
      <c r="F66" s="44">
        <f t="shared" si="3"/>
        <v>36426.97781690141</v>
      </c>
      <c r="G66" s="40"/>
    </row>
    <row r="67" spans="1:7" ht="12.75" hidden="1" customHeight="1">
      <c r="A67" s="39" t="s">
        <v>102</v>
      </c>
      <c r="B67" s="43"/>
      <c r="C67" s="44">
        <f t="shared" si="2"/>
        <v>0</v>
      </c>
      <c r="D67" s="44">
        <f t="shared" si="2"/>
        <v>0</v>
      </c>
      <c r="E67" s="44">
        <f t="shared" si="2"/>
        <v>0</v>
      </c>
      <c r="F67" s="44">
        <f t="shared" si="3"/>
        <v>0</v>
      </c>
      <c r="G67" s="40"/>
    </row>
    <row r="68" spans="1:7" ht="12.75" hidden="1" customHeight="1">
      <c r="A68" s="39" t="s">
        <v>103</v>
      </c>
      <c r="B68" s="43"/>
      <c r="C68" s="44">
        <f t="shared" si="2"/>
        <v>0</v>
      </c>
      <c r="D68" s="44">
        <f t="shared" si="2"/>
        <v>0</v>
      </c>
      <c r="E68" s="44">
        <f t="shared" si="2"/>
        <v>0</v>
      </c>
      <c r="F68" s="44">
        <f t="shared" si="3"/>
        <v>0</v>
      </c>
      <c r="G68" s="40"/>
    </row>
    <row r="69" spans="1:7" ht="12.75" hidden="1" customHeight="1">
      <c r="A69" s="39" t="s">
        <v>104</v>
      </c>
      <c r="B69" s="41">
        <v>21.5</v>
      </c>
      <c r="C69" s="44">
        <f t="shared" si="2"/>
        <v>25179.88397887324</v>
      </c>
      <c r="D69" s="44">
        <f t="shared" si="2"/>
        <v>35644.329911971836</v>
      </c>
      <c r="E69" s="44">
        <f t="shared" si="2"/>
        <v>17493.78841549296</v>
      </c>
      <c r="F69" s="44">
        <f t="shared" si="3"/>
        <v>78318.002306338036</v>
      </c>
      <c r="G69" s="40"/>
    </row>
    <row r="70" spans="1:7" ht="12.75" hidden="1" customHeight="1">
      <c r="A70" s="39" t="s">
        <v>105</v>
      </c>
      <c r="B70" s="43"/>
      <c r="C70" s="44">
        <f t="shared" si="2"/>
        <v>0</v>
      </c>
      <c r="D70" s="44">
        <f t="shared" si="2"/>
        <v>0</v>
      </c>
      <c r="E70" s="44">
        <f t="shared" si="2"/>
        <v>0</v>
      </c>
      <c r="F70" s="44">
        <f t="shared" si="3"/>
        <v>0</v>
      </c>
      <c r="G70" s="40"/>
    </row>
    <row r="71" spans="1:7" ht="12.75" hidden="1" customHeight="1">
      <c r="A71" s="39" t="s">
        <v>106</v>
      </c>
      <c r="B71" s="43"/>
      <c r="C71" s="44">
        <f t="shared" si="2"/>
        <v>0</v>
      </c>
      <c r="D71" s="44">
        <f t="shared" si="2"/>
        <v>0</v>
      </c>
      <c r="E71" s="44">
        <f t="shared" si="2"/>
        <v>0</v>
      </c>
      <c r="F71" s="44">
        <f t="shared" si="3"/>
        <v>0</v>
      </c>
      <c r="G71" s="40"/>
    </row>
    <row r="72" spans="1:7" ht="12.75" hidden="1" customHeight="1">
      <c r="A72" s="39" t="s">
        <v>107</v>
      </c>
      <c r="B72" s="43">
        <v>10.5</v>
      </c>
      <c r="C72" s="44">
        <f t="shared" si="2"/>
        <v>12297.15264084507</v>
      </c>
      <c r="D72" s="44">
        <f t="shared" si="2"/>
        <v>17407.696003521127</v>
      </c>
      <c r="E72" s="44">
        <f t="shared" si="2"/>
        <v>8543.478063380282</v>
      </c>
      <c r="F72" s="44">
        <f t="shared" si="3"/>
        <v>38248.326707746477</v>
      </c>
      <c r="G72" s="40"/>
    </row>
    <row r="73" spans="1:7" ht="12.75" hidden="1" customHeight="1">
      <c r="A73" s="39" t="s">
        <v>108</v>
      </c>
      <c r="B73" s="45">
        <v>23.5</v>
      </c>
      <c r="C73" s="44">
        <f t="shared" si="2"/>
        <v>27522.198767605634</v>
      </c>
      <c r="D73" s="44">
        <f t="shared" si="2"/>
        <v>38960.081531690143</v>
      </c>
      <c r="E73" s="44">
        <f t="shared" si="2"/>
        <v>19121.117570422535</v>
      </c>
      <c r="F73" s="44">
        <f t="shared" si="3"/>
        <v>85603.397869718305</v>
      </c>
      <c r="G73" s="40"/>
    </row>
    <row r="74" spans="1:7" ht="12.75" hidden="1" customHeight="1">
      <c r="A74" s="39" t="s">
        <v>109</v>
      </c>
      <c r="B74" s="43"/>
      <c r="C74" s="44">
        <f t="shared" si="2"/>
        <v>0</v>
      </c>
      <c r="D74" s="44">
        <f t="shared" si="2"/>
        <v>0</v>
      </c>
      <c r="E74" s="44">
        <f t="shared" si="2"/>
        <v>0</v>
      </c>
      <c r="F74" s="44">
        <f t="shared" si="3"/>
        <v>0</v>
      </c>
      <c r="G74" s="40"/>
    </row>
    <row r="75" spans="1:7" ht="12.75" hidden="1" customHeight="1">
      <c r="A75" s="39" t="s">
        <v>110</v>
      </c>
      <c r="B75" s="43">
        <v>34</v>
      </c>
      <c r="C75" s="44">
        <f t="shared" si="2"/>
        <v>39819.351408450704</v>
      </c>
      <c r="D75" s="44">
        <f t="shared" si="2"/>
        <v>56367.777535211266</v>
      </c>
      <c r="E75" s="44">
        <f t="shared" si="2"/>
        <v>27664.595633802812</v>
      </c>
      <c r="F75" s="44">
        <f>SUM(C75:E75)</f>
        <v>123851.72457746477</v>
      </c>
      <c r="G75" s="40"/>
    </row>
    <row r="76" spans="1:7" ht="12.75" hidden="1" customHeight="1">
      <c r="A76" s="39" t="s">
        <v>111</v>
      </c>
      <c r="B76" s="45">
        <v>8</v>
      </c>
      <c r="C76" s="44">
        <f t="shared" si="2"/>
        <v>9369.2591549295776</v>
      </c>
      <c r="D76" s="44">
        <f t="shared" si="2"/>
        <v>13263.006478873242</v>
      </c>
      <c r="E76" s="44">
        <f t="shared" si="2"/>
        <v>6509.31661971831</v>
      </c>
      <c r="F76" s="44">
        <f>SUM(C76:E76)</f>
        <v>29141.582253521126</v>
      </c>
      <c r="G76" s="40"/>
    </row>
    <row r="77" spans="1:7" ht="12.75" hidden="1" customHeight="1">
      <c r="A77" s="39" t="s">
        <v>112</v>
      </c>
      <c r="B77" s="45">
        <v>3</v>
      </c>
      <c r="C77" s="44">
        <f t="shared" si="2"/>
        <v>3513.4721830985918</v>
      </c>
      <c r="D77" s="44">
        <f t="shared" si="2"/>
        <v>4973.6274295774647</v>
      </c>
      <c r="E77" s="44">
        <f t="shared" si="2"/>
        <v>2440.9937323943655</v>
      </c>
      <c r="F77" s="44">
        <f t="shared" si="3"/>
        <v>10928.093345070421</v>
      </c>
      <c r="G77" s="40"/>
    </row>
    <row r="78" spans="1:7" ht="12.75" hidden="1" customHeight="1">
      <c r="A78" s="39" t="s">
        <v>113</v>
      </c>
      <c r="B78" s="43"/>
      <c r="C78" s="44">
        <f t="shared" si="2"/>
        <v>0</v>
      </c>
      <c r="D78" s="44">
        <f t="shared" si="2"/>
        <v>0</v>
      </c>
      <c r="E78" s="44">
        <f t="shared" si="2"/>
        <v>0</v>
      </c>
      <c r="F78" s="44">
        <f t="shared" si="3"/>
        <v>0</v>
      </c>
      <c r="G78" s="40"/>
    </row>
    <row r="79" spans="1:7" ht="12.75" hidden="1" customHeight="1">
      <c r="A79" s="39" t="s">
        <v>114</v>
      </c>
      <c r="B79" s="43"/>
      <c r="C79" s="44">
        <f t="shared" si="2"/>
        <v>0</v>
      </c>
      <c r="D79" s="44">
        <f t="shared" si="2"/>
        <v>0</v>
      </c>
      <c r="E79" s="44">
        <f t="shared" si="2"/>
        <v>0</v>
      </c>
      <c r="F79" s="44">
        <f t="shared" si="3"/>
        <v>0</v>
      </c>
      <c r="G79" s="40"/>
    </row>
    <row r="80" spans="1:7" ht="12.75" hidden="1" customHeight="1">
      <c r="A80" s="39" t="s">
        <v>115</v>
      </c>
      <c r="B80" s="43"/>
      <c r="C80" s="44">
        <f t="shared" si="2"/>
        <v>0</v>
      </c>
      <c r="D80" s="44">
        <f t="shared" si="2"/>
        <v>0</v>
      </c>
      <c r="E80" s="44">
        <f t="shared" si="2"/>
        <v>0</v>
      </c>
      <c r="F80" s="44">
        <f t="shared" si="3"/>
        <v>0</v>
      </c>
      <c r="G80" s="40"/>
    </row>
    <row r="81" spans="1:7" ht="12.75" hidden="1" customHeight="1">
      <c r="A81" s="39" t="s">
        <v>116</v>
      </c>
      <c r="B81" s="43">
        <v>6.5</v>
      </c>
      <c r="C81" s="44">
        <f t="shared" si="2"/>
        <v>7612.5230633802821</v>
      </c>
      <c r="D81" s="44">
        <f t="shared" si="2"/>
        <v>10776.192764084508</v>
      </c>
      <c r="E81" s="44">
        <f t="shared" si="2"/>
        <v>5288.8197535211266</v>
      </c>
      <c r="F81" s="44">
        <f t="shared" si="3"/>
        <v>23677.535580985914</v>
      </c>
      <c r="G81" s="40"/>
    </row>
    <row r="82" spans="1:7" ht="12.75" hidden="1" customHeight="1">
      <c r="A82" s="39" t="s">
        <v>117</v>
      </c>
      <c r="B82" s="43">
        <v>11</v>
      </c>
      <c r="C82" s="44">
        <f t="shared" si="2"/>
        <v>12882.731338028168</v>
      </c>
      <c r="D82" s="44">
        <f t="shared" si="2"/>
        <v>18236.633908450705</v>
      </c>
      <c r="E82" s="44">
        <f t="shared" si="2"/>
        <v>8950.3103521126759</v>
      </c>
      <c r="F82" s="44">
        <f t="shared" si="3"/>
        <v>40069.675598591552</v>
      </c>
      <c r="G82" s="40"/>
    </row>
    <row r="83" spans="1:7" ht="12.75" hidden="1" customHeight="1">
      <c r="A83" s="39" t="s">
        <v>118</v>
      </c>
      <c r="B83" s="45"/>
      <c r="C83" s="44">
        <f t="shared" si="2"/>
        <v>0</v>
      </c>
      <c r="D83" s="44">
        <f t="shared" si="2"/>
        <v>0</v>
      </c>
      <c r="E83" s="44">
        <f t="shared" si="2"/>
        <v>0</v>
      </c>
      <c r="F83" s="44">
        <f t="shared" si="3"/>
        <v>0</v>
      </c>
      <c r="G83" s="40"/>
    </row>
    <row r="84" spans="1:7" ht="12.75" hidden="1" customHeight="1">
      <c r="A84" s="39" t="s">
        <v>119</v>
      </c>
      <c r="B84" s="43">
        <v>50</v>
      </c>
      <c r="C84" s="44">
        <f t="shared" si="2"/>
        <v>58557.869718309856</v>
      </c>
      <c r="D84" s="44">
        <f t="shared" si="2"/>
        <v>82893.790492957749</v>
      </c>
      <c r="E84" s="44">
        <f t="shared" si="2"/>
        <v>40683.22887323943</v>
      </c>
      <c r="F84" s="44">
        <f t="shared" si="3"/>
        <v>182134.88908450701</v>
      </c>
      <c r="G84" s="40"/>
    </row>
    <row r="85" spans="1:7" ht="12.75" hidden="1" customHeight="1">
      <c r="A85" s="39" t="s">
        <v>120</v>
      </c>
      <c r="B85" s="45">
        <v>11</v>
      </c>
      <c r="C85" s="44">
        <f t="shared" si="2"/>
        <v>12882.731338028168</v>
      </c>
      <c r="D85" s="44">
        <f t="shared" si="2"/>
        <v>18236.633908450705</v>
      </c>
      <c r="E85" s="44">
        <f t="shared" si="2"/>
        <v>8950.3103521126759</v>
      </c>
      <c r="F85" s="44">
        <f t="shared" si="3"/>
        <v>40069.675598591552</v>
      </c>
      <c r="G85" s="40"/>
    </row>
    <row r="86" spans="1:7" ht="12.75" hidden="1" customHeight="1">
      <c r="A86" s="39" t="s">
        <v>121</v>
      </c>
      <c r="B86" s="45"/>
      <c r="C86" s="44">
        <f t="shared" si="2"/>
        <v>0</v>
      </c>
      <c r="D86" s="44">
        <f t="shared" si="2"/>
        <v>0</v>
      </c>
      <c r="E86" s="44">
        <f t="shared" si="2"/>
        <v>0</v>
      </c>
      <c r="F86" s="44">
        <f t="shared" si="3"/>
        <v>0</v>
      </c>
      <c r="G86" s="40"/>
    </row>
    <row r="87" spans="1:7" ht="12.75" hidden="1" customHeight="1">
      <c r="A87" s="39" t="s">
        <v>122</v>
      </c>
      <c r="B87" s="43"/>
      <c r="C87" s="44">
        <f t="shared" si="2"/>
        <v>0</v>
      </c>
      <c r="D87" s="44">
        <f t="shared" si="2"/>
        <v>0</v>
      </c>
      <c r="E87" s="44">
        <f t="shared" si="2"/>
        <v>0</v>
      </c>
      <c r="F87" s="44">
        <f t="shared" si="3"/>
        <v>0</v>
      </c>
      <c r="G87" s="40"/>
    </row>
    <row r="88" spans="1:7" ht="12.75" hidden="1" customHeight="1">
      <c r="A88" s="39" t="s">
        <v>123</v>
      </c>
      <c r="B88" s="43"/>
      <c r="C88" s="44">
        <f t="shared" si="2"/>
        <v>0</v>
      </c>
      <c r="D88" s="44">
        <f t="shared" si="2"/>
        <v>0</v>
      </c>
      <c r="E88" s="44">
        <f t="shared" si="2"/>
        <v>0</v>
      </c>
      <c r="F88" s="44">
        <f t="shared" si="3"/>
        <v>0</v>
      </c>
      <c r="G88" s="40"/>
    </row>
    <row r="89" spans="1:7" ht="12.75" hidden="1" customHeight="1">
      <c r="A89" s="39" t="s">
        <v>124</v>
      </c>
      <c r="B89" s="43"/>
      <c r="C89" s="44">
        <f t="shared" si="2"/>
        <v>0</v>
      </c>
      <c r="D89" s="44">
        <f t="shared" si="2"/>
        <v>0</v>
      </c>
      <c r="E89" s="44">
        <f t="shared" si="2"/>
        <v>0</v>
      </c>
      <c r="F89" s="44">
        <f t="shared" si="3"/>
        <v>0</v>
      </c>
      <c r="G89" s="40"/>
    </row>
    <row r="90" spans="1:7" ht="12.75" hidden="1" customHeight="1">
      <c r="A90" s="39" t="s">
        <v>125</v>
      </c>
      <c r="B90" s="43"/>
      <c r="C90" s="44">
        <f t="shared" si="2"/>
        <v>0</v>
      </c>
      <c r="D90" s="44">
        <f t="shared" si="2"/>
        <v>0</v>
      </c>
      <c r="E90" s="44">
        <f t="shared" si="2"/>
        <v>0</v>
      </c>
      <c r="F90" s="44">
        <f t="shared" si="3"/>
        <v>0</v>
      </c>
      <c r="G90" s="40"/>
    </row>
    <row r="91" spans="1:7" ht="12.75" hidden="1" customHeight="1">
      <c r="A91" s="39" t="s">
        <v>126</v>
      </c>
      <c r="B91" s="45"/>
      <c r="C91" s="44">
        <f t="shared" si="2"/>
        <v>0</v>
      </c>
      <c r="D91" s="44">
        <f t="shared" si="2"/>
        <v>0</v>
      </c>
      <c r="E91" s="44">
        <f t="shared" si="2"/>
        <v>0</v>
      </c>
      <c r="F91" s="44">
        <f t="shared" si="3"/>
        <v>0</v>
      </c>
      <c r="G91" s="40"/>
    </row>
    <row r="92" spans="1:7" ht="12.75" hidden="1" customHeight="1">
      <c r="A92" s="39" t="s">
        <v>127</v>
      </c>
      <c r="B92" s="43">
        <v>6</v>
      </c>
      <c r="C92" s="44">
        <f t="shared" si="2"/>
        <v>7026.9443661971836</v>
      </c>
      <c r="D92" s="44">
        <f t="shared" si="2"/>
        <v>9947.2548591549294</v>
      </c>
      <c r="E92" s="44">
        <f t="shared" si="2"/>
        <v>4881.9874647887309</v>
      </c>
      <c r="F92" s="44">
        <f t="shared" si="3"/>
        <v>21856.186690140843</v>
      </c>
      <c r="G92" s="40"/>
    </row>
    <row r="93" spans="1:7" ht="12.75" hidden="1" customHeight="1">
      <c r="A93" s="39" t="s">
        <v>128</v>
      </c>
      <c r="B93" s="43"/>
      <c r="C93" s="44">
        <f t="shared" si="2"/>
        <v>0</v>
      </c>
      <c r="D93" s="44">
        <f t="shared" si="2"/>
        <v>0</v>
      </c>
      <c r="E93" s="44">
        <f t="shared" si="2"/>
        <v>0</v>
      </c>
      <c r="F93" s="44">
        <f t="shared" si="3"/>
        <v>0</v>
      </c>
      <c r="G93" s="40"/>
    </row>
    <row r="94" spans="1:7" ht="12.75" hidden="1" customHeight="1">
      <c r="A94" s="39" t="s">
        <v>129</v>
      </c>
      <c r="B94" s="45"/>
      <c r="C94" s="44">
        <f t="shared" si="2"/>
        <v>0</v>
      </c>
      <c r="D94" s="44">
        <f t="shared" si="2"/>
        <v>0</v>
      </c>
      <c r="E94" s="44">
        <f t="shared" si="2"/>
        <v>0</v>
      </c>
      <c r="F94" s="44">
        <f t="shared" si="3"/>
        <v>0</v>
      </c>
      <c r="G94" s="40"/>
    </row>
    <row r="95" spans="1:7" ht="12.75" hidden="1" customHeight="1">
      <c r="A95" s="39" t="s">
        <v>130</v>
      </c>
      <c r="B95" s="45">
        <v>44.5</v>
      </c>
      <c r="C95" s="44">
        <f t="shared" si="2"/>
        <v>52116.504049295778</v>
      </c>
      <c r="D95" s="44">
        <f t="shared" si="2"/>
        <v>73775.473538732404</v>
      </c>
      <c r="E95" s="44">
        <f t="shared" si="2"/>
        <v>36208.073697183099</v>
      </c>
      <c r="F95" s="44">
        <f t="shared" si="3"/>
        <v>162100.05128521129</v>
      </c>
      <c r="G95" s="40"/>
    </row>
    <row r="96" spans="1:7" ht="12.75" hidden="1" customHeight="1">
      <c r="A96" s="39" t="s">
        <v>131</v>
      </c>
      <c r="B96" s="45">
        <v>4</v>
      </c>
      <c r="C96" s="44">
        <f t="shared" si="2"/>
        <v>4684.6295774647888</v>
      </c>
      <c r="D96" s="44">
        <f t="shared" si="2"/>
        <v>6631.5032394366208</v>
      </c>
      <c r="E96" s="44">
        <f t="shared" si="2"/>
        <v>3254.658309859155</v>
      </c>
      <c r="F96" s="44">
        <f t="shared" si="3"/>
        <v>14570.791126760563</v>
      </c>
      <c r="G96" s="40"/>
    </row>
    <row r="97" spans="1:7" ht="12.75" hidden="1" customHeight="1">
      <c r="A97" s="39" t="s">
        <v>132</v>
      </c>
      <c r="B97" s="43"/>
      <c r="C97" s="44">
        <f t="shared" si="2"/>
        <v>0</v>
      </c>
      <c r="D97" s="44">
        <f t="shared" si="2"/>
        <v>0</v>
      </c>
      <c r="E97" s="44">
        <f t="shared" si="2"/>
        <v>0</v>
      </c>
      <c r="F97" s="44">
        <f t="shared" si="3"/>
        <v>0</v>
      </c>
      <c r="G97" s="40"/>
    </row>
    <row r="98" spans="1:7" ht="12.75" hidden="1" customHeight="1">
      <c r="A98" s="39" t="s">
        <v>133</v>
      </c>
      <c r="B98" s="43"/>
      <c r="C98" s="44">
        <f t="shared" si="2"/>
        <v>0</v>
      </c>
      <c r="D98" s="44">
        <f t="shared" si="2"/>
        <v>0</v>
      </c>
      <c r="E98" s="44">
        <f t="shared" si="2"/>
        <v>0</v>
      </c>
      <c r="F98" s="44">
        <f t="shared" si="3"/>
        <v>0</v>
      </c>
      <c r="G98" s="40"/>
    </row>
    <row r="99" spans="1:7" ht="12.75" hidden="1" customHeight="1">
      <c r="A99" s="39" t="s">
        <v>134</v>
      </c>
      <c r="B99" s="45">
        <v>10.5</v>
      </c>
      <c r="C99" s="44">
        <f t="shared" si="2"/>
        <v>12297.15264084507</v>
      </c>
      <c r="D99" s="44">
        <f t="shared" si="2"/>
        <v>17407.696003521127</v>
      </c>
      <c r="E99" s="44">
        <f t="shared" si="2"/>
        <v>8543.478063380282</v>
      </c>
      <c r="F99" s="44">
        <f t="shared" si="3"/>
        <v>38248.326707746477</v>
      </c>
      <c r="G99" s="40"/>
    </row>
    <row r="100" spans="1:7" ht="12.75" hidden="1" customHeight="1">
      <c r="A100" s="39" t="s">
        <v>135</v>
      </c>
      <c r="B100" s="45"/>
      <c r="C100" s="44"/>
      <c r="D100" s="44"/>
      <c r="E100" s="44"/>
      <c r="F100" s="44">
        <f t="shared" si="3"/>
        <v>0</v>
      </c>
      <c r="G100" s="40"/>
    </row>
    <row r="101" spans="1:7" ht="12.75" hidden="1" customHeight="1">
      <c r="A101" s="39" t="s">
        <v>136</v>
      </c>
      <c r="B101" s="43"/>
      <c r="C101" s="44"/>
      <c r="D101" s="44"/>
      <c r="E101" s="44"/>
      <c r="F101" s="44">
        <f t="shared" si="3"/>
        <v>0</v>
      </c>
      <c r="G101" s="40"/>
    </row>
    <row r="102" spans="1:7" ht="12.75" hidden="1" customHeight="1">
      <c r="A102" s="39" t="s">
        <v>137</v>
      </c>
      <c r="B102" s="45"/>
      <c r="C102" s="44"/>
      <c r="D102" s="44"/>
      <c r="E102" s="44"/>
      <c r="F102" s="44">
        <f t="shared" si="3"/>
        <v>0</v>
      </c>
      <c r="G102" s="40"/>
    </row>
    <row r="103" spans="1:7" ht="12.75" hidden="1" customHeight="1">
      <c r="A103" s="39" t="s">
        <v>138</v>
      </c>
      <c r="B103" s="45"/>
      <c r="C103" s="44"/>
      <c r="D103" s="44"/>
      <c r="E103" s="44"/>
      <c r="F103" s="44">
        <f t="shared" si="3"/>
        <v>0</v>
      </c>
      <c r="G103" s="40"/>
    </row>
    <row r="104" spans="1:7" ht="12.75" hidden="1" customHeight="1">
      <c r="A104" s="39" t="s">
        <v>139</v>
      </c>
      <c r="B104" s="45"/>
      <c r="C104" s="44"/>
      <c r="D104" s="44"/>
      <c r="E104" s="44"/>
      <c r="F104" s="44">
        <f t="shared" si="3"/>
        <v>0</v>
      </c>
      <c r="G104" s="40"/>
    </row>
    <row r="105" spans="1:7" ht="12.75" hidden="1" customHeight="1">
      <c r="A105" s="46" t="s">
        <v>140</v>
      </c>
      <c r="B105" s="45"/>
      <c r="C105" s="44"/>
      <c r="D105" s="44"/>
      <c r="E105" s="44"/>
      <c r="F105" s="44">
        <f t="shared" si="3"/>
        <v>0</v>
      </c>
      <c r="G105" s="40"/>
    </row>
    <row r="106" spans="1:7" ht="12.75" hidden="1" customHeight="1">
      <c r="A106" s="46" t="s">
        <v>141</v>
      </c>
      <c r="B106" s="45"/>
      <c r="C106" s="44"/>
      <c r="D106" s="44"/>
      <c r="E106" s="44"/>
      <c r="F106" s="44">
        <f t="shared" si="3"/>
        <v>0</v>
      </c>
      <c r="G106" s="40"/>
    </row>
    <row r="107" spans="1:7" ht="12.75" hidden="1" customHeight="1">
      <c r="A107" s="46" t="s">
        <v>142</v>
      </c>
      <c r="B107" s="45"/>
      <c r="C107" s="44"/>
      <c r="D107" s="44"/>
      <c r="E107" s="44"/>
      <c r="F107" s="44">
        <f t="shared" si="3"/>
        <v>0</v>
      </c>
      <c r="G107" s="40"/>
    </row>
    <row r="108" spans="1:7" ht="12.75" hidden="1" customHeight="1">
      <c r="A108" s="46" t="s">
        <v>143</v>
      </c>
      <c r="B108" s="45"/>
      <c r="C108" s="44"/>
      <c r="D108" s="44"/>
      <c r="E108" s="44"/>
      <c r="F108" s="44">
        <f t="shared" si="3"/>
        <v>0</v>
      </c>
      <c r="G108" s="40"/>
    </row>
    <row r="109" spans="1:7" ht="12.75" hidden="1" customHeight="1">
      <c r="A109" s="46" t="s">
        <v>144</v>
      </c>
      <c r="B109" s="45"/>
      <c r="C109" s="44"/>
      <c r="D109" s="44"/>
      <c r="E109" s="44"/>
      <c r="F109" s="44">
        <f t="shared" si="3"/>
        <v>0</v>
      </c>
      <c r="G109" s="40"/>
    </row>
    <row r="110" spans="1:7" ht="12.75" hidden="1" customHeight="1">
      <c r="A110" s="46" t="s">
        <v>145</v>
      </c>
      <c r="B110" s="45"/>
      <c r="C110" s="44"/>
      <c r="D110" s="44"/>
      <c r="E110" s="44"/>
      <c r="F110" s="44">
        <f t="shared" si="3"/>
        <v>0</v>
      </c>
      <c r="G110" s="40"/>
    </row>
    <row r="111" spans="1:7" ht="12.75" hidden="1" customHeight="1">
      <c r="A111" s="46" t="s">
        <v>146</v>
      </c>
      <c r="B111" s="45"/>
      <c r="C111" s="44"/>
      <c r="D111" s="44"/>
      <c r="E111" s="44"/>
      <c r="F111" s="44">
        <f t="shared" si="3"/>
        <v>0</v>
      </c>
      <c r="G111" s="40"/>
    </row>
    <row r="112" spans="1:7" ht="12.75" hidden="1" customHeight="1">
      <c r="A112" s="46" t="s">
        <v>147</v>
      </c>
      <c r="B112" s="45"/>
      <c r="C112" s="44"/>
      <c r="D112" s="44"/>
      <c r="E112" s="44"/>
      <c r="F112" s="44">
        <f t="shared" si="3"/>
        <v>0</v>
      </c>
      <c r="G112" s="40"/>
    </row>
    <row r="113" spans="1:7" ht="12.75" hidden="1" customHeight="1">
      <c r="A113" s="46" t="s">
        <v>148</v>
      </c>
      <c r="B113" s="45"/>
      <c r="C113" s="44"/>
      <c r="D113" s="44"/>
      <c r="E113" s="44"/>
      <c r="F113" s="44">
        <f t="shared" si="3"/>
        <v>0</v>
      </c>
      <c r="G113" s="40"/>
    </row>
    <row r="114" spans="1:7" ht="12.75" hidden="1" customHeight="1">
      <c r="A114" s="46" t="s">
        <v>149</v>
      </c>
      <c r="B114" s="47"/>
      <c r="C114" s="44"/>
      <c r="D114" s="44"/>
      <c r="E114" s="44"/>
      <c r="F114" s="44">
        <f t="shared" si="3"/>
        <v>0</v>
      </c>
      <c r="G114" s="40"/>
    </row>
    <row r="115" spans="1:7" ht="12.75" hidden="1" customHeight="1">
      <c r="A115" s="48" t="s">
        <v>150</v>
      </c>
      <c r="B115" s="48">
        <f>SUM(B55:B114)</f>
        <v>284</v>
      </c>
      <c r="C115" s="49">
        <v>332608.7</v>
      </c>
      <c r="D115" s="50">
        <f>29507.1+108376.6+9345.4+261138.23+62469.4</f>
        <v>470836.73000000004</v>
      </c>
      <c r="E115" s="50">
        <f>231080.74</f>
        <v>231080.74</v>
      </c>
      <c r="F115" s="50">
        <f>SUM(C115:E115)</f>
        <v>1034526.17</v>
      </c>
      <c r="G115" s="40"/>
    </row>
    <row r="116" spans="1:7" ht="12.75" hidden="1" customHeight="1">
      <c r="A116" s="106"/>
      <c r="B116" s="106"/>
      <c r="C116" s="106"/>
      <c r="D116" s="106"/>
      <c r="E116" s="106"/>
      <c r="F116" s="106"/>
      <c r="G116" s="107"/>
    </row>
    <row r="117" spans="1:7" ht="12.75" hidden="1" customHeight="1">
      <c r="A117" s="51"/>
      <c r="B117" s="52"/>
      <c r="C117" s="51"/>
      <c r="D117" s="51"/>
      <c r="E117" s="52"/>
      <c r="F117" s="51"/>
      <c r="G117" s="40"/>
    </row>
    <row r="118" spans="1:7" ht="12.75" hidden="1" customHeight="1">
      <c r="A118" s="51"/>
      <c r="B118" s="52"/>
      <c r="C118" s="51"/>
      <c r="D118" s="51"/>
      <c r="E118" s="52"/>
      <c r="F118" s="51"/>
      <c r="G118" s="40"/>
    </row>
    <row r="119" spans="1:7" ht="12.75" hidden="1" customHeight="1">
      <c r="A119" s="51"/>
      <c r="B119" s="52"/>
      <c r="C119" s="51"/>
      <c r="D119" s="51"/>
      <c r="E119" s="52"/>
      <c r="F119" s="51"/>
      <c r="G119" s="40"/>
    </row>
    <row r="120" spans="1:7" ht="12.75" hidden="1" customHeight="1">
      <c r="A120" s="269" t="s">
        <v>151</v>
      </c>
      <c r="B120" s="269"/>
      <c r="C120" s="269"/>
      <c r="D120" s="269"/>
      <c r="E120" s="269"/>
      <c r="F120" s="269"/>
      <c r="G120" s="40"/>
    </row>
    <row r="121" spans="1:7" ht="12.75" hidden="1" customHeight="1">
      <c r="A121" s="43" t="s">
        <v>86</v>
      </c>
      <c r="B121" s="43" t="s">
        <v>87</v>
      </c>
      <c r="C121" s="43" t="s">
        <v>88</v>
      </c>
      <c r="D121" s="43" t="s">
        <v>89</v>
      </c>
      <c r="E121" s="43" t="s">
        <v>90</v>
      </c>
      <c r="F121" s="45" t="s">
        <v>152</v>
      </c>
      <c r="G121" s="43" t="s">
        <v>91</v>
      </c>
    </row>
    <row r="122" spans="1:7" ht="12.75" hidden="1" customHeight="1">
      <c r="A122" s="39" t="s">
        <v>153</v>
      </c>
      <c r="B122" s="43"/>
      <c r="C122" s="42"/>
      <c r="D122" s="42"/>
      <c r="E122" s="42"/>
      <c r="F122" s="45"/>
      <c r="G122" s="42"/>
    </row>
    <row r="123" spans="1:7" ht="12.75" hidden="1" customHeight="1">
      <c r="A123" s="39" t="s">
        <v>154</v>
      </c>
      <c r="B123" s="43"/>
      <c r="C123" s="42"/>
      <c r="D123" s="42"/>
      <c r="E123" s="42"/>
      <c r="F123" s="45"/>
      <c r="G123" s="42"/>
    </row>
    <row r="124" spans="1:7" ht="12.75" hidden="1" customHeight="1">
      <c r="A124" s="39" t="s">
        <v>155</v>
      </c>
      <c r="B124" s="43"/>
      <c r="C124" s="42"/>
      <c r="D124" s="42"/>
      <c r="E124" s="42"/>
      <c r="F124" s="45"/>
      <c r="G124" s="42"/>
    </row>
    <row r="125" spans="1:7" ht="12.75" hidden="1" customHeight="1">
      <c r="A125" s="39" t="s">
        <v>156</v>
      </c>
      <c r="B125" s="43"/>
      <c r="C125" s="42"/>
      <c r="D125" s="42"/>
      <c r="E125" s="42"/>
      <c r="F125" s="45"/>
      <c r="G125" s="42"/>
    </row>
    <row r="126" spans="1:7" ht="12.75" hidden="1" customHeight="1">
      <c r="A126" s="39" t="s">
        <v>3</v>
      </c>
      <c r="B126" s="43"/>
      <c r="C126" s="42"/>
      <c r="D126" s="42"/>
      <c r="E126" s="42"/>
      <c r="F126" s="45"/>
      <c r="G126" s="42"/>
    </row>
    <row r="127" spans="1:7" ht="12.75" hidden="1" customHeight="1">
      <c r="A127" s="39" t="s">
        <v>4</v>
      </c>
      <c r="B127" s="43"/>
      <c r="C127" s="42"/>
      <c r="D127" s="42"/>
      <c r="E127" s="42"/>
      <c r="F127" s="45"/>
      <c r="G127" s="42"/>
    </row>
    <row r="128" spans="1:7" ht="12.75" hidden="1" customHeight="1">
      <c r="A128" s="39" t="s">
        <v>5</v>
      </c>
      <c r="B128" s="43"/>
      <c r="C128" s="42"/>
      <c r="D128" s="42"/>
      <c r="E128" s="42"/>
      <c r="F128" s="45"/>
      <c r="G128" s="42"/>
    </row>
    <row r="129" spans="1:7" ht="12.75" hidden="1" customHeight="1">
      <c r="A129" s="39" t="s">
        <v>157</v>
      </c>
      <c r="B129" s="43">
        <v>10</v>
      </c>
      <c r="C129" s="53">
        <f>B129/B$196*C$196</f>
        <v>11305.624025974024</v>
      </c>
      <c r="D129" s="53">
        <f>C129/C$196*D$196</f>
        <v>14009.838311688311</v>
      </c>
      <c r="E129" s="53">
        <f>D129/D$196*E$196</f>
        <v>6344.046103896103</v>
      </c>
      <c r="F129" s="45"/>
      <c r="G129" s="42">
        <f>SUM(C129:F129)</f>
        <v>31659.508441558439</v>
      </c>
    </row>
    <row r="130" spans="1:7" ht="12.75" hidden="1" customHeight="1">
      <c r="A130" s="39" t="s">
        <v>158</v>
      </c>
      <c r="B130" s="43"/>
      <c r="C130" s="42">
        <f t="shared" ref="C130:E191" si="4">B130/B$196*C$196</f>
        <v>0</v>
      </c>
      <c r="D130" s="42">
        <f t="shared" si="4"/>
        <v>0</v>
      </c>
      <c r="E130" s="42">
        <f t="shared" si="4"/>
        <v>0</v>
      </c>
      <c r="F130" s="45"/>
      <c r="G130" s="42">
        <f t="shared" ref="G130:G191" si="5">SUM(C130:F130)</f>
        <v>0</v>
      </c>
    </row>
    <row r="131" spans="1:7" ht="12.75" hidden="1" customHeight="1">
      <c r="A131" s="39" t="s">
        <v>159</v>
      </c>
      <c r="B131" s="43"/>
      <c r="C131" s="42">
        <f t="shared" si="4"/>
        <v>0</v>
      </c>
      <c r="D131" s="42">
        <f t="shared" si="4"/>
        <v>0</v>
      </c>
      <c r="E131" s="42">
        <f t="shared" si="4"/>
        <v>0</v>
      </c>
      <c r="F131" s="45"/>
      <c r="G131" s="42">
        <f t="shared" si="5"/>
        <v>0</v>
      </c>
    </row>
    <row r="132" spans="1:7" ht="12.75" hidden="1" customHeight="1">
      <c r="A132" s="39" t="s">
        <v>160</v>
      </c>
      <c r="B132" s="43"/>
      <c r="C132" s="42">
        <f t="shared" si="4"/>
        <v>0</v>
      </c>
      <c r="D132" s="42">
        <f t="shared" si="4"/>
        <v>0</v>
      </c>
      <c r="E132" s="42">
        <f t="shared" si="4"/>
        <v>0</v>
      </c>
      <c r="F132" s="45"/>
      <c r="G132" s="42">
        <f t="shared" si="5"/>
        <v>0</v>
      </c>
    </row>
    <row r="133" spans="1:7" ht="12.75" hidden="1" customHeight="1">
      <c r="A133" s="39" t="s">
        <v>161</v>
      </c>
      <c r="B133" s="43">
        <v>10</v>
      </c>
      <c r="C133" s="53">
        <f t="shared" si="4"/>
        <v>11305.624025974024</v>
      </c>
      <c r="D133" s="53">
        <f t="shared" si="4"/>
        <v>14009.838311688311</v>
      </c>
      <c r="E133" s="53">
        <f t="shared" si="4"/>
        <v>6344.046103896103</v>
      </c>
      <c r="F133" s="45"/>
      <c r="G133" s="42">
        <f t="shared" si="5"/>
        <v>31659.508441558439</v>
      </c>
    </row>
    <row r="134" spans="1:7" ht="12.75" hidden="1" customHeight="1">
      <c r="A134" s="39" t="s">
        <v>6</v>
      </c>
      <c r="B134" s="43"/>
      <c r="C134" s="42">
        <f t="shared" si="4"/>
        <v>0</v>
      </c>
      <c r="D134" s="42">
        <f t="shared" si="4"/>
        <v>0</v>
      </c>
      <c r="E134" s="42">
        <f t="shared" si="4"/>
        <v>0</v>
      </c>
      <c r="F134" s="45"/>
      <c r="G134" s="42">
        <f t="shared" si="5"/>
        <v>0</v>
      </c>
    </row>
    <row r="135" spans="1:7" ht="12.75" hidden="1" customHeight="1">
      <c r="A135" s="39" t="s">
        <v>7</v>
      </c>
      <c r="B135" s="43"/>
      <c r="C135" s="42">
        <f t="shared" si="4"/>
        <v>0</v>
      </c>
      <c r="D135" s="42">
        <f t="shared" si="4"/>
        <v>0</v>
      </c>
      <c r="E135" s="42">
        <f t="shared" si="4"/>
        <v>0</v>
      </c>
      <c r="F135" s="45"/>
      <c r="G135" s="42">
        <f t="shared" si="5"/>
        <v>0</v>
      </c>
    </row>
    <row r="136" spans="1:7" ht="12.75" hidden="1" customHeight="1">
      <c r="A136" s="39" t="s">
        <v>162</v>
      </c>
      <c r="B136" s="43"/>
      <c r="C136" s="42">
        <f t="shared" si="4"/>
        <v>0</v>
      </c>
      <c r="D136" s="42">
        <f t="shared" si="4"/>
        <v>0</v>
      </c>
      <c r="E136" s="42">
        <f t="shared" si="4"/>
        <v>0</v>
      </c>
      <c r="F136" s="45"/>
      <c r="G136" s="42">
        <f t="shared" si="5"/>
        <v>0</v>
      </c>
    </row>
    <row r="137" spans="1:7" ht="12.75" hidden="1" customHeight="1">
      <c r="A137" s="39" t="s">
        <v>163</v>
      </c>
      <c r="B137" s="41"/>
      <c r="C137" s="42">
        <f t="shared" si="4"/>
        <v>0</v>
      </c>
      <c r="D137" s="42">
        <f t="shared" si="4"/>
        <v>0</v>
      </c>
      <c r="E137" s="42">
        <f t="shared" si="4"/>
        <v>0</v>
      </c>
      <c r="F137" s="45"/>
      <c r="G137" s="42">
        <f t="shared" si="5"/>
        <v>0</v>
      </c>
    </row>
    <row r="138" spans="1:7" ht="12.75" hidden="1" customHeight="1">
      <c r="A138" s="39" t="s">
        <v>8</v>
      </c>
      <c r="B138" s="43">
        <v>20.5</v>
      </c>
      <c r="C138" s="53">
        <f t="shared" si="4"/>
        <v>23176.52925324675</v>
      </c>
      <c r="D138" s="53">
        <f t="shared" si="4"/>
        <v>28720.168538961039</v>
      </c>
      <c r="E138" s="53">
        <f t="shared" si="4"/>
        <v>13005.294512987011</v>
      </c>
      <c r="F138" s="45"/>
      <c r="G138" s="42">
        <f t="shared" si="5"/>
        <v>64901.992305194806</v>
      </c>
    </row>
    <row r="139" spans="1:7" ht="12.75" hidden="1" customHeight="1">
      <c r="A139" s="39" t="s">
        <v>9</v>
      </c>
      <c r="B139" s="43"/>
      <c r="C139" s="42">
        <f t="shared" si="4"/>
        <v>0</v>
      </c>
      <c r="D139" s="42">
        <f t="shared" si="4"/>
        <v>0</v>
      </c>
      <c r="E139" s="42">
        <f t="shared" si="4"/>
        <v>0</v>
      </c>
      <c r="F139" s="45"/>
      <c r="G139" s="42">
        <f t="shared" si="5"/>
        <v>0</v>
      </c>
    </row>
    <row r="140" spans="1:7" ht="12.75" hidden="1" customHeight="1">
      <c r="A140" s="39" t="s">
        <v>10</v>
      </c>
      <c r="B140" s="43"/>
      <c r="C140" s="42">
        <f t="shared" si="4"/>
        <v>0</v>
      </c>
      <c r="D140" s="42">
        <f t="shared" si="4"/>
        <v>0</v>
      </c>
      <c r="E140" s="42">
        <f t="shared" si="4"/>
        <v>0</v>
      </c>
      <c r="F140" s="45"/>
      <c r="G140" s="42">
        <f t="shared" si="5"/>
        <v>0</v>
      </c>
    </row>
    <row r="141" spans="1:7" ht="12.75" hidden="1" customHeight="1">
      <c r="A141" s="39" t="s">
        <v>11</v>
      </c>
      <c r="B141" s="43"/>
      <c r="C141" s="42">
        <f t="shared" si="4"/>
        <v>0</v>
      </c>
      <c r="D141" s="42">
        <f t="shared" si="4"/>
        <v>0</v>
      </c>
      <c r="E141" s="42">
        <f t="shared" si="4"/>
        <v>0</v>
      </c>
      <c r="F141" s="45"/>
      <c r="G141" s="42">
        <f t="shared" si="5"/>
        <v>0</v>
      </c>
    </row>
    <row r="142" spans="1:7" ht="12.75" hidden="1" customHeight="1">
      <c r="A142" s="39" t="s">
        <v>164</v>
      </c>
      <c r="B142" s="43"/>
      <c r="C142" s="42">
        <f t="shared" si="4"/>
        <v>0</v>
      </c>
      <c r="D142" s="42">
        <f t="shared" si="4"/>
        <v>0</v>
      </c>
      <c r="E142" s="42">
        <f t="shared" si="4"/>
        <v>0</v>
      </c>
      <c r="F142" s="45"/>
      <c r="G142" s="42">
        <f t="shared" si="5"/>
        <v>0</v>
      </c>
    </row>
    <row r="143" spans="1:7" ht="12.75" hidden="1" customHeight="1">
      <c r="A143" s="39" t="s">
        <v>165</v>
      </c>
      <c r="B143" s="43">
        <v>23.5</v>
      </c>
      <c r="C143" s="53">
        <f t="shared" si="4"/>
        <v>26568.216461038959</v>
      </c>
      <c r="D143" s="53">
        <f t="shared" si="4"/>
        <v>32923.12003246753</v>
      </c>
      <c r="E143" s="53">
        <f t="shared" si="4"/>
        <v>14908.508344155844</v>
      </c>
      <c r="F143" s="45"/>
      <c r="G143" s="42">
        <f t="shared" si="5"/>
        <v>74399.844837662327</v>
      </c>
    </row>
    <row r="144" spans="1:7" ht="12.75" hidden="1" customHeight="1">
      <c r="A144" s="39" t="s">
        <v>166</v>
      </c>
      <c r="B144" s="43"/>
      <c r="C144" s="42">
        <f t="shared" si="4"/>
        <v>0</v>
      </c>
      <c r="D144" s="42">
        <f t="shared" si="4"/>
        <v>0</v>
      </c>
      <c r="E144" s="42">
        <f t="shared" si="4"/>
        <v>0</v>
      </c>
      <c r="F144" s="45"/>
      <c r="G144" s="42">
        <f t="shared" si="5"/>
        <v>0</v>
      </c>
    </row>
    <row r="145" spans="1:7" ht="12.75" hidden="1" customHeight="1">
      <c r="A145" s="39" t="s">
        <v>167</v>
      </c>
      <c r="B145" s="43"/>
      <c r="C145" s="42">
        <f t="shared" si="4"/>
        <v>0</v>
      </c>
      <c r="D145" s="42">
        <f t="shared" si="4"/>
        <v>0</v>
      </c>
      <c r="E145" s="42">
        <f t="shared" si="4"/>
        <v>0</v>
      </c>
      <c r="F145" s="45"/>
      <c r="G145" s="42">
        <f t="shared" si="5"/>
        <v>0</v>
      </c>
    </row>
    <row r="146" spans="1:7" ht="12.75" hidden="1" customHeight="1">
      <c r="A146" s="39" t="s">
        <v>168</v>
      </c>
      <c r="B146" s="43"/>
      <c r="C146" s="42">
        <f t="shared" si="4"/>
        <v>0</v>
      </c>
      <c r="D146" s="42">
        <f t="shared" si="4"/>
        <v>0</v>
      </c>
      <c r="E146" s="42">
        <f t="shared" si="4"/>
        <v>0</v>
      </c>
      <c r="F146" s="45"/>
      <c r="G146" s="42">
        <f t="shared" si="5"/>
        <v>0</v>
      </c>
    </row>
    <row r="147" spans="1:7" ht="12.75" hidden="1" customHeight="1">
      <c r="A147" s="39" t="s">
        <v>169</v>
      </c>
      <c r="B147" s="43"/>
      <c r="C147" s="42">
        <f t="shared" si="4"/>
        <v>0</v>
      </c>
      <c r="D147" s="42">
        <f t="shared" si="4"/>
        <v>0</v>
      </c>
      <c r="E147" s="42">
        <f t="shared" si="4"/>
        <v>0</v>
      </c>
      <c r="F147" s="45"/>
      <c r="G147" s="42">
        <f t="shared" si="5"/>
        <v>0</v>
      </c>
    </row>
    <row r="148" spans="1:7" ht="12.75" hidden="1" customHeight="1">
      <c r="A148" s="39" t="s">
        <v>170</v>
      </c>
      <c r="B148" s="43"/>
      <c r="C148" s="42">
        <f t="shared" si="4"/>
        <v>0</v>
      </c>
      <c r="D148" s="42">
        <f t="shared" si="4"/>
        <v>0</v>
      </c>
      <c r="E148" s="42">
        <f t="shared" si="4"/>
        <v>0</v>
      </c>
      <c r="F148" s="45"/>
      <c r="G148" s="42">
        <f t="shared" si="5"/>
        <v>0</v>
      </c>
    </row>
    <row r="149" spans="1:7" ht="12.75" hidden="1" customHeight="1">
      <c r="A149" s="39" t="s">
        <v>171</v>
      </c>
      <c r="B149" s="43"/>
      <c r="C149" s="42">
        <f t="shared" si="4"/>
        <v>0</v>
      </c>
      <c r="D149" s="42">
        <f t="shared" si="4"/>
        <v>0</v>
      </c>
      <c r="E149" s="42">
        <f t="shared" si="4"/>
        <v>0</v>
      </c>
      <c r="F149" s="45"/>
      <c r="G149" s="42">
        <f t="shared" si="5"/>
        <v>0</v>
      </c>
    </row>
    <row r="150" spans="1:7" ht="12.75" hidden="1" customHeight="1">
      <c r="A150" s="39" t="s">
        <v>172</v>
      </c>
      <c r="B150" s="41">
        <v>8.5</v>
      </c>
      <c r="C150" s="53">
        <f t="shared" si="4"/>
        <v>9609.7804220779217</v>
      </c>
      <c r="D150" s="53">
        <f t="shared" si="4"/>
        <v>11908.362564935067</v>
      </c>
      <c r="E150" s="53">
        <f t="shared" si="4"/>
        <v>5392.4391883116887</v>
      </c>
      <c r="F150" s="45"/>
      <c r="G150" s="42">
        <f t="shared" si="5"/>
        <v>26910.582175324675</v>
      </c>
    </row>
    <row r="151" spans="1:7" ht="12.75" hidden="1" customHeight="1">
      <c r="A151" s="39" t="s">
        <v>12</v>
      </c>
      <c r="B151" s="43"/>
      <c r="C151" s="42">
        <f t="shared" si="4"/>
        <v>0</v>
      </c>
      <c r="D151" s="42">
        <f t="shared" si="4"/>
        <v>0</v>
      </c>
      <c r="E151" s="42">
        <f t="shared" si="4"/>
        <v>0</v>
      </c>
      <c r="F151" s="45"/>
      <c r="G151" s="42">
        <f t="shared" si="5"/>
        <v>0</v>
      </c>
    </row>
    <row r="152" spans="1:7" ht="12.75" hidden="1" customHeight="1">
      <c r="A152" s="39" t="s">
        <v>13</v>
      </c>
      <c r="B152" s="43">
        <v>25.5</v>
      </c>
      <c r="C152" s="53">
        <f t="shared" si="4"/>
        <v>28829.341266233765</v>
      </c>
      <c r="D152" s="53">
        <f t="shared" si="4"/>
        <v>35725.087694805195</v>
      </c>
      <c r="E152" s="53">
        <f t="shared" si="4"/>
        <v>16177.317564935065</v>
      </c>
      <c r="F152" s="45"/>
      <c r="G152" s="42">
        <f t="shared" si="5"/>
        <v>80731.746525974027</v>
      </c>
    </row>
    <row r="153" spans="1:7" ht="12.75" hidden="1" customHeight="1">
      <c r="A153" s="39" t="s">
        <v>14</v>
      </c>
      <c r="B153" s="43">
        <v>6.5</v>
      </c>
      <c r="C153" s="53">
        <f t="shared" si="4"/>
        <v>7348.6556168831166</v>
      </c>
      <c r="D153" s="53">
        <f t="shared" si="4"/>
        <v>9106.3949025974034</v>
      </c>
      <c r="E153" s="53">
        <f t="shared" si="4"/>
        <v>4123.6299675324672</v>
      </c>
      <c r="F153" s="45"/>
      <c r="G153" s="42">
        <f t="shared" si="5"/>
        <v>20578.680487012985</v>
      </c>
    </row>
    <row r="154" spans="1:7" ht="12.75" hidden="1" customHeight="1">
      <c r="A154" s="39" t="s">
        <v>15</v>
      </c>
      <c r="B154" s="43">
        <v>11</v>
      </c>
      <c r="C154" s="53">
        <f t="shared" si="4"/>
        <v>12436.186428571427</v>
      </c>
      <c r="D154" s="53">
        <f t="shared" si="4"/>
        <v>15410.822142857143</v>
      </c>
      <c r="E154" s="53">
        <f t="shared" si="4"/>
        <v>6978.4507142857137</v>
      </c>
      <c r="F154" s="45"/>
      <c r="G154" s="42">
        <f t="shared" si="5"/>
        <v>34825.459285714285</v>
      </c>
    </row>
    <row r="155" spans="1:7" ht="12.75" hidden="1" customHeight="1">
      <c r="A155" s="39" t="s">
        <v>16</v>
      </c>
      <c r="B155" s="43"/>
      <c r="C155" s="42">
        <f t="shared" si="4"/>
        <v>0</v>
      </c>
      <c r="D155" s="42">
        <f t="shared" si="4"/>
        <v>0</v>
      </c>
      <c r="E155" s="42">
        <f t="shared" si="4"/>
        <v>0</v>
      </c>
      <c r="F155" s="45"/>
      <c r="G155" s="42">
        <f t="shared" si="5"/>
        <v>0</v>
      </c>
    </row>
    <row r="156" spans="1:7" ht="12.75" hidden="1" customHeight="1">
      <c r="A156" s="39" t="s">
        <v>173</v>
      </c>
      <c r="B156" s="43"/>
      <c r="C156" s="42">
        <f t="shared" si="4"/>
        <v>0</v>
      </c>
      <c r="D156" s="42">
        <f t="shared" si="4"/>
        <v>0</v>
      </c>
      <c r="E156" s="42">
        <f t="shared" si="4"/>
        <v>0</v>
      </c>
      <c r="F156" s="45"/>
      <c r="G156" s="42">
        <f t="shared" si="5"/>
        <v>0</v>
      </c>
    </row>
    <row r="157" spans="1:7" ht="12.75" hidden="1" customHeight="1">
      <c r="A157" s="39" t="s">
        <v>174</v>
      </c>
      <c r="B157" s="45">
        <v>10</v>
      </c>
      <c r="C157" s="53">
        <f t="shared" si="4"/>
        <v>11305.624025974024</v>
      </c>
      <c r="D157" s="53">
        <f t="shared" si="4"/>
        <v>14009.838311688311</v>
      </c>
      <c r="E157" s="53">
        <f t="shared" si="4"/>
        <v>6344.046103896103</v>
      </c>
      <c r="F157" s="45"/>
      <c r="G157" s="42">
        <f t="shared" si="5"/>
        <v>31659.508441558439</v>
      </c>
    </row>
    <row r="158" spans="1:7" ht="12.75" hidden="1" customHeight="1">
      <c r="A158" s="54" t="s">
        <v>175</v>
      </c>
      <c r="B158" s="55">
        <v>1</v>
      </c>
      <c r="C158" s="53">
        <f t="shared" si="4"/>
        <v>1130.5624025974025</v>
      </c>
      <c r="D158" s="53">
        <f t="shared" si="4"/>
        <v>1400.9838311688313</v>
      </c>
      <c r="E158" s="53">
        <f t="shared" si="4"/>
        <v>634.40461038961041</v>
      </c>
      <c r="F158" s="45"/>
      <c r="G158" s="42">
        <f t="shared" si="5"/>
        <v>3165.9508441558442</v>
      </c>
    </row>
    <row r="159" spans="1:7" ht="12.75" hidden="1" customHeight="1">
      <c r="A159" s="39" t="s">
        <v>176</v>
      </c>
      <c r="B159" s="43">
        <v>9</v>
      </c>
      <c r="C159" s="53">
        <f t="shared" si="4"/>
        <v>10175.061623376623</v>
      </c>
      <c r="D159" s="53">
        <f t="shared" si="4"/>
        <v>12608.854480519482</v>
      </c>
      <c r="E159" s="53">
        <f t="shared" si="4"/>
        <v>5709.6414935064931</v>
      </c>
      <c r="F159" s="45"/>
      <c r="G159" s="42">
        <f t="shared" si="5"/>
        <v>28493.557597402596</v>
      </c>
    </row>
    <row r="160" spans="1:7" ht="12.75" hidden="1" customHeight="1">
      <c r="A160" s="39" t="s">
        <v>177</v>
      </c>
      <c r="B160" s="43"/>
      <c r="C160" s="42">
        <f t="shared" si="4"/>
        <v>0</v>
      </c>
      <c r="D160" s="42">
        <f t="shared" si="4"/>
        <v>0</v>
      </c>
      <c r="E160" s="42">
        <f t="shared" si="4"/>
        <v>0</v>
      </c>
      <c r="F160" s="45"/>
      <c r="G160" s="42">
        <f t="shared" si="5"/>
        <v>0</v>
      </c>
    </row>
    <row r="161" spans="1:7" ht="12.75" hidden="1" customHeight="1">
      <c r="A161" s="39" t="s">
        <v>178</v>
      </c>
      <c r="B161" s="43">
        <v>1</v>
      </c>
      <c r="C161" s="53">
        <f t="shared" si="4"/>
        <v>1130.5624025974025</v>
      </c>
      <c r="D161" s="53">
        <f t="shared" si="4"/>
        <v>1400.9838311688313</v>
      </c>
      <c r="E161" s="53">
        <f t="shared" si="4"/>
        <v>634.40461038961041</v>
      </c>
      <c r="F161" s="45"/>
      <c r="G161" s="42">
        <f t="shared" si="5"/>
        <v>3165.9508441558442</v>
      </c>
    </row>
    <row r="162" spans="1:7" ht="12.75" hidden="1" customHeight="1">
      <c r="A162" s="39" t="s">
        <v>179</v>
      </c>
      <c r="B162" s="43">
        <v>20.5</v>
      </c>
      <c r="C162" s="53">
        <f t="shared" si="4"/>
        <v>23176.52925324675</v>
      </c>
      <c r="D162" s="53">
        <f t="shared" si="4"/>
        <v>28720.168538961039</v>
      </c>
      <c r="E162" s="53">
        <f t="shared" si="4"/>
        <v>13005.294512987011</v>
      </c>
      <c r="F162" s="45"/>
      <c r="G162" s="42">
        <f t="shared" si="5"/>
        <v>64901.992305194806</v>
      </c>
    </row>
    <row r="163" spans="1:7" ht="12.75" hidden="1" customHeight="1">
      <c r="A163" s="39" t="s">
        <v>180</v>
      </c>
      <c r="B163" s="43"/>
      <c r="C163" s="42">
        <f t="shared" si="4"/>
        <v>0</v>
      </c>
      <c r="D163" s="42">
        <f t="shared" si="4"/>
        <v>0</v>
      </c>
      <c r="E163" s="42">
        <f t="shared" si="4"/>
        <v>0</v>
      </c>
      <c r="F163" s="45"/>
      <c r="G163" s="42">
        <f t="shared" si="5"/>
        <v>0</v>
      </c>
    </row>
    <row r="164" spans="1:7" ht="12.75" hidden="1" customHeight="1">
      <c r="A164" s="39" t="s">
        <v>181</v>
      </c>
      <c r="B164" s="43">
        <v>4</v>
      </c>
      <c r="C164" s="53">
        <f t="shared" si="4"/>
        <v>4522.2496103896101</v>
      </c>
      <c r="D164" s="53">
        <f t="shared" si="4"/>
        <v>5603.9353246753253</v>
      </c>
      <c r="E164" s="53">
        <f t="shared" si="4"/>
        <v>2537.6184415584416</v>
      </c>
      <c r="F164" s="45"/>
      <c r="G164" s="42">
        <f t="shared" si="5"/>
        <v>12663.803376623377</v>
      </c>
    </row>
    <row r="165" spans="1:7" ht="12.75" hidden="1" customHeight="1">
      <c r="A165" s="39" t="s">
        <v>182</v>
      </c>
      <c r="B165" s="41">
        <v>10</v>
      </c>
      <c r="C165" s="53">
        <f t="shared" si="4"/>
        <v>11305.624025974024</v>
      </c>
      <c r="D165" s="53">
        <f t="shared" si="4"/>
        <v>14009.838311688311</v>
      </c>
      <c r="E165" s="53">
        <f t="shared" si="4"/>
        <v>6344.046103896103</v>
      </c>
      <c r="F165" s="45"/>
      <c r="G165" s="42">
        <f t="shared" si="5"/>
        <v>31659.508441558439</v>
      </c>
    </row>
    <row r="166" spans="1:7" ht="12.75" hidden="1" customHeight="1">
      <c r="A166" s="39" t="s">
        <v>183</v>
      </c>
      <c r="B166" s="43"/>
      <c r="C166" s="42">
        <f t="shared" si="4"/>
        <v>0</v>
      </c>
      <c r="D166" s="42">
        <f t="shared" si="4"/>
        <v>0</v>
      </c>
      <c r="E166" s="42">
        <f t="shared" si="4"/>
        <v>0</v>
      </c>
      <c r="F166" s="45"/>
      <c r="G166" s="42">
        <f t="shared" si="5"/>
        <v>0</v>
      </c>
    </row>
    <row r="167" spans="1:7" ht="12.75" hidden="1" customHeight="1">
      <c r="A167" s="39" t="s">
        <v>184</v>
      </c>
      <c r="B167" s="43">
        <v>5.5</v>
      </c>
      <c r="C167" s="53">
        <f t="shared" si="4"/>
        <v>6218.0932142857137</v>
      </c>
      <c r="D167" s="53">
        <f t="shared" si="4"/>
        <v>7705.4110714285716</v>
      </c>
      <c r="E167" s="53">
        <f t="shared" si="4"/>
        <v>3489.2253571428569</v>
      </c>
      <c r="F167" s="45"/>
      <c r="G167" s="42">
        <f t="shared" si="5"/>
        <v>17412.729642857143</v>
      </c>
    </row>
    <row r="168" spans="1:7" ht="12.75" hidden="1" customHeight="1">
      <c r="A168" s="39" t="s">
        <v>185</v>
      </c>
      <c r="B168" s="43">
        <v>20</v>
      </c>
      <c r="C168" s="53">
        <f t="shared" si="4"/>
        <v>22611.248051948049</v>
      </c>
      <c r="D168" s="53">
        <f t="shared" si="4"/>
        <v>28019.676623376621</v>
      </c>
      <c r="E168" s="53">
        <f t="shared" si="4"/>
        <v>12688.092207792206</v>
      </c>
      <c r="F168" s="45"/>
      <c r="G168" s="42">
        <f t="shared" si="5"/>
        <v>63319.016883116878</v>
      </c>
    </row>
    <row r="169" spans="1:7" ht="12.75" hidden="1" customHeight="1">
      <c r="A169" s="39" t="s">
        <v>186</v>
      </c>
      <c r="B169" s="43">
        <v>10</v>
      </c>
      <c r="C169" s="53">
        <f t="shared" si="4"/>
        <v>11305.624025974024</v>
      </c>
      <c r="D169" s="53">
        <f t="shared" si="4"/>
        <v>14009.838311688311</v>
      </c>
      <c r="E169" s="53">
        <f t="shared" si="4"/>
        <v>6344.046103896103</v>
      </c>
      <c r="F169" s="45"/>
      <c r="G169" s="42">
        <f t="shared" si="5"/>
        <v>31659.508441558439</v>
      </c>
    </row>
    <row r="170" spans="1:7" ht="12.75" hidden="1" customHeight="1">
      <c r="A170" s="39" t="s">
        <v>187</v>
      </c>
      <c r="B170" s="43"/>
      <c r="C170" s="42">
        <f t="shared" si="4"/>
        <v>0</v>
      </c>
      <c r="D170" s="42">
        <f t="shared" si="4"/>
        <v>0</v>
      </c>
      <c r="E170" s="42">
        <f t="shared" si="4"/>
        <v>0</v>
      </c>
      <c r="F170" s="45"/>
      <c r="G170" s="42">
        <f t="shared" si="5"/>
        <v>0</v>
      </c>
    </row>
    <row r="171" spans="1:7" ht="12.75" hidden="1" customHeight="1">
      <c r="A171" s="39" t="s">
        <v>188</v>
      </c>
      <c r="B171" s="43"/>
      <c r="C171" s="42">
        <f t="shared" si="4"/>
        <v>0</v>
      </c>
      <c r="D171" s="42">
        <f t="shared" si="4"/>
        <v>0</v>
      </c>
      <c r="E171" s="42">
        <f t="shared" si="4"/>
        <v>0</v>
      </c>
      <c r="F171" s="45"/>
      <c r="G171" s="42">
        <f t="shared" si="5"/>
        <v>0</v>
      </c>
    </row>
    <row r="172" spans="1:7" ht="12.75" hidden="1" customHeight="1">
      <c r="A172" s="39" t="s">
        <v>189</v>
      </c>
      <c r="B172" s="43"/>
      <c r="C172" s="42">
        <f t="shared" si="4"/>
        <v>0</v>
      </c>
      <c r="D172" s="42">
        <f t="shared" si="4"/>
        <v>0</v>
      </c>
      <c r="E172" s="42">
        <f t="shared" si="4"/>
        <v>0</v>
      </c>
      <c r="F172" s="45"/>
      <c r="G172" s="42">
        <f t="shared" si="5"/>
        <v>0</v>
      </c>
    </row>
    <row r="173" spans="1:7" ht="12.75" hidden="1" customHeight="1">
      <c r="A173" s="54" t="s">
        <v>190</v>
      </c>
      <c r="B173" s="56">
        <v>10.5</v>
      </c>
      <c r="C173" s="53">
        <f t="shared" si="4"/>
        <v>11870.905227272726</v>
      </c>
      <c r="D173" s="53">
        <f t="shared" si="4"/>
        <v>14710.330227272727</v>
      </c>
      <c r="E173" s="53">
        <f t="shared" si="4"/>
        <v>6661.2484090909084</v>
      </c>
      <c r="F173" s="57"/>
      <c r="G173" s="42">
        <f t="shared" si="5"/>
        <v>33242.483863636357</v>
      </c>
    </row>
    <row r="174" spans="1:7" ht="12.75" hidden="1" customHeight="1">
      <c r="A174" s="58" t="s">
        <v>190</v>
      </c>
      <c r="B174" s="59">
        <v>22</v>
      </c>
      <c r="C174" s="60">
        <f t="shared" si="4"/>
        <v>24872.372857142855</v>
      </c>
      <c r="D174" s="60">
        <f t="shared" si="4"/>
        <v>30821.644285714287</v>
      </c>
      <c r="E174" s="60">
        <f t="shared" si="4"/>
        <v>13956.901428571427</v>
      </c>
      <c r="F174" s="61">
        <v>20471.599999999999</v>
      </c>
      <c r="G174" s="60">
        <f t="shared" si="5"/>
        <v>90122.518571428576</v>
      </c>
    </row>
    <row r="175" spans="1:7" ht="12.75" hidden="1" customHeight="1">
      <c r="A175" s="39" t="s">
        <v>191</v>
      </c>
      <c r="B175" s="45">
        <v>57</v>
      </c>
      <c r="C175" s="53">
        <f t="shared" si="4"/>
        <v>64442.056948051948</v>
      </c>
      <c r="D175" s="53">
        <f t="shared" si="4"/>
        <v>79856.07837662338</v>
      </c>
      <c r="E175" s="53">
        <f t="shared" si="4"/>
        <v>36161.062792207791</v>
      </c>
      <c r="F175" s="45"/>
      <c r="G175" s="42">
        <f t="shared" si="5"/>
        <v>180459.19811688311</v>
      </c>
    </row>
    <row r="176" spans="1:7" ht="12.75" hidden="1" customHeight="1">
      <c r="A176" s="39" t="s">
        <v>17</v>
      </c>
      <c r="B176" s="41"/>
      <c r="C176" s="42">
        <f t="shared" si="4"/>
        <v>0</v>
      </c>
      <c r="D176" s="42">
        <f t="shared" si="4"/>
        <v>0</v>
      </c>
      <c r="E176" s="42">
        <f t="shared" si="4"/>
        <v>0</v>
      </c>
      <c r="F176" s="45"/>
      <c r="G176" s="42">
        <f t="shared" si="5"/>
        <v>0</v>
      </c>
    </row>
    <row r="177" spans="1:7" ht="12.75" hidden="1" customHeight="1">
      <c r="A177" s="39" t="s">
        <v>18</v>
      </c>
      <c r="B177" s="43"/>
      <c r="C177" s="42">
        <f t="shared" si="4"/>
        <v>0</v>
      </c>
      <c r="D177" s="42">
        <f t="shared" si="4"/>
        <v>0</v>
      </c>
      <c r="E177" s="42">
        <f t="shared" si="4"/>
        <v>0</v>
      </c>
      <c r="F177" s="45"/>
      <c r="G177" s="42">
        <f t="shared" si="5"/>
        <v>0</v>
      </c>
    </row>
    <row r="178" spans="1:7" ht="12.75" hidden="1" customHeight="1">
      <c r="A178" s="39" t="s">
        <v>192</v>
      </c>
      <c r="B178" s="43"/>
      <c r="C178" s="42">
        <f t="shared" si="4"/>
        <v>0</v>
      </c>
      <c r="D178" s="42">
        <f t="shared" si="4"/>
        <v>0</v>
      </c>
      <c r="E178" s="42">
        <f t="shared" si="4"/>
        <v>0</v>
      </c>
      <c r="F178" s="45"/>
      <c r="G178" s="42">
        <f t="shared" si="5"/>
        <v>0</v>
      </c>
    </row>
    <row r="179" spans="1:7" ht="12.75" hidden="1" customHeight="1">
      <c r="A179" s="39" t="s">
        <v>19</v>
      </c>
      <c r="B179" s="43"/>
      <c r="C179" s="42">
        <f t="shared" si="4"/>
        <v>0</v>
      </c>
      <c r="D179" s="42">
        <f t="shared" si="4"/>
        <v>0</v>
      </c>
      <c r="E179" s="42">
        <f t="shared" si="4"/>
        <v>0</v>
      </c>
      <c r="F179" s="45"/>
      <c r="G179" s="42">
        <f t="shared" si="5"/>
        <v>0</v>
      </c>
    </row>
    <row r="180" spans="1:7" ht="12.75" hidden="1" customHeight="1">
      <c r="A180" s="39" t="s">
        <v>193</v>
      </c>
      <c r="B180" s="43"/>
      <c r="C180" s="42">
        <f t="shared" si="4"/>
        <v>0</v>
      </c>
      <c r="D180" s="42">
        <f t="shared" si="4"/>
        <v>0</v>
      </c>
      <c r="E180" s="42">
        <f t="shared" si="4"/>
        <v>0</v>
      </c>
      <c r="F180" s="45"/>
      <c r="G180" s="42">
        <f t="shared" si="5"/>
        <v>0</v>
      </c>
    </row>
    <row r="181" spans="1:7" ht="12.75" hidden="1" customHeight="1">
      <c r="A181" s="39" t="s">
        <v>194</v>
      </c>
      <c r="B181" s="43"/>
      <c r="C181" s="42">
        <f t="shared" si="4"/>
        <v>0</v>
      </c>
      <c r="D181" s="42">
        <f t="shared" si="4"/>
        <v>0</v>
      </c>
      <c r="E181" s="42">
        <f t="shared" si="4"/>
        <v>0</v>
      </c>
      <c r="F181" s="45"/>
      <c r="G181" s="42">
        <f t="shared" si="5"/>
        <v>0</v>
      </c>
    </row>
    <row r="182" spans="1:7" ht="12.75" hidden="1" customHeight="1">
      <c r="A182" s="39" t="s">
        <v>195</v>
      </c>
      <c r="B182" s="43"/>
      <c r="C182" s="42">
        <f t="shared" si="4"/>
        <v>0</v>
      </c>
      <c r="D182" s="42">
        <f t="shared" si="4"/>
        <v>0</v>
      </c>
      <c r="E182" s="42">
        <f t="shared" si="4"/>
        <v>0</v>
      </c>
      <c r="F182" s="45"/>
      <c r="G182" s="42">
        <f t="shared" si="5"/>
        <v>0</v>
      </c>
    </row>
    <row r="183" spans="1:7" ht="12.75" hidden="1" customHeight="1">
      <c r="A183" s="39" t="s">
        <v>196</v>
      </c>
      <c r="B183" s="43"/>
      <c r="C183" s="42">
        <f t="shared" si="4"/>
        <v>0</v>
      </c>
      <c r="D183" s="42">
        <f t="shared" si="4"/>
        <v>0</v>
      </c>
      <c r="E183" s="42">
        <f t="shared" si="4"/>
        <v>0</v>
      </c>
      <c r="F183" s="45"/>
      <c r="G183" s="42">
        <f t="shared" si="5"/>
        <v>0</v>
      </c>
    </row>
    <row r="184" spans="1:7" ht="12.75" hidden="1" customHeight="1">
      <c r="A184" s="39" t="s">
        <v>197</v>
      </c>
      <c r="B184" s="43"/>
      <c r="C184" s="42">
        <f t="shared" si="4"/>
        <v>0</v>
      </c>
      <c r="D184" s="42">
        <f t="shared" si="4"/>
        <v>0</v>
      </c>
      <c r="E184" s="42">
        <f t="shared" si="4"/>
        <v>0</v>
      </c>
      <c r="F184" s="45"/>
      <c r="G184" s="42">
        <f t="shared" si="5"/>
        <v>0</v>
      </c>
    </row>
    <row r="185" spans="1:7" ht="12.75" hidden="1" customHeight="1">
      <c r="A185" s="39" t="s">
        <v>198</v>
      </c>
      <c r="B185" s="43"/>
      <c r="C185" s="42">
        <f t="shared" si="4"/>
        <v>0</v>
      </c>
      <c r="D185" s="42">
        <f t="shared" si="4"/>
        <v>0</v>
      </c>
      <c r="E185" s="42">
        <f t="shared" si="4"/>
        <v>0</v>
      </c>
      <c r="F185" s="45"/>
      <c r="G185" s="42">
        <f t="shared" si="5"/>
        <v>0</v>
      </c>
    </row>
    <row r="186" spans="1:7" ht="12.75" hidden="1" customHeight="1">
      <c r="A186" s="39" t="s">
        <v>199</v>
      </c>
      <c r="B186" s="43"/>
      <c r="C186" s="42">
        <f t="shared" si="4"/>
        <v>0</v>
      </c>
      <c r="D186" s="42">
        <f t="shared" si="4"/>
        <v>0</v>
      </c>
      <c r="E186" s="42">
        <f t="shared" si="4"/>
        <v>0</v>
      </c>
      <c r="F186" s="45"/>
      <c r="G186" s="42">
        <f t="shared" si="5"/>
        <v>0</v>
      </c>
    </row>
    <row r="187" spans="1:7" ht="12.75" hidden="1" customHeight="1">
      <c r="A187" s="39" t="s">
        <v>200</v>
      </c>
      <c r="B187" s="43"/>
      <c r="C187" s="42">
        <f t="shared" si="4"/>
        <v>0</v>
      </c>
      <c r="D187" s="42">
        <f t="shared" si="4"/>
        <v>0</v>
      </c>
      <c r="E187" s="42">
        <f t="shared" si="4"/>
        <v>0</v>
      </c>
      <c r="F187" s="45"/>
      <c r="G187" s="42">
        <f t="shared" si="5"/>
        <v>0</v>
      </c>
    </row>
    <row r="188" spans="1:7" ht="12.75" hidden="1" customHeight="1">
      <c r="A188" s="39" t="s">
        <v>201</v>
      </c>
      <c r="B188" s="43"/>
      <c r="C188" s="42">
        <f t="shared" si="4"/>
        <v>0</v>
      </c>
      <c r="D188" s="42">
        <f t="shared" si="4"/>
        <v>0</v>
      </c>
      <c r="E188" s="42">
        <f t="shared" si="4"/>
        <v>0</v>
      </c>
      <c r="F188" s="45"/>
      <c r="G188" s="42">
        <f t="shared" si="5"/>
        <v>0</v>
      </c>
    </row>
    <row r="189" spans="1:7" ht="12.75" hidden="1" customHeight="1">
      <c r="A189" s="39" t="s">
        <v>202</v>
      </c>
      <c r="B189" s="43"/>
      <c r="C189" s="42">
        <f t="shared" si="4"/>
        <v>0</v>
      </c>
      <c r="D189" s="42">
        <f t="shared" si="4"/>
        <v>0</v>
      </c>
      <c r="E189" s="42">
        <f t="shared" si="4"/>
        <v>0</v>
      </c>
      <c r="F189" s="45"/>
      <c r="G189" s="42">
        <f t="shared" si="5"/>
        <v>0</v>
      </c>
    </row>
    <row r="190" spans="1:7" ht="12.75" hidden="1" customHeight="1">
      <c r="A190" s="46" t="s">
        <v>203</v>
      </c>
      <c r="B190" s="43">
        <v>3</v>
      </c>
      <c r="C190" s="53">
        <f t="shared" si="4"/>
        <v>3391.6872077922076</v>
      </c>
      <c r="D190" s="53">
        <f t="shared" si="4"/>
        <v>4202.9514935064935</v>
      </c>
      <c r="E190" s="53">
        <f t="shared" si="4"/>
        <v>1903.2138311688311</v>
      </c>
      <c r="F190" s="45"/>
      <c r="G190" s="42">
        <f t="shared" si="5"/>
        <v>9497.852532467532</v>
      </c>
    </row>
    <row r="191" spans="1:7" ht="12.75" hidden="1" customHeight="1">
      <c r="A191" s="46" t="s">
        <v>204</v>
      </c>
      <c r="B191" s="43">
        <v>9</v>
      </c>
      <c r="C191" s="53">
        <f t="shared" si="4"/>
        <v>10175.061623376623</v>
      </c>
      <c r="D191" s="53">
        <f t="shared" si="4"/>
        <v>12608.854480519482</v>
      </c>
      <c r="E191" s="53">
        <f t="shared" si="4"/>
        <v>5709.6414935064931</v>
      </c>
      <c r="F191" s="45"/>
      <c r="G191" s="42">
        <f t="shared" si="5"/>
        <v>28493.557597402596</v>
      </c>
    </row>
    <row r="192" spans="1:7" ht="12.75" hidden="1" customHeight="1">
      <c r="A192" s="46" t="s">
        <v>205</v>
      </c>
      <c r="B192" s="43"/>
      <c r="C192" s="42"/>
      <c r="D192" s="42"/>
      <c r="E192" s="42">
        <f>D192/D$196*E$196</f>
        <v>0</v>
      </c>
      <c r="F192" s="45"/>
      <c r="G192" s="42"/>
    </row>
    <row r="193" spans="1:7" ht="12.75" hidden="1" customHeight="1">
      <c r="A193" s="39" t="s">
        <v>206</v>
      </c>
      <c r="B193" s="43"/>
      <c r="C193" s="42"/>
      <c r="D193" s="42"/>
      <c r="E193" s="42">
        <f>D193/D$196*E$196</f>
        <v>0</v>
      </c>
      <c r="F193" s="45"/>
      <c r="G193" s="42"/>
    </row>
    <row r="194" spans="1:7" ht="12.75" hidden="1" customHeight="1">
      <c r="A194" s="49" t="s">
        <v>207</v>
      </c>
      <c r="B194" s="48"/>
      <c r="C194" s="42"/>
      <c r="D194" s="42"/>
      <c r="E194" s="42">
        <f>D194/D$196*E$196</f>
        <v>0</v>
      </c>
      <c r="F194" s="62"/>
      <c r="G194" s="42"/>
    </row>
    <row r="195" spans="1:7" ht="12.75" hidden="1" customHeight="1">
      <c r="A195" s="39" t="s">
        <v>208</v>
      </c>
      <c r="B195" s="48"/>
      <c r="C195" s="42"/>
      <c r="D195" s="42"/>
      <c r="E195" s="42">
        <f>D195/D$196*E$196</f>
        <v>0</v>
      </c>
      <c r="F195" s="62"/>
      <c r="G195" s="42"/>
    </row>
    <row r="196" spans="1:7" ht="12.75" hidden="1" customHeight="1">
      <c r="A196" s="48" t="s">
        <v>209</v>
      </c>
      <c r="B196" s="43">
        <f>SUM(B122:B195)</f>
        <v>308</v>
      </c>
      <c r="C196" s="42">
        <f>348213.22</f>
        <v>348213.22</v>
      </c>
      <c r="D196" s="42">
        <f>46089+48187+21373.5+272070.88+64254.24-4289.2-3734.6-12447.8</f>
        <v>431503.02</v>
      </c>
      <c r="E196" s="42">
        <f>195396.62</f>
        <v>195396.62</v>
      </c>
      <c r="F196" s="39">
        <f>4289.2+3734.6+12447.8</f>
        <v>20471.599999999999</v>
      </c>
      <c r="G196" s="42">
        <f>SUM(C196:F196)</f>
        <v>995584.46</v>
      </c>
    </row>
    <row r="197" spans="1:7" ht="12.75" hidden="1" customHeight="1">
      <c r="A197" s="63"/>
      <c r="B197" s="52"/>
      <c r="C197" s="51"/>
      <c r="D197" s="51"/>
      <c r="E197" s="64"/>
      <c r="F197" s="65"/>
      <c r="G197" s="40"/>
    </row>
    <row r="198" spans="1:7" ht="12.75" hidden="1" customHeight="1">
      <c r="A198" s="63"/>
      <c r="B198" s="52"/>
      <c r="C198" s="51"/>
      <c r="D198" s="51"/>
      <c r="E198" s="51"/>
      <c r="F198" s="65"/>
      <c r="G198" s="40"/>
    </row>
    <row r="199" spans="1:7" ht="12.75" hidden="1" customHeight="1">
      <c r="A199" s="51"/>
      <c r="B199" s="52"/>
      <c r="C199" s="51"/>
      <c r="D199" s="51"/>
      <c r="E199" s="64"/>
      <c r="F199" s="65"/>
      <c r="G199" s="40"/>
    </row>
    <row r="200" spans="1:7" ht="12.75" hidden="1" customHeight="1">
      <c r="A200" s="269" t="s">
        <v>210</v>
      </c>
      <c r="B200" s="269"/>
      <c r="C200" s="269"/>
      <c r="D200" s="269"/>
      <c r="E200" s="269"/>
      <c r="F200" s="269"/>
      <c r="G200" s="40"/>
    </row>
    <row r="201" spans="1:7" ht="12.75" hidden="1" customHeight="1">
      <c r="A201" s="42" t="s">
        <v>86</v>
      </c>
      <c r="B201" s="43" t="s">
        <v>211</v>
      </c>
      <c r="C201" s="43" t="s">
        <v>212</v>
      </c>
      <c r="D201" s="43" t="s">
        <v>88</v>
      </c>
      <c r="E201" s="43" t="s">
        <v>89</v>
      </c>
      <c r="F201" s="43" t="s">
        <v>90</v>
      </c>
      <c r="G201" s="45" t="s">
        <v>213</v>
      </c>
    </row>
    <row r="202" spans="1:7" ht="12.75" hidden="1" customHeight="1">
      <c r="A202" s="42" t="s">
        <v>20</v>
      </c>
      <c r="B202" s="43"/>
      <c r="C202" s="43"/>
      <c r="D202" s="44"/>
      <c r="E202" s="44"/>
      <c r="F202" s="44"/>
      <c r="G202" s="39"/>
    </row>
    <row r="203" spans="1:7" ht="12.75" hidden="1" customHeight="1">
      <c r="A203" s="42" t="s">
        <v>214</v>
      </c>
      <c r="B203" s="43"/>
      <c r="C203" s="43"/>
      <c r="D203" s="44"/>
      <c r="E203" s="44"/>
      <c r="F203" s="44"/>
      <c r="G203" s="44"/>
    </row>
    <row r="204" spans="1:7" ht="12.75" hidden="1" customHeight="1">
      <c r="A204" s="42" t="s">
        <v>215</v>
      </c>
      <c r="B204" s="43">
        <v>18</v>
      </c>
      <c r="C204" s="43">
        <v>64</v>
      </c>
      <c r="D204" s="66">
        <f>C204/C$241*D$241</f>
        <v>9021.1145323741002</v>
      </c>
      <c r="E204" s="66">
        <f>B204/B$241*E$241</f>
        <v>5024.9207368421057</v>
      </c>
      <c r="F204" s="66">
        <f>C204/C$241*F$241</f>
        <v>5449.3073381294962</v>
      </c>
      <c r="G204" s="44">
        <f>SUM(D204:F204)</f>
        <v>19495.342607345701</v>
      </c>
    </row>
    <row r="205" spans="1:7" ht="12.75" hidden="1" customHeight="1">
      <c r="A205" s="42" t="s">
        <v>216</v>
      </c>
      <c r="B205" s="43"/>
      <c r="C205" s="43"/>
      <c r="D205" s="44">
        <f t="shared" ref="D205:D228" si="6">C205/C$241*D$241</f>
        <v>0</v>
      </c>
      <c r="E205" s="44">
        <f t="shared" ref="E205:E228" si="7">B205/B$241*E$241</f>
        <v>0</v>
      </c>
      <c r="F205" s="44">
        <f t="shared" ref="F205:F228" si="8">C205/C$241*F$241</f>
        <v>0</v>
      </c>
      <c r="G205" s="44">
        <f t="shared" ref="G205:G240" si="9">SUM(D205:F205)</f>
        <v>0</v>
      </c>
    </row>
    <row r="206" spans="1:7" ht="12.75" hidden="1" customHeight="1">
      <c r="A206" s="42" t="s">
        <v>217</v>
      </c>
      <c r="B206" s="43"/>
      <c r="C206" s="43"/>
      <c r="D206" s="44">
        <f t="shared" si="6"/>
        <v>0</v>
      </c>
      <c r="E206" s="44">
        <f t="shared" si="7"/>
        <v>0</v>
      </c>
      <c r="F206" s="44">
        <f t="shared" si="8"/>
        <v>0</v>
      </c>
      <c r="G206" s="44">
        <f t="shared" si="9"/>
        <v>0</v>
      </c>
    </row>
    <row r="207" spans="1:7" ht="12.75" hidden="1" customHeight="1">
      <c r="A207" s="42" t="s">
        <v>218</v>
      </c>
      <c r="B207" s="45"/>
      <c r="C207" s="45"/>
      <c r="D207" s="44">
        <f t="shared" si="6"/>
        <v>0</v>
      </c>
      <c r="E207" s="44">
        <f t="shared" si="7"/>
        <v>0</v>
      </c>
      <c r="F207" s="44">
        <f t="shared" si="8"/>
        <v>0</v>
      </c>
      <c r="G207" s="44">
        <f t="shared" si="9"/>
        <v>0</v>
      </c>
    </row>
    <row r="208" spans="1:7" ht="12.75" hidden="1" customHeight="1">
      <c r="A208" s="42" t="s">
        <v>219</v>
      </c>
      <c r="B208" s="45">
        <v>120</v>
      </c>
      <c r="C208" s="45">
        <v>320</v>
      </c>
      <c r="D208" s="66">
        <f t="shared" si="6"/>
        <v>45105.572661870501</v>
      </c>
      <c r="E208" s="66">
        <f t="shared" si="7"/>
        <v>33499.47157894737</v>
      </c>
      <c r="F208" s="66">
        <f t="shared" si="8"/>
        <v>27246.536690647481</v>
      </c>
      <c r="G208" s="44">
        <f t="shared" si="9"/>
        <v>105851.58093146535</v>
      </c>
    </row>
    <row r="209" spans="1:7" ht="12.75" hidden="1" customHeight="1">
      <c r="A209" s="42" t="s">
        <v>21</v>
      </c>
      <c r="B209" s="43"/>
      <c r="C209" s="43"/>
      <c r="D209" s="44">
        <f t="shared" si="6"/>
        <v>0</v>
      </c>
      <c r="E209" s="44">
        <f t="shared" si="7"/>
        <v>0</v>
      </c>
      <c r="F209" s="44">
        <f t="shared" si="8"/>
        <v>0</v>
      </c>
      <c r="G209" s="44">
        <f t="shared" si="9"/>
        <v>0</v>
      </c>
    </row>
    <row r="210" spans="1:7" ht="12.75" hidden="1" customHeight="1">
      <c r="A210" s="42" t="s">
        <v>220</v>
      </c>
      <c r="B210" s="43"/>
      <c r="C210" s="43"/>
      <c r="D210" s="44">
        <f t="shared" si="6"/>
        <v>0</v>
      </c>
      <c r="E210" s="44">
        <f t="shared" si="7"/>
        <v>0</v>
      </c>
      <c r="F210" s="44">
        <f t="shared" si="8"/>
        <v>0</v>
      </c>
      <c r="G210" s="44">
        <f t="shared" si="9"/>
        <v>0</v>
      </c>
    </row>
    <row r="211" spans="1:7" ht="12.75" hidden="1" customHeight="1">
      <c r="A211" s="42" t="s">
        <v>221</v>
      </c>
      <c r="B211" s="43"/>
      <c r="C211" s="43"/>
      <c r="D211" s="44">
        <f t="shared" si="6"/>
        <v>0</v>
      </c>
      <c r="E211" s="44">
        <f t="shared" si="7"/>
        <v>0</v>
      </c>
      <c r="F211" s="44">
        <f t="shared" si="8"/>
        <v>0</v>
      </c>
      <c r="G211" s="44">
        <f t="shared" si="9"/>
        <v>0</v>
      </c>
    </row>
    <row r="212" spans="1:7" ht="12.75" hidden="1" customHeight="1">
      <c r="A212" s="42" t="s">
        <v>22</v>
      </c>
      <c r="B212" s="43"/>
      <c r="C212" s="43"/>
      <c r="D212" s="44">
        <f t="shared" si="6"/>
        <v>0</v>
      </c>
      <c r="E212" s="44">
        <f t="shared" si="7"/>
        <v>0</v>
      </c>
      <c r="F212" s="44">
        <f t="shared" si="8"/>
        <v>0</v>
      </c>
      <c r="G212" s="44">
        <f t="shared" si="9"/>
        <v>0</v>
      </c>
    </row>
    <row r="213" spans="1:7" ht="12.75" hidden="1" customHeight="1">
      <c r="A213" s="42" t="s">
        <v>23</v>
      </c>
      <c r="B213" s="43"/>
      <c r="C213" s="43"/>
      <c r="D213" s="44">
        <f t="shared" si="6"/>
        <v>0</v>
      </c>
      <c r="E213" s="44">
        <f t="shared" si="7"/>
        <v>0</v>
      </c>
      <c r="F213" s="44">
        <f t="shared" si="8"/>
        <v>0</v>
      </c>
      <c r="G213" s="44">
        <f t="shared" si="9"/>
        <v>0</v>
      </c>
    </row>
    <row r="214" spans="1:7" ht="12.75" hidden="1" customHeight="1">
      <c r="A214" s="42" t="s">
        <v>24</v>
      </c>
      <c r="B214" s="43"/>
      <c r="C214" s="43"/>
      <c r="D214" s="44">
        <f t="shared" si="6"/>
        <v>0</v>
      </c>
      <c r="E214" s="44">
        <f t="shared" si="7"/>
        <v>0</v>
      </c>
      <c r="F214" s="44">
        <f t="shared" si="8"/>
        <v>0</v>
      </c>
      <c r="G214" s="44">
        <f t="shared" si="9"/>
        <v>0</v>
      </c>
    </row>
    <row r="215" spans="1:7" ht="12.75" hidden="1" customHeight="1">
      <c r="A215" s="42" t="s">
        <v>222</v>
      </c>
      <c r="B215" s="43"/>
      <c r="C215" s="43"/>
      <c r="D215" s="44">
        <f t="shared" si="6"/>
        <v>0</v>
      </c>
      <c r="E215" s="44">
        <f t="shared" si="7"/>
        <v>0</v>
      </c>
      <c r="F215" s="44">
        <f t="shared" si="8"/>
        <v>0</v>
      </c>
      <c r="G215" s="44">
        <f t="shared" si="9"/>
        <v>0</v>
      </c>
    </row>
    <row r="216" spans="1:7" ht="12.75" hidden="1" customHeight="1">
      <c r="A216" s="42" t="s">
        <v>223</v>
      </c>
      <c r="B216" s="43"/>
      <c r="C216" s="43"/>
      <c r="D216" s="44">
        <f t="shared" si="6"/>
        <v>0</v>
      </c>
      <c r="E216" s="44">
        <f t="shared" si="7"/>
        <v>0</v>
      </c>
      <c r="F216" s="44">
        <f t="shared" si="8"/>
        <v>0</v>
      </c>
      <c r="G216" s="44">
        <f t="shared" si="9"/>
        <v>0</v>
      </c>
    </row>
    <row r="217" spans="1:7" ht="12.75" hidden="1" customHeight="1">
      <c r="A217" s="42" t="s">
        <v>224</v>
      </c>
      <c r="B217" s="43"/>
      <c r="C217" s="43"/>
      <c r="D217" s="44">
        <f t="shared" si="6"/>
        <v>0</v>
      </c>
      <c r="E217" s="44">
        <f t="shared" si="7"/>
        <v>0</v>
      </c>
      <c r="F217" s="44">
        <f t="shared" si="8"/>
        <v>0</v>
      </c>
      <c r="G217" s="44">
        <f t="shared" si="9"/>
        <v>0</v>
      </c>
    </row>
    <row r="218" spans="1:7" ht="12.75" hidden="1" customHeight="1">
      <c r="A218" s="42" t="s">
        <v>225</v>
      </c>
      <c r="B218" s="43">
        <v>36</v>
      </c>
      <c r="C218" s="43">
        <v>64</v>
      </c>
      <c r="D218" s="66">
        <f t="shared" si="6"/>
        <v>9021.1145323741002</v>
      </c>
      <c r="E218" s="66">
        <f t="shared" si="7"/>
        <v>10049.841473684211</v>
      </c>
      <c r="F218" s="66">
        <f t="shared" si="8"/>
        <v>5449.3073381294962</v>
      </c>
      <c r="G218" s="44">
        <f t="shared" si="9"/>
        <v>24520.263344187806</v>
      </c>
    </row>
    <row r="219" spans="1:7" ht="12.75" hidden="1" customHeight="1">
      <c r="A219" s="42" t="s">
        <v>226</v>
      </c>
      <c r="B219" s="43"/>
      <c r="C219" s="43"/>
      <c r="D219" s="44">
        <f t="shared" si="6"/>
        <v>0</v>
      </c>
      <c r="E219" s="44">
        <f t="shared" si="7"/>
        <v>0</v>
      </c>
      <c r="F219" s="44">
        <f t="shared" si="8"/>
        <v>0</v>
      </c>
      <c r="G219" s="44">
        <f t="shared" si="9"/>
        <v>0</v>
      </c>
    </row>
    <row r="220" spans="1:7" ht="12.75" hidden="1" customHeight="1">
      <c r="A220" s="42" t="s">
        <v>227</v>
      </c>
      <c r="B220" s="43"/>
      <c r="C220" s="43"/>
      <c r="D220" s="44">
        <f t="shared" si="6"/>
        <v>0</v>
      </c>
      <c r="E220" s="44">
        <f t="shared" si="7"/>
        <v>0</v>
      </c>
      <c r="F220" s="44">
        <f t="shared" si="8"/>
        <v>0</v>
      </c>
      <c r="G220" s="44">
        <f t="shared" si="9"/>
        <v>0</v>
      </c>
    </row>
    <row r="221" spans="1:7" ht="12.75" hidden="1" customHeight="1">
      <c r="A221" s="46" t="s">
        <v>228</v>
      </c>
      <c r="B221" s="43"/>
      <c r="C221" s="43"/>
      <c r="D221" s="44">
        <f t="shared" si="6"/>
        <v>0</v>
      </c>
      <c r="E221" s="44">
        <f t="shared" si="7"/>
        <v>0</v>
      </c>
      <c r="F221" s="44">
        <f t="shared" si="8"/>
        <v>0</v>
      </c>
      <c r="G221" s="44">
        <f t="shared" si="9"/>
        <v>0</v>
      </c>
    </row>
    <row r="222" spans="1:7" ht="12.75" hidden="1" customHeight="1">
      <c r="A222" s="42" t="s">
        <v>25</v>
      </c>
      <c r="B222" s="43"/>
      <c r="C222" s="43"/>
      <c r="D222" s="44">
        <f t="shared" si="6"/>
        <v>0</v>
      </c>
      <c r="E222" s="44">
        <f t="shared" si="7"/>
        <v>0</v>
      </c>
      <c r="F222" s="44">
        <f t="shared" si="8"/>
        <v>0</v>
      </c>
      <c r="G222" s="44">
        <f t="shared" si="9"/>
        <v>0</v>
      </c>
    </row>
    <row r="223" spans="1:7" ht="12.75" hidden="1" customHeight="1">
      <c r="A223" s="46" t="s">
        <v>229</v>
      </c>
      <c r="B223" s="43">
        <v>240</v>
      </c>
      <c r="C223" s="43">
        <v>640</v>
      </c>
      <c r="D223" s="66">
        <f t="shared" si="6"/>
        <v>90211.145323741002</v>
      </c>
      <c r="E223" s="66">
        <f t="shared" si="7"/>
        <v>66998.943157894741</v>
      </c>
      <c r="F223" s="66">
        <f t="shared" si="8"/>
        <v>54493.073381294962</v>
      </c>
      <c r="G223" s="44">
        <f t="shared" si="9"/>
        <v>211703.16186293069</v>
      </c>
    </row>
    <row r="224" spans="1:7" ht="12.75" hidden="1" customHeight="1">
      <c r="A224" s="42" t="s">
        <v>230</v>
      </c>
      <c r="B224" s="43">
        <v>252</v>
      </c>
      <c r="C224" s="43">
        <v>880</v>
      </c>
      <c r="D224" s="66">
        <f t="shared" si="6"/>
        <v>124040.32482014387</v>
      </c>
      <c r="E224" s="66">
        <f t="shared" si="7"/>
        <v>70348.890315789467</v>
      </c>
      <c r="F224" s="66">
        <f t="shared" si="8"/>
        <v>74927.975899280573</v>
      </c>
      <c r="G224" s="44">
        <f t="shared" si="9"/>
        <v>269317.19103521388</v>
      </c>
    </row>
    <row r="225" spans="1:7" ht="12.75" hidden="1" customHeight="1">
      <c r="A225" s="42" t="s">
        <v>231</v>
      </c>
      <c r="B225" s="43"/>
      <c r="C225" s="43"/>
      <c r="D225" s="44">
        <f t="shared" si="6"/>
        <v>0</v>
      </c>
      <c r="E225" s="44">
        <f t="shared" si="7"/>
        <v>0</v>
      </c>
      <c r="F225" s="44">
        <f t="shared" si="8"/>
        <v>0</v>
      </c>
      <c r="G225" s="44">
        <f t="shared" si="9"/>
        <v>0</v>
      </c>
    </row>
    <row r="226" spans="1:7" ht="12.75" hidden="1" customHeight="1">
      <c r="A226" s="42" t="s">
        <v>232</v>
      </c>
      <c r="B226" s="43"/>
      <c r="C226" s="43"/>
      <c r="D226" s="44">
        <f t="shared" si="6"/>
        <v>0</v>
      </c>
      <c r="E226" s="44">
        <f t="shared" si="7"/>
        <v>0</v>
      </c>
      <c r="F226" s="44">
        <f t="shared" si="8"/>
        <v>0</v>
      </c>
      <c r="G226" s="44">
        <f t="shared" si="9"/>
        <v>0</v>
      </c>
    </row>
    <row r="227" spans="1:7" ht="12.75" hidden="1" customHeight="1">
      <c r="A227" s="42" t="s">
        <v>26</v>
      </c>
      <c r="B227" s="43">
        <v>52</v>
      </c>
      <c r="C227" s="43">
        <v>128</v>
      </c>
      <c r="D227" s="66">
        <f t="shared" si="6"/>
        <v>18042.2290647482</v>
      </c>
      <c r="E227" s="66">
        <f t="shared" si="7"/>
        <v>14516.437684210528</v>
      </c>
      <c r="F227" s="66">
        <f t="shared" si="8"/>
        <v>10898.614676258992</v>
      </c>
      <c r="G227" s="44">
        <f t="shared" si="9"/>
        <v>43457.28142521772</v>
      </c>
    </row>
    <row r="228" spans="1:7" ht="12.75" hidden="1" customHeight="1">
      <c r="A228" s="42" t="s">
        <v>27</v>
      </c>
      <c r="B228" s="43">
        <v>42</v>
      </c>
      <c r="C228" s="43">
        <v>128</v>
      </c>
      <c r="D228" s="66">
        <f t="shared" si="6"/>
        <v>18042.2290647482</v>
      </c>
      <c r="E228" s="66">
        <f t="shared" si="7"/>
        <v>11724.815052631579</v>
      </c>
      <c r="F228" s="66">
        <f t="shared" si="8"/>
        <v>10898.614676258992</v>
      </c>
      <c r="G228" s="44">
        <f t="shared" si="9"/>
        <v>40665.658793638773</v>
      </c>
    </row>
    <row r="229" spans="1:7" ht="12.75" hidden="1" customHeight="1">
      <c r="A229" s="42" t="s">
        <v>28</v>
      </c>
      <c r="B229" s="43"/>
      <c r="C229" s="43"/>
      <c r="D229" s="44"/>
      <c r="E229" s="44"/>
      <c r="F229" s="44"/>
      <c r="G229" s="44">
        <f t="shared" si="9"/>
        <v>0</v>
      </c>
    </row>
    <row r="230" spans="1:7" ht="12.75" hidden="1" customHeight="1">
      <c r="A230" s="46" t="s">
        <v>233</v>
      </c>
      <c r="B230" s="43"/>
      <c r="C230" s="43"/>
      <c r="D230" s="44"/>
      <c r="E230" s="44"/>
      <c r="F230" s="44"/>
      <c r="G230" s="44">
        <f t="shared" si="9"/>
        <v>0</v>
      </c>
    </row>
    <row r="231" spans="1:7" ht="12.75" hidden="1" customHeight="1">
      <c r="A231" s="46" t="s">
        <v>234</v>
      </c>
      <c r="B231" s="43"/>
      <c r="C231" s="43"/>
      <c r="D231" s="44"/>
      <c r="E231" s="44"/>
      <c r="F231" s="44"/>
      <c r="G231" s="44">
        <f t="shared" si="9"/>
        <v>0</v>
      </c>
    </row>
    <row r="232" spans="1:7" ht="12.75" hidden="1" customHeight="1">
      <c r="A232" s="46" t="s">
        <v>235</v>
      </c>
      <c r="B232" s="43"/>
      <c r="C232" s="43"/>
      <c r="D232" s="44"/>
      <c r="E232" s="44"/>
      <c r="F232" s="44"/>
      <c r="G232" s="44">
        <f t="shared" si="9"/>
        <v>0</v>
      </c>
    </row>
    <row r="233" spans="1:7" ht="12.75" hidden="1" customHeight="1">
      <c r="A233" s="46" t="s">
        <v>236</v>
      </c>
      <c r="B233" s="43"/>
      <c r="C233" s="43"/>
      <c r="D233" s="44"/>
      <c r="E233" s="44"/>
      <c r="F233" s="44"/>
      <c r="G233" s="44">
        <f t="shared" si="9"/>
        <v>0</v>
      </c>
    </row>
    <row r="234" spans="1:7" ht="12.75" hidden="1" customHeight="1">
      <c r="A234" s="46" t="s">
        <v>237</v>
      </c>
      <c r="B234" s="43"/>
      <c r="C234" s="43"/>
      <c r="D234" s="44"/>
      <c r="E234" s="44"/>
      <c r="F234" s="44"/>
      <c r="G234" s="44">
        <f t="shared" si="9"/>
        <v>0</v>
      </c>
    </row>
    <row r="235" spans="1:7" ht="12.75" hidden="1" customHeight="1">
      <c r="A235" s="49" t="s">
        <v>238</v>
      </c>
      <c r="B235" s="48"/>
      <c r="C235" s="48"/>
      <c r="D235" s="44"/>
      <c r="E235" s="44"/>
      <c r="F235" s="44"/>
      <c r="G235" s="44">
        <f t="shared" si="9"/>
        <v>0</v>
      </c>
    </row>
    <row r="236" spans="1:7" ht="12.75" hidden="1" customHeight="1">
      <c r="A236" s="39" t="s">
        <v>239</v>
      </c>
      <c r="B236" s="43"/>
      <c r="C236" s="45"/>
      <c r="D236" s="44"/>
      <c r="E236" s="44"/>
      <c r="F236" s="44"/>
      <c r="G236" s="44">
        <f t="shared" si="9"/>
        <v>0</v>
      </c>
    </row>
    <row r="237" spans="1:7" ht="12.75" hidden="1" customHeight="1">
      <c r="A237" s="39" t="s">
        <v>240</v>
      </c>
      <c r="B237" s="43"/>
      <c r="C237" s="45"/>
      <c r="D237" s="44"/>
      <c r="E237" s="44"/>
      <c r="F237" s="44"/>
      <c r="G237" s="44">
        <f t="shared" si="9"/>
        <v>0</v>
      </c>
    </row>
    <row r="238" spans="1:7" ht="12.75" hidden="1" customHeight="1">
      <c r="A238" s="39" t="s">
        <v>241</v>
      </c>
      <c r="B238" s="43"/>
      <c r="C238" s="45"/>
      <c r="D238" s="44"/>
      <c r="E238" s="44"/>
      <c r="F238" s="44"/>
      <c r="G238" s="44">
        <f t="shared" si="9"/>
        <v>0</v>
      </c>
    </row>
    <row r="239" spans="1:7" ht="12.75" hidden="1" customHeight="1">
      <c r="A239" s="39" t="s">
        <v>242</v>
      </c>
      <c r="B239" s="43"/>
      <c r="C239" s="45"/>
      <c r="D239" s="44"/>
      <c r="E239" s="44"/>
      <c r="F239" s="44"/>
      <c r="G239" s="44">
        <f t="shared" si="9"/>
        <v>0</v>
      </c>
    </row>
    <row r="240" spans="1:7" ht="12.75" hidden="1" customHeight="1">
      <c r="A240" s="39" t="s">
        <v>243</v>
      </c>
      <c r="B240" s="43"/>
      <c r="C240" s="39"/>
      <c r="D240" s="44"/>
      <c r="E240" s="44"/>
      <c r="F240" s="44"/>
      <c r="G240" s="44">
        <f t="shared" si="9"/>
        <v>0</v>
      </c>
    </row>
    <row r="241" spans="1:7" ht="12.75" hidden="1" customHeight="1">
      <c r="A241" s="42" t="s">
        <v>244</v>
      </c>
      <c r="B241" s="45">
        <f>SUM(B204:B228)</f>
        <v>760</v>
      </c>
      <c r="C241" s="45">
        <f>SUM(C204:C228)</f>
        <v>2224</v>
      </c>
      <c r="D241" s="44">
        <f>313483.73</f>
        <v>313483.73</v>
      </c>
      <c r="E241" s="44">
        <f>15633.2+102123.2+16033.2+60525.32+17848.4</f>
        <v>212163.32</v>
      </c>
      <c r="F241" s="44">
        <f>189363.43</f>
        <v>189363.43</v>
      </c>
      <c r="G241" s="44">
        <f>SUM(D241:F241)</f>
        <v>715010.48</v>
      </c>
    </row>
    <row r="242" spans="1:7" ht="12.75" hidden="1" customHeight="1">
      <c r="A242" s="268" t="s">
        <v>377</v>
      </c>
      <c r="B242" s="268"/>
      <c r="C242" s="268"/>
      <c r="D242" s="268"/>
      <c r="E242" s="268"/>
      <c r="F242" s="268"/>
      <c r="G242" s="268"/>
    </row>
    <row r="243" spans="1:7" ht="12.75" hidden="1" customHeight="1">
      <c r="A243" s="65"/>
      <c r="B243" s="64"/>
      <c r="C243" s="65"/>
      <c r="D243" s="65"/>
      <c r="E243" s="64"/>
      <c r="F243" s="65"/>
      <c r="G243" s="40"/>
    </row>
    <row r="244" spans="1:7" ht="12.75" hidden="1" customHeight="1">
      <c r="A244" s="65"/>
      <c r="B244" s="64"/>
      <c r="C244" s="65"/>
      <c r="D244" s="65"/>
      <c r="E244" s="64"/>
      <c r="F244" s="65"/>
      <c r="G244" s="40"/>
    </row>
    <row r="245" spans="1:7" ht="12.75" hidden="1" customHeight="1">
      <c r="A245" s="65"/>
      <c r="B245" s="64"/>
      <c r="C245" s="65"/>
      <c r="D245" s="65"/>
      <c r="E245" s="64"/>
      <c r="F245" s="65"/>
      <c r="G245" s="40"/>
    </row>
    <row r="246" spans="1:7" ht="12.75" hidden="1" customHeight="1">
      <c r="A246" s="65"/>
      <c r="B246" s="64"/>
      <c r="C246" s="65"/>
      <c r="D246" s="65"/>
      <c r="E246" s="64"/>
      <c r="F246" s="65"/>
      <c r="G246" s="40"/>
    </row>
    <row r="247" spans="1:7" ht="12.75" hidden="1" customHeight="1">
      <c r="A247" s="269" t="s">
        <v>245</v>
      </c>
      <c r="B247" s="269"/>
      <c r="C247" s="269"/>
      <c r="D247" s="269"/>
      <c r="E247" s="269"/>
      <c r="F247" s="269"/>
      <c r="G247" s="40"/>
    </row>
    <row r="248" spans="1:7" ht="12.75" hidden="1" customHeight="1">
      <c r="A248" s="42" t="s">
        <v>86</v>
      </c>
      <c r="B248" s="43" t="s">
        <v>246</v>
      </c>
      <c r="C248" s="43" t="s">
        <v>88</v>
      </c>
      <c r="D248" s="43" t="s">
        <v>89</v>
      </c>
      <c r="E248" s="43" t="s">
        <v>90</v>
      </c>
      <c r="F248" s="43" t="s">
        <v>91</v>
      </c>
      <c r="G248" s="40"/>
    </row>
    <row r="249" spans="1:7" ht="12.75" hidden="1" customHeight="1">
      <c r="A249" s="67" t="s">
        <v>247</v>
      </c>
      <c r="B249" s="43"/>
      <c r="C249" s="42"/>
      <c r="D249" s="42"/>
      <c r="E249" s="42"/>
      <c r="F249" s="42"/>
      <c r="G249" s="40"/>
    </row>
    <row r="250" spans="1:7" ht="12.75" hidden="1" customHeight="1">
      <c r="A250" s="67" t="s">
        <v>248</v>
      </c>
      <c r="B250" s="43"/>
      <c r="C250" s="42"/>
      <c r="D250" s="42"/>
      <c r="E250" s="42"/>
      <c r="F250" s="42"/>
      <c r="G250" s="40"/>
    </row>
    <row r="251" spans="1:7" ht="12.75" hidden="1" customHeight="1">
      <c r="A251" s="67" t="s">
        <v>249</v>
      </c>
      <c r="B251" s="45"/>
      <c r="C251" s="42"/>
      <c r="D251" s="42"/>
      <c r="E251" s="42"/>
      <c r="F251" s="42"/>
      <c r="G251" s="40"/>
    </row>
    <row r="252" spans="1:7" ht="12.75" hidden="1" customHeight="1">
      <c r="A252" s="67" t="s">
        <v>250</v>
      </c>
      <c r="B252" s="43">
        <v>20</v>
      </c>
      <c r="C252" s="53">
        <f>B252/B$284*C$284</f>
        <v>9569.9307692307702</v>
      </c>
      <c r="D252" s="53">
        <f>C252/C$284*D$284</f>
        <v>11508.535576923077</v>
      </c>
      <c r="E252" s="53">
        <f>D252/D$284*E$284</f>
        <v>7256.8384615384612</v>
      </c>
      <c r="F252" s="42">
        <f>SUM(C252:E252)+0.01</f>
        <v>28335.314807692306</v>
      </c>
      <c r="G252" s="40"/>
    </row>
    <row r="253" spans="1:7" ht="12.75" hidden="1" customHeight="1">
      <c r="A253" s="67" t="s">
        <v>251</v>
      </c>
      <c r="B253" s="43"/>
      <c r="C253" s="42">
        <f t="shared" ref="C253:E270" si="10">B253/B$284*C$284</f>
        <v>0</v>
      </c>
      <c r="D253" s="42">
        <f t="shared" si="10"/>
        <v>0</v>
      </c>
      <c r="E253" s="42">
        <f t="shared" si="10"/>
        <v>0</v>
      </c>
      <c r="F253" s="42">
        <f t="shared" ref="F253:F283" si="11">SUM(C253:E253)</f>
        <v>0</v>
      </c>
      <c r="G253" s="40"/>
    </row>
    <row r="254" spans="1:7" ht="12.75" hidden="1" customHeight="1">
      <c r="A254" s="68" t="s">
        <v>252</v>
      </c>
      <c r="B254" s="69"/>
      <c r="C254" s="42">
        <f t="shared" si="10"/>
        <v>0</v>
      </c>
      <c r="D254" s="42">
        <f t="shared" si="10"/>
        <v>0</v>
      </c>
      <c r="E254" s="42">
        <f t="shared" si="10"/>
        <v>0</v>
      </c>
      <c r="F254" s="42">
        <f t="shared" si="11"/>
        <v>0</v>
      </c>
      <c r="G254" s="40"/>
    </row>
    <row r="255" spans="1:7" ht="12.75" hidden="1" customHeight="1">
      <c r="A255" s="68" t="s">
        <v>253</v>
      </c>
      <c r="B255" s="69"/>
      <c r="C255" s="42">
        <f t="shared" si="10"/>
        <v>0</v>
      </c>
      <c r="D255" s="42">
        <f t="shared" si="10"/>
        <v>0</v>
      </c>
      <c r="E255" s="42">
        <f t="shared" si="10"/>
        <v>0</v>
      </c>
      <c r="F255" s="42">
        <f t="shared" si="11"/>
        <v>0</v>
      </c>
      <c r="G255" s="40"/>
    </row>
    <row r="256" spans="1:7" ht="12.75" hidden="1" customHeight="1">
      <c r="A256" s="67" t="s">
        <v>254</v>
      </c>
      <c r="B256" s="70">
        <v>61</v>
      </c>
      <c r="C256" s="53">
        <f t="shared" si="10"/>
        <v>29188.288846153846</v>
      </c>
      <c r="D256" s="53">
        <f t="shared" si="10"/>
        <v>35101.033509615387</v>
      </c>
      <c r="E256" s="53">
        <f t="shared" si="10"/>
        <v>22133.357307692306</v>
      </c>
      <c r="F256" s="42">
        <f t="shared" si="11"/>
        <v>86422.679663461546</v>
      </c>
      <c r="G256" s="40"/>
    </row>
    <row r="257" spans="1:7" ht="12.75" hidden="1" customHeight="1">
      <c r="A257" s="67" t="s">
        <v>255</v>
      </c>
      <c r="B257" s="70"/>
      <c r="C257" s="42">
        <f t="shared" si="10"/>
        <v>0</v>
      </c>
      <c r="D257" s="42">
        <f t="shared" si="10"/>
        <v>0</v>
      </c>
      <c r="E257" s="42">
        <f t="shared" si="10"/>
        <v>0</v>
      </c>
      <c r="F257" s="42">
        <f t="shared" si="11"/>
        <v>0</v>
      </c>
      <c r="G257" s="40"/>
    </row>
    <row r="258" spans="1:7" ht="12.75" hidden="1" customHeight="1">
      <c r="A258" s="67" t="s">
        <v>256</v>
      </c>
      <c r="B258" s="70"/>
      <c r="C258" s="42">
        <f t="shared" si="10"/>
        <v>0</v>
      </c>
      <c r="D258" s="42">
        <f t="shared" si="10"/>
        <v>0</v>
      </c>
      <c r="E258" s="42">
        <f t="shared" si="10"/>
        <v>0</v>
      </c>
      <c r="F258" s="42">
        <f t="shared" si="11"/>
        <v>0</v>
      </c>
      <c r="G258" s="40"/>
    </row>
    <row r="259" spans="1:7" ht="12.75" hidden="1" customHeight="1">
      <c r="A259" s="67" t="s">
        <v>257</v>
      </c>
      <c r="B259" s="70">
        <v>57</v>
      </c>
      <c r="C259" s="53">
        <f t="shared" si="10"/>
        <v>27274.302692307694</v>
      </c>
      <c r="D259" s="53">
        <f t="shared" si="10"/>
        <v>32799.326394230775</v>
      </c>
      <c r="E259" s="53">
        <f t="shared" si="10"/>
        <v>20681.989615384617</v>
      </c>
      <c r="F259" s="42">
        <f t="shared" si="11"/>
        <v>80755.618701923086</v>
      </c>
      <c r="G259" s="40"/>
    </row>
    <row r="260" spans="1:7" ht="12.75" hidden="1" customHeight="1">
      <c r="A260" s="71" t="s">
        <v>258</v>
      </c>
      <c r="B260" s="72"/>
      <c r="C260" s="42">
        <f t="shared" si="10"/>
        <v>0</v>
      </c>
      <c r="D260" s="42">
        <f t="shared" si="10"/>
        <v>0</v>
      </c>
      <c r="E260" s="42">
        <f t="shared" si="10"/>
        <v>0</v>
      </c>
      <c r="F260" s="42">
        <f t="shared" si="11"/>
        <v>0</v>
      </c>
      <c r="G260" s="40"/>
    </row>
    <row r="261" spans="1:7" ht="12.75" hidden="1" customHeight="1">
      <c r="A261" s="67" t="s">
        <v>259</v>
      </c>
      <c r="B261" s="43"/>
      <c r="C261" s="42">
        <f t="shared" si="10"/>
        <v>0</v>
      </c>
      <c r="D261" s="42">
        <f t="shared" si="10"/>
        <v>0</v>
      </c>
      <c r="E261" s="42">
        <f t="shared" si="10"/>
        <v>0</v>
      </c>
      <c r="F261" s="42">
        <f t="shared" si="11"/>
        <v>0</v>
      </c>
      <c r="G261" s="40"/>
    </row>
    <row r="262" spans="1:7" ht="12.75" hidden="1" customHeight="1">
      <c r="A262" s="73" t="s">
        <v>260</v>
      </c>
      <c r="B262" s="43"/>
      <c r="C262" s="42">
        <f t="shared" si="10"/>
        <v>0</v>
      </c>
      <c r="D262" s="42">
        <f t="shared" si="10"/>
        <v>0</v>
      </c>
      <c r="E262" s="42">
        <f t="shared" si="10"/>
        <v>0</v>
      </c>
      <c r="F262" s="42">
        <f t="shared" si="11"/>
        <v>0</v>
      </c>
      <c r="G262" s="40"/>
    </row>
    <row r="263" spans="1:7" ht="12.75" hidden="1" customHeight="1">
      <c r="A263" s="73" t="s">
        <v>261</v>
      </c>
      <c r="B263" s="43">
        <v>18</v>
      </c>
      <c r="C263" s="53">
        <f t="shared" si="10"/>
        <v>8612.9376923076925</v>
      </c>
      <c r="D263" s="53">
        <f t="shared" si="10"/>
        <v>10357.68201923077</v>
      </c>
      <c r="E263" s="53">
        <f t="shared" si="10"/>
        <v>6531.1546153846148</v>
      </c>
      <c r="F263" s="42">
        <f t="shared" si="11"/>
        <v>25501.774326923078</v>
      </c>
      <c r="G263" s="40"/>
    </row>
    <row r="264" spans="1:7" ht="12.75" hidden="1" customHeight="1">
      <c r="A264" s="73" t="s">
        <v>262</v>
      </c>
      <c r="B264" s="43">
        <v>31</v>
      </c>
      <c r="C264" s="53">
        <f t="shared" si="10"/>
        <v>14833.392692307692</v>
      </c>
      <c r="D264" s="53">
        <f t="shared" si="10"/>
        <v>17838.230144230769</v>
      </c>
      <c r="E264" s="53">
        <f t="shared" si="10"/>
        <v>11248.099615384615</v>
      </c>
      <c r="F264" s="42">
        <f t="shared" si="11"/>
        <v>43919.722451923073</v>
      </c>
      <c r="G264" s="40"/>
    </row>
    <row r="265" spans="1:7" ht="12.75" hidden="1" customHeight="1">
      <c r="A265" s="74" t="s">
        <v>263</v>
      </c>
      <c r="B265" s="43"/>
      <c r="C265" s="42">
        <f t="shared" si="10"/>
        <v>0</v>
      </c>
      <c r="D265" s="42">
        <f t="shared" si="10"/>
        <v>0</v>
      </c>
      <c r="E265" s="42">
        <f t="shared" si="10"/>
        <v>0</v>
      </c>
      <c r="F265" s="42">
        <f t="shared" si="11"/>
        <v>0</v>
      </c>
      <c r="G265" s="40"/>
    </row>
    <row r="266" spans="1:7" ht="12.75" hidden="1" customHeight="1">
      <c r="A266" s="74" t="s">
        <v>264</v>
      </c>
      <c r="B266" s="43"/>
      <c r="C266" s="42">
        <f t="shared" si="10"/>
        <v>0</v>
      </c>
      <c r="D266" s="42">
        <f t="shared" si="10"/>
        <v>0</v>
      </c>
      <c r="E266" s="42">
        <f t="shared" si="10"/>
        <v>0</v>
      </c>
      <c r="F266" s="42">
        <f t="shared" si="11"/>
        <v>0</v>
      </c>
      <c r="G266" s="40"/>
    </row>
    <row r="267" spans="1:7" ht="12.75" hidden="1" customHeight="1">
      <c r="A267" s="74" t="s">
        <v>265</v>
      </c>
      <c r="B267" s="43"/>
      <c r="C267" s="42">
        <f t="shared" si="10"/>
        <v>0</v>
      </c>
      <c r="D267" s="42">
        <f t="shared" si="10"/>
        <v>0</v>
      </c>
      <c r="E267" s="42">
        <f t="shared" si="10"/>
        <v>0</v>
      </c>
      <c r="F267" s="42">
        <f t="shared" si="11"/>
        <v>0</v>
      </c>
      <c r="G267" s="40"/>
    </row>
    <row r="268" spans="1:7" ht="12.75" hidden="1" customHeight="1">
      <c r="A268" s="74" t="s">
        <v>266</v>
      </c>
      <c r="B268" s="43"/>
      <c r="C268" s="42">
        <f t="shared" si="10"/>
        <v>0</v>
      </c>
      <c r="D268" s="42">
        <f t="shared" si="10"/>
        <v>0</v>
      </c>
      <c r="E268" s="42">
        <f t="shared" si="10"/>
        <v>0</v>
      </c>
      <c r="F268" s="42">
        <f t="shared" si="11"/>
        <v>0</v>
      </c>
      <c r="G268" s="40"/>
    </row>
    <row r="269" spans="1:7" ht="12.75" hidden="1" customHeight="1">
      <c r="A269" s="74" t="s">
        <v>267</v>
      </c>
      <c r="B269" s="43"/>
      <c r="C269" s="42">
        <f t="shared" si="10"/>
        <v>0</v>
      </c>
      <c r="D269" s="42">
        <f t="shared" si="10"/>
        <v>0</v>
      </c>
      <c r="E269" s="42">
        <f t="shared" si="10"/>
        <v>0</v>
      </c>
      <c r="F269" s="42">
        <f t="shared" si="11"/>
        <v>0</v>
      </c>
      <c r="G269" s="40"/>
    </row>
    <row r="270" spans="1:7" ht="12.75" hidden="1" customHeight="1">
      <c r="A270" s="74" t="s">
        <v>268</v>
      </c>
      <c r="B270" s="43">
        <v>21</v>
      </c>
      <c r="C270" s="53">
        <f t="shared" si="10"/>
        <v>10048.427307692307</v>
      </c>
      <c r="D270" s="53">
        <f t="shared" si="10"/>
        <v>12083.962355769232</v>
      </c>
      <c r="E270" s="53">
        <f t="shared" si="10"/>
        <v>7619.6803846153844</v>
      </c>
      <c r="F270" s="42">
        <f t="shared" si="11"/>
        <v>29752.070048076923</v>
      </c>
      <c r="G270" s="40"/>
    </row>
    <row r="271" spans="1:7" ht="12.75" hidden="1" customHeight="1">
      <c r="A271" s="67" t="s">
        <v>269</v>
      </c>
      <c r="B271" s="43"/>
      <c r="C271" s="42"/>
      <c r="D271" s="42">
        <f t="shared" ref="D271:D283" si="12">C271/C$284*D$284</f>
        <v>0</v>
      </c>
      <c r="E271" s="42"/>
      <c r="F271" s="42">
        <f t="shared" si="11"/>
        <v>0</v>
      </c>
      <c r="G271" s="40"/>
    </row>
    <row r="272" spans="1:7" ht="12.75" hidden="1" customHeight="1">
      <c r="A272" s="67" t="s">
        <v>270</v>
      </c>
      <c r="B272" s="43"/>
      <c r="C272" s="42"/>
      <c r="D272" s="42">
        <f t="shared" si="12"/>
        <v>0</v>
      </c>
      <c r="E272" s="42"/>
      <c r="F272" s="42">
        <f t="shared" si="11"/>
        <v>0</v>
      </c>
      <c r="G272" s="40"/>
    </row>
    <row r="273" spans="1:7" ht="12.75" hidden="1" customHeight="1">
      <c r="A273" s="67" t="s">
        <v>271</v>
      </c>
      <c r="B273" s="43"/>
      <c r="C273" s="42"/>
      <c r="D273" s="42">
        <f t="shared" si="12"/>
        <v>0</v>
      </c>
      <c r="E273" s="42"/>
      <c r="F273" s="42">
        <f t="shared" si="11"/>
        <v>0</v>
      </c>
      <c r="G273" s="40"/>
    </row>
    <row r="274" spans="1:7" ht="12.75" hidden="1" customHeight="1">
      <c r="A274" s="67" t="s">
        <v>272</v>
      </c>
      <c r="B274" s="43"/>
      <c r="C274" s="42"/>
      <c r="D274" s="42">
        <f t="shared" si="12"/>
        <v>0</v>
      </c>
      <c r="E274" s="42"/>
      <c r="F274" s="42">
        <f t="shared" si="11"/>
        <v>0</v>
      </c>
      <c r="G274" s="40"/>
    </row>
    <row r="275" spans="1:7" ht="12.75" hidden="1" customHeight="1">
      <c r="A275" s="67" t="s">
        <v>273</v>
      </c>
      <c r="B275" s="43"/>
      <c r="C275" s="42"/>
      <c r="D275" s="42">
        <f t="shared" si="12"/>
        <v>0</v>
      </c>
      <c r="E275" s="42"/>
      <c r="F275" s="42">
        <f t="shared" si="11"/>
        <v>0</v>
      </c>
      <c r="G275" s="40"/>
    </row>
    <row r="276" spans="1:7" ht="12.75" hidden="1" customHeight="1">
      <c r="A276" s="67" t="s">
        <v>274</v>
      </c>
      <c r="B276" s="43"/>
      <c r="C276" s="42"/>
      <c r="D276" s="42">
        <f t="shared" si="12"/>
        <v>0</v>
      </c>
      <c r="E276" s="42"/>
      <c r="F276" s="42">
        <f t="shared" si="11"/>
        <v>0</v>
      </c>
      <c r="G276" s="40"/>
    </row>
    <row r="277" spans="1:7" ht="12.75" hidden="1" customHeight="1">
      <c r="A277" s="67" t="s">
        <v>275</v>
      </c>
      <c r="B277" s="43"/>
      <c r="C277" s="42"/>
      <c r="D277" s="42">
        <f t="shared" si="12"/>
        <v>0</v>
      </c>
      <c r="E277" s="42"/>
      <c r="F277" s="42">
        <f t="shared" si="11"/>
        <v>0</v>
      </c>
      <c r="G277" s="40"/>
    </row>
    <row r="278" spans="1:7" ht="12.75" hidden="1" customHeight="1">
      <c r="A278" s="67" t="s">
        <v>276</v>
      </c>
      <c r="B278" s="43"/>
      <c r="C278" s="42"/>
      <c r="D278" s="42">
        <f t="shared" si="12"/>
        <v>0</v>
      </c>
      <c r="E278" s="42"/>
      <c r="F278" s="42">
        <f t="shared" si="11"/>
        <v>0</v>
      </c>
      <c r="G278" s="40"/>
    </row>
    <row r="279" spans="1:7" ht="12.75" hidden="1" customHeight="1">
      <c r="A279" s="67" t="s">
        <v>277</v>
      </c>
      <c r="B279" s="43"/>
      <c r="C279" s="42"/>
      <c r="D279" s="42">
        <f t="shared" si="12"/>
        <v>0</v>
      </c>
      <c r="E279" s="42"/>
      <c r="F279" s="42">
        <f t="shared" si="11"/>
        <v>0</v>
      </c>
      <c r="G279" s="40"/>
    </row>
    <row r="280" spans="1:7" ht="12.75" hidden="1" customHeight="1">
      <c r="A280" s="49" t="s">
        <v>278</v>
      </c>
      <c r="B280" s="43"/>
      <c r="C280" s="42"/>
      <c r="D280" s="42">
        <f t="shared" si="12"/>
        <v>0</v>
      </c>
      <c r="E280" s="42"/>
      <c r="F280" s="42">
        <f t="shared" si="11"/>
        <v>0</v>
      </c>
      <c r="G280" s="40"/>
    </row>
    <row r="281" spans="1:7" ht="12.75" hidden="1" customHeight="1">
      <c r="A281" s="39" t="s">
        <v>202</v>
      </c>
      <c r="B281" s="43"/>
      <c r="C281" s="42"/>
      <c r="D281" s="42">
        <f t="shared" si="12"/>
        <v>0</v>
      </c>
      <c r="E281" s="42"/>
      <c r="F281" s="42">
        <f t="shared" si="11"/>
        <v>0</v>
      </c>
      <c r="G281" s="40"/>
    </row>
    <row r="282" spans="1:7" ht="12.75" hidden="1" customHeight="1">
      <c r="A282" s="39" t="s">
        <v>279</v>
      </c>
      <c r="B282" s="43"/>
      <c r="C282" s="42"/>
      <c r="D282" s="42">
        <f t="shared" si="12"/>
        <v>0</v>
      </c>
      <c r="E282" s="42"/>
      <c r="F282" s="42">
        <f t="shared" si="11"/>
        <v>0</v>
      </c>
      <c r="G282" s="40"/>
    </row>
    <row r="283" spans="1:7" ht="12.75" hidden="1" customHeight="1">
      <c r="A283" s="39" t="s">
        <v>280</v>
      </c>
      <c r="B283" s="43"/>
      <c r="C283" s="42"/>
      <c r="D283" s="42">
        <f t="shared" si="12"/>
        <v>0</v>
      </c>
      <c r="E283" s="42"/>
      <c r="F283" s="42">
        <f t="shared" si="11"/>
        <v>0</v>
      </c>
      <c r="G283" s="40"/>
    </row>
    <row r="284" spans="1:7" ht="12.75" hidden="1" customHeight="1">
      <c r="A284" s="75" t="s">
        <v>281</v>
      </c>
      <c r="B284" s="43">
        <f>SUM(B252:B270)</f>
        <v>208</v>
      </c>
      <c r="C284" s="42">
        <f>99527.28</f>
        <v>99527.28</v>
      </c>
      <c r="D284" s="42">
        <f>16165.2+42896.8+6667+41465.89+12493.88</f>
        <v>119688.77</v>
      </c>
      <c r="E284" s="44">
        <f>75471.12</f>
        <v>75471.12</v>
      </c>
      <c r="F284" s="42">
        <f>SUM(C284:E284)</f>
        <v>294687.17</v>
      </c>
      <c r="G284" s="40"/>
    </row>
    <row r="285" spans="1:7" ht="12.75" hidden="1" customHeight="1">
      <c r="A285" s="76" t="s">
        <v>282</v>
      </c>
      <c r="B285" s="41"/>
      <c r="C285" s="40"/>
      <c r="D285" s="40"/>
      <c r="E285" s="41"/>
      <c r="F285" s="40"/>
      <c r="G285" s="40"/>
    </row>
    <row r="286" spans="1:7" ht="12.75" hidden="1" customHeight="1">
      <c r="A286" s="76"/>
      <c r="B286" s="41"/>
      <c r="C286" s="40"/>
      <c r="D286" s="40"/>
      <c r="E286" s="41"/>
      <c r="F286" s="40"/>
      <c r="G286" s="40"/>
    </row>
    <row r="287" spans="1:7" ht="12.75" hidden="1" customHeight="1">
      <c r="A287" s="269" t="s">
        <v>283</v>
      </c>
      <c r="B287" s="269"/>
      <c r="C287" s="269"/>
      <c r="D287" s="269"/>
      <c r="E287" s="269"/>
      <c r="F287" s="269"/>
      <c r="G287" s="40"/>
    </row>
    <row r="288" spans="1:7" ht="12.75" hidden="1" customHeight="1">
      <c r="A288" s="42" t="s">
        <v>86</v>
      </c>
      <c r="B288" s="43" t="s">
        <v>87</v>
      </c>
      <c r="C288" s="43" t="s">
        <v>88</v>
      </c>
      <c r="D288" s="43" t="s">
        <v>89</v>
      </c>
      <c r="E288" s="43" t="s">
        <v>90</v>
      </c>
      <c r="F288" s="43" t="s">
        <v>91</v>
      </c>
      <c r="G288" s="40"/>
    </row>
    <row r="289" spans="1:7" ht="12.75" hidden="1" customHeight="1">
      <c r="A289" s="39" t="s">
        <v>284</v>
      </c>
      <c r="B289" s="43"/>
      <c r="C289" s="44"/>
      <c r="D289" s="44"/>
      <c r="E289" s="44"/>
      <c r="F289" s="44"/>
      <c r="G289" s="40"/>
    </row>
    <row r="290" spans="1:7" ht="12.75" hidden="1" customHeight="1">
      <c r="A290" s="39" t="s">
        <v>285</v>
      </c>
      <c r="B290" s="43"/>
      <c r="C290" s="44"/>
      <c r="D290" s="44"/>
      <c r="E290" s="44"/>
      <c r="F290" s="44"/>
      <c r="G290" s="40"/>
    </row>
    <row r="291" spans="1:7" ht="12.75" hidden="1" customHeight="1">
      <c r="A291" s="39" t="s">
        <v>286</v>
      </c>
      <c r="B291" s="43"/>
      <c r="C291" s="44"/>
      <c r="D291" s="44"/>
      <c r="E291" s="44"/>
      <c r="F291" s="44"/>
      <c r="G291" s="40"/>
    </row>
    <row r="292" spans="1:7" ht="12.75" hidden="1" customHeight="1">
      <c r="A292" s="39" t="s">
        <v>287</v>
      </c>
      <c r="B292" s="43"/>
      <c r="C292" s="44"/>
      <c r="D292" s="44"/>
      <c r="E292" s="44"/>
      <c r="F292" s="44"/>
      <c r="G292" s="40"/>
    </row>
    <row r="293" spans="1:7" ht="12.75" hidden="1" customHeight="1">
      <c r="A293" s="39" t="s">
        <v>288</v>
      </c>
      <c r="B293" s="43"/>
      <c r="C293" s="44"/>
      <c r="D293" s="44"/>
      <c r="E293" s="44"/>
      <c r="F293" s="44"/>
      <c r="G293" s="40"/>
    </row>
    <row r="294" spans="1:7" ht="12.75" hidden="1" customHeight="1">
      <c r="A294" s="39" t="s">
        <v>289</v>
      </c>
      <c r="B294" s="43"/>
      <c r="C294" s="44"/>
      <c r="D294" s="44"/>
      <c r="E294" s="44"/>
      <c r="F294" s="44"/>
      <c r="G294" s="40"/>
    </row>
    <row r="295" spans="1:7" ht="12.75" hidden="1" customHeight="1">
      <c r="A295" s="39" t="s">
        <v>290</v>
      </c>
      <c r="B295" s="43"/>
      <c r="C295" s="44"/>
      <c r="D295" s="44"/>
      <c r="E295" s="44"/>
      <c r="F295" s="44"/>
      <c r="G295" s="40"/>
    </row>
    <row r="296" spans="1:7" ht="12.75" hidden="1" customHeight="1">
      <c r="A296" s="39" t="s">
        <v>291</v>
      </c>
      <c r="B296" s="43"/>
      <c r="C296" s="44"/>
      <c r="D296" s="44"/>
      <c r="E296" s="44"/>
      <c r="F296" s="44"/>
      <c r="G296" s="40"/>
    </row>
    <row r="297" spans="1:7" ht="12.75" hidden="1" customHeight="1">
      <c r="A297" s="39" t="s">
        <v>292</v>
      </c>
      <c r="B297" s="43"/>
      <c r="C297" s="44"/>
      <c r="D297" s="44"/>
      <c r="E297" s="44"/>
      <c r="F297" s="44"/>
      <c r="G297" s="40"/>
    </row>
    <row r="298" spans="1:7" ht="12.75" hidden="1" customHeight="1">
      <c r="A298" s="39" t="s">
        <v>293</v>
      </c>
      <c r="B298" s="43"/>
      <c r="C298" s="44"/>
      <c r="D298" s="44"/>
      <c r="E298" s="44"/>
      <c r="F298" s="44"/>
      <c r="G298" s="40"/>
    </row>
    <row r="299" spans="1:7" ht="12.75" hidden="1" customHeight="1">
      <c r="A299" s="39" t="s">
        <v>30</v>
      </c>
      <c r="B299" s="45"/>
      <c r="C299" s="44"/>
      <c r="D299" s="44"/>
      <c r="E299" s="44"/>
      <c r="F299" s="44"/>
      <c r="G299" s="40"/>
    </row>
    <row r="300" spans="1:7" ht="12.75" hidden="1" customHeight="1">
      <c r="A300" s="39" t="s">
        <v>294</v>
      </c>
      <c r="B300" s="43"/>
      <c r="C300" s="44"/>
      <c r="D300" s="44"/>
      <c r="E300" s="44"/>
      <c r="F300" s="44"/>
      <c r="G300" s="40"/>
    </row>
    <row r="301" spans="1:7" ht="12.75" hidden="1" customHeight="1">
      <c r="A301" s="39" t="s">
        <v>31</v>
      </c>
      <c r="B301" s="43"/>
      <c r="C301" s="44"/>
      <c r="D301" s="44"/>
      <c r="E301" s="44"/>
      <c r="F301" s="44"/>
      <c r="G301" s="40"/>
    </row>
    <row r="302" spans="1:7" ht="12.75" hidden="1" customHeight="1">
      <c r="A302" s="39" t="s">
        <v>295</v>
      </c>
      <c r="B302" s="43"/>
      <c r="C302" s="44"/>
      <c r="D302" s="44"/>
      <c r="E302" s="44"/>
      <c r="F302" s="44"/>
      <c r="G302" s="40"/>
    </row>
    <row r="303" spans="1:7" ht="12.75" hidden="1" customHeight="1">
      <c r="A303" s="39" t="s">
        <v>296</v>
      </c>
      <c r="B303" s="41"/>
      <c r="C303" s="44"/>
      <c r="D303" s="44"/>
      <c r="E303" s="44"/>
      <c r="F303" s="44"/>
      <c r="G303" s="40"/>
    </row>
    <row r="304" spans="1:7" ht="12.75" hidden="1" customHeight="1">
      <c r="A304" s="39" t="s">
        <v>297</v>
      </c>
      <c r="B304" s="43"/>
      <c r="C304" s="44"/>
      <c r="D304" s="44"/>
      <c r="E304" s="44"/>
      <c r="F304" s="44"/>
      <c r="G304" s="40"/>
    </row>
    <row r="305" spans="1:7" ht="12.75" hidden="1" customHeight="1">
      <c r="A305" s="39" t="s">
        <v>298</v>
      </c>
      <c r="B305" s="43"/>
      <c r="C305" s="44"/>
      <c r="D305" s="44"/>
      <c r="E305" s="44"/>
      <c r="F305" s="44"/>
      <c r="G305" s="40"/>
    </row>
    <row r="306" spans="1:7" ht="12.75" hidden="1" customHeight="1">
      <c r="A306" s="39" t="s">
        <v>299</v>
      </c>
      <c r="B306" s="43"/>
      <c r="C306" s="44"/>
      <c r="D306" s="44"/>
      <c r="E306" s="44"/>
      <c r="F306" s="44"/>
      <c r="G306" s="40"/>
    </row>
    <row r="307" spans="1:7" ht="12.75" hidden="1" customHeight="1">
      <c r="A307" s="39" t="s">
        <v>300</v>
      </c>
      <c r="B307" s="45"/>
      <c r="C307" s="44"/>
      <c r="D307" s="44"/>
      <c r="E307" s="44"/>
      <c r="F307" s="44"/>
      <c r="G307" s="40"/>
    </row>
    <row r="308" spans="1:7" ht="12.75" hidden="1" customHeight="1">
      <c r="A308" s="39" t="s">
        <v>301</v>
      </c>
      <c r="B308" s="43"/>
      <c r="C308" s="44"/>
      <c r="D308" s="44"/>
      <c r="E308" s="44"/>
      <c r="F308" s="44"/>
      <c r="G308" s="40"/>
    </row>
    <row r="309" spans="1:7" ht="12.75" hidden="1" customHeight="1">
      <c r="A309" s="39" t="s">
        <v>32</v>
      </c>
      <c r="B309" s="43"/>
      <c r="C309" s="44"/>
      <c r="D309" s="44"/>
      <c r="E309" s="44"/>
      <c r="F309" s="44"/>
      <c r="G309" s="40"/>
    </row>
    <row r="310" spans="1:7" ht="12.75" hidden="1" customHeight="1">
      <c r="A310" s="39" t="s">
        <v>33</v>
      </c>
      <c r="B310" s="45"/>
      <c r="C310" s="44"/>
      <c r="D310" s="44"/>
      <c r="E310" s="44"/>
      <c r="F310" s="44"/>
      <c r="G310" s="40"/>
    </row>
    <row r="311" spans="1:7" ht="12.75" hidden="1" customHeight="1">
      <c r="A311" s="39" t="s">
        <v>302</v>
      </c>
      <c r="B311" s="45"/>
      <c r="C311" s="44"/>
      <c r="D311" s="44"/>
      <c r="E311" s="44"/>
      <c r="F311" s="44"/>
      <c r="G311" s="40"/>
    </row>
    <row r="312" spans="1:7" ht="12.75" hidden="1" customHeight="1">
      <c r="A312" s="39" t="s">
        <v>303</v>
      </c>
      <c r="B312" s="43"/>
      <c r="C312" s="44"/>
      <c r="D312" s="44"/>
      <c r="E312" s="44"/>
      <c r="F312" s="44"/>
      <c r="G312" s="40"/>
    </row>
    <row r="313" spans="1:7" ht="12.75" hidden="1" customHeight="1">
      <c r="A313" s="39" t="s">
        <v>304</v>
      </c>
      <c r="B313" s="43"/>
      <c r="C313" s="44"/>
      <c r="D313" s="44"/>
      <c r="E313" s="44"/>
      <c r="F313" s="44"/>
      <c r="G313" s="40"/>
    </row>
    <row r="314" spans="1:7" ht="12.75" hidden="1" customHeight="1">
      <c r="A314" s="39" t="s">
        <v>34</v>
      </c>
      <c r="B314" s="43"/>
      <c r="C314" s="44"/>
      <c r="D314" s="44"/>
      <c r="E314" s="44"/>
      <c r="F314" s="44"/>
      <c r="G314" s="40"/>
    </row>
    <row r="315" spans="1:7" ht="12.75" hidden="1" customHeight="1">
      <c r="A315" s="39" t="s">
        <v>35</v>
      </c>
      <c r="B315" s="43"/>
      <c r="C315" s="44"/>
      <c r="D315" s="44"/>
      <c r="E315" s="44"/>
      <c r="F315" s="44"/>
      <c r="G315" s="40"/>
    </row>
    <row r="316" spans="1:7" ht="12.75" hidden="1" customHeight="1">
      <c r="A316" s="39" t="s">
        <v>305</v>
      </c>
      <c r="B316" s="43"/>
      <c r="C316" s="44"/>
      <c r="D316" s="44"/>
      <c r="E316" s="44"/>
      <c r="F316" s="44"/>
      <c r="G316" s="40"/>
    </row>
    <row r="317" spans="1:7" ht="12.75" hidden="1" customHeight="1">
      <c r="A317" s="39" t="s">
        <v>306</v>
      </c>
      <c r="B317" s="45"/>
      <c r="C317" s="44"/>
      <c r="D317" s="44"/>
      <c r="E317" s="44"/>
      <c r="F317" s="44"/>
      <c r="G317" s="40"/>
    </row>
    <row r="318" spans="1:7" ht="12.75" hidden="1" customHeight="1">
      <c r="A318" s="39" t="s">
        <v>36</v>
      </c>
      <c r="B318" s="43"/>
      <c r="C318" s="44"/>
      <c r="D318" s="44"/>
      <c r="E318" s="44"/>
      <c r="F318" s="44"/>
      <c r="G318" s="40"/>
    </row>
    <row r="319" spans="1:7" ht="12.75" hidden="1" customHeight="1">
      <c r="A319" s="39" t="s">
        <v>37</v>
      </c>
      <c r="B319" s="45"/>
      <c r="C319" s="44"/>
      <c r="D319" s="44"/>
      <c r="E319" s="44"/>
      <c r="F319" s="44"/>
      <c r="G319" s="40"/>
    </row>
    <row r="320" spans="1:7" ht="12.75" hidden="1" customHeight="1">
      <c r="A320" s="39" t="s">
        <v>38</v>
      </c>
      <c r="B320" s="43"/>
      <c r="C320" s="44"/>
      <c r="D320" s="44"/>
      <c r="E320" s="44"/>
      <c r="F320" s="44"/>
      <c r="G320" s="40"/>
    </row>
    <row r="321" spans="1:7" ht="12.75" hidden="1" customHeight="1">
      <c r="A321" s="39" t="s">
        <v>307</v>
      </c>
      <c r="B321" s="43"/>
      <c r="C321" s="44"/>
      <c r="D321" s="44"/>
      <c r="E321" s="44"/>
      <c r="F321" s="44"/>
      <c r="G321" s="40"/>
    </row>
    <row r="322" spans="1:7" ht="12.75" hidden="1" customHeight="1">
      <c r="A322" s="39" t="s">
        <v>308</v>
      </c>
      <c r="B322" s="43"/>
      <c r="C322" s="44"/>
      <c r="D322" s="44"/>
      <c r="E322" s="44"/>
      <c r="F322" s="44"/>
      <c r="G322" s="40"/>
    </row>
    <row r="323" spans="1:7" ht="12.75" hidden="1" customHeight="1">
      <c r="A323" s="39" t="s">
        <v>39</v>
      </c>
      <c r="B323" s="45"/>
      <c r="C323" s="44"/>
      <c r="D323" s="44"/>
      <c r="E323" s="44"/>
      <c r="F323" s="44"/>
      <c r="G323" s="40"/>
    </row>
    <row r="324" spans="1:7" ht="12.75" hidden="1" customHeight="1">
      <c r="A324" s="39" t="s">
        <v>40</v>
      </c>
      <c r="B324" s="43"/>
      <c r="C324" s="44"/>
      <c r="D324" s="44"/>
      <c r="E324" s="44"/>
      <c r="F324" s="44"/>
      <c r="G324" s="40"/>
    </row>
    <row r="325" spans="1:7" ht="12.75" hidden="1" customHeight="1">
      <c r="A325" s="39" t="s">
        <v>41</v>
      </c>
      <c r="B325" s="43"/>
      <c r="C325" s="44"/>
      <c r="D325" s="44"/>
      <c r="E325" s="44"/>
      <c r="F325" s="44"/>
      <c r="G325" s="40"/>
    </row>
    <row r="326" spans="1:7" ht="12.75" hidden="1" customHeight="1">
      <c r="A326" s="39" t="s">
        <v>309</v>
      </c>
      <c r="B326" s="45"/>
      <c r="C326" s="44"/>
      <c r="D326" s="44"/>
      <c r="E326" s="44"/>
      <c r="F326" s="44"/>
      <c r="G326" s="40"/>
    </row>
    <row r="327" spans="1:7" ht="12.75" hidden="1" customHeight="1">
      <c r="A327" s="39" t="s">
        <v>310</v>
      </c>
      <c r="B327" s="45"/>
      <c r="C327" s="44"/>
      <c r="D327" s="44"/>
      <c r="E327" s="44"/>
      <c r="F327" s="44"/>
      <c r="G327" s="40"/>
    </row>
    <row r="328" spans="1:7" ht="12.75" hidden="1" customHeight="1">
      <c r="A328" s="39" t="s">
        <v>311</v>
      </c>
      <c r="B328" s="43"/>
      <c r="C328" s="44"/>
      <c r="D328" s="44"/>
      <c r="E328" s="44"/>
      <c r="F328" s="44"/>
      <c r="G328" s="40"/>
    </row>
    <row r="329" spans="1:7" ht="12.75" hidden="1" customHeight="1">
      <c r="A329" s="39" t="s">
        <v>312</v>
      </c>
      <c r="B329" s="43"/>
      <c r="C329" s="44"/>
      <c r="D329" s="44"/>
      <c r="E329" s="44"/>
      <c r="F329" s="44"/>
      <c r="G329" s="40"/>
    </row>
    <row r="330" spans="1:7" ht="12.75" hidden="1" customHeight="1">
      <c r="A330" s="39" t="s">
        <v>313</v>
      </c>
      <c r="B330" s="45"/>
      <c r="C330" s="44"/>
      <c r="D330" s="44"/>
      <c r="E330" s="44"/>
      <c r="F330" s="44"/>
      <c r="G330" s="40"/>
    </row>
    <row r="331" spans="1:7" ht="12.75" hidden="1" customHeight="1">
      <c r="A331" s="39" t="s">
        <v>314</v>
      </c>
      <c r="B331" s="45"/>
      <c r="C331" s="44"/>
      <c r="D331" s="44"/>
      <c r="E331" s="44"/>
      <c r="F331" s="44"/>
      <c r="G331" s="40"/>
    </row>
    <row r="332" spans="1:7" ht="12.75" hidden="1" customHeight="1">
      <c r="A332" s="39" t="s">
        <v>315</v>
      </c>
      <c r="B332" s="43"/>
      <c r="C332" s="44"/>
      <c r="D332" s="44"/>
      <c r="E332" s="44"/>
      <c r="F332" s="44"/>
      <c r="G332" s="40"/>
    </row>
    <row r="333" spans="1:7" ht="12.75" hidden="1" customHeight="1">
      <c r="A333" s="39" t="s">
        <v>316</v>
      </c>
      <c r="B333" s="45"/>
      <c r="C333" s="44"/>
      <c r="D333" s="44"/>
      <c r="E333" s="44"/>
      <c r="F333" s="44"/>
      <c r="G333" s="40"/>
    </row>
    <row r="334" spans="1:7" ht="12.75" hidden="1" customHeight="1">
      <c r="A334" s="39" t="s">
        <v>317</v>
      </c>
      <c r="B334" s="45"/>
      <c r="C334" s="44"/>
      <c r="D334" s="44"/>
      <c r="E334" s="44"/>
      <c r="F334" s="44"/>
      <c r="G334" s="40"/>
    </row>
    <row r="335" spans="1:7" ht="12.75" hidden="1" customHeight="1">
      <c r="A335" s="39" t="s">
        <v>318</v>
      </c>
      <c r="B335" s="45"/>
      <c r="C335" s="44"/>
      <c r="D335" s="44"/>
      <c r="E335" s="44"/>
      <c r="F335" s="44"/>
      <c r="G335" s="40"/>
    </row>
    <row r="336" spans="1:7" ht="12.75" hidden="1" customHeight="1">
      <c r="A336" s="46" t="s">
        <v>319</v>
      </c>
      <c r="B336" s="45"/>
      <c r="C336" s="44"/>
      <c r="D336" s="44"/>
      <c r="E336" s="44"/>
      <c r="F336" s="44"/>
      <c r="G336" s="40"/>
    </row>
    <row r="337" spans="1:7" ht="12.75" hidden="1" customHeight="1">
      <c r="A337" s="46" t="s">
        <v>320</v>
      </c>
      <c r="B337" s="45"/>
      <c r="C337" s="44"/>
      <c r="D337" s="44"/>
      <c r="E337" s="44"/>
      <c r="F337" s="44"/>
      <c r="G337" s="40"/>
    </row>
    <row r="338" spans="1:7" ht="12.75" hidden="1" customHeight="1">
      <c r="A338" s="46" t="s">
        <v>321</v>
      </c>
      <c r="B338" s="45"/>
      <c r="C338" s="44"/>
      <c r="D338" s="44"/>
      <c r="E338" s="44"/>
      <c r="F338" s="44"/>
      <c r="G338" s="40"/>
    </row>
    <row r="339" spans="1:7" ht="12.75" hidden="1" customHeight="1">
      <c r="A339" s="46" t="s">
        <v>322</v>
      </c>
      <c r="B339" s="45"/>
      <c r="C339" s="44"/>
      <c r="D339" s="44"/>
      <c r="E339" s="44"/>
      <c r="F339" s="44"/>
      <c r="G339" s="40"/>
    </row>
    <row r="340" spans="1:7" ht="12.75" hidden="1" customHeight="1">
      <c r="A340" s="46" t="s">
        <v>323</v>
      </c>
      <c r="B340" s="45"/>
      <c r="C340" s="44"/>
      <c r="D340" s="44"/>
      <c r="E340" s="44"/>
      <c r="F340" s="44"/>
      <c r="G340" s="40"/>
    </row>
    <row r="341" spans="1:7" ht="12.75" hidden="1" customHeight="1">
      <c r="A341" s="46" t="s">
        <v>324</v>
      </c>
      <c r="B341" s="45"/>
      <c r="C341" s="44"/>
      <c r="D341" s="44"/>
      <c r="E341" s="44"/>
      <c r="F341" s="44"/>
      <c r="G341" s="40"/>
    </row>
    <row r="342" spans="1:7" ht="12.75" hidden="1" customHeight="1">
      <c r="A342" s="46" t="s">
        <v>325</v>
      </c>
      <c r="B342" s="45"/>
      <c r="C342" s="44"/>
      <c r="D342" s="44"/>
      <c r="E342" s="44"/>
      <c r="F342" s="44"/>
      <c r="G342" s="40"/>
    </row>
    <row r="343" spans="1:7" ht="12.75" hidden="1" customHeight="1">
      <c r="A343" s="46" t="s">
        <v>326</v>
      </c>
      <c r="B343" s="45"/>
      <c r="C343" s="44"/>
      <c r="D343" s="44"/>
      <c r="E343" s="44"/>
      <c r="F343" s="44"/>
      <c r="G343" s="40"/>
    </row>
    <row r="344" spans="1:7" ht="12.75" hidden="1" customHeight="1">
      <c r="A344" s="46" t="s">
        <v>327</v>
      </c>
      <c r="B344" s="45"/>
      <c r="C344" s="44"/>
      <c r="D344" s="44"/>
      <c r="E344" s="44"/>
      <c r="F344" s="44"/>
      <c r="G344" s="40"/>
    </row>
    <row r="345" spans="1:7" ht="12.75" hidden="1" customHeight="1">
      <c r="A345" s="46" t="s">
        <v>328</v>
      </c>
      <c r="B345" s="45"/>
      <c r="C345" s="44"/>
      <c r="D345" s="44"/>
      <c r="E345" s="44"/>
      <c r="F345" s="44"/>
      <c r="G345" s="40"/>
    </row>
    <row r="346" spans="1:7" ht="12.75" hidden="1" customHeight="1">
      <c r="A346" s="46" t="s">
        <v>329</v>
      </c>
      <c r="B346" s="47"/>
      <c r="C346" s="44"/>
      <c r="D346" s="44"/>
      <c r="E346" s="44"/>
      <c r="F346" s="44"/>
      <c r="G346" s="40"/>
    </row>
    <row r="347" spans="1:7" ht="12.75" hidden="1" customHeight="1">
      <c r="A347" s="46" t="s">
        <v>330</v>
      </c>
      <c r="B347" s="47"/>
      <c r="C347" s="44">
        <v>5863.18</v>
      </c>
      <c r="D347" s="44">
        <v>0</v>
      </c>
      <c r="E347" s="44">
        <v>134236.96</v>
      </c>
      <c r="F347" s="44">
        <v>140100.13999999998</v>
      </c>
      <c r="G347" s="40"/>
    </row>
    <row r="348" spans="1:7" ht="12.75" hidden="1" customHeight="1">
      <c r="A348" s="48" t="s">
        <v>150</v>
      </c>
      <c r="B348" s="48"/>
      <c r="C348" s="49">
        <f>5863.18</f>
        <v>5863.18</v>
      </c>
      <c r="D348" s="50">
        <v>0</v>
      </c>
      <c r="E348" s="50">
        <v>134236.96</v>
      </c>
      <c r="F348" s="50">
        <f>SUM(C348:E348)</f>
        <v>140100.13999999998</v>
      </c>
      <c r="G348" s="40"/>
    </row>
    <row r="349" spans="1:7" ht="12.75" hidden="1" customHeight="1"/>
    <row r="350" spans="1:7" s="127" customFormat="1" ht="12.75" hidden="1" customHeight="1"/>
    <row r="351" spans="1:7" ht="12.75" hidden="1" customHeight="1">
      <c r="A351" s="77" t="s">
        <v>378</v>
      </c>
      <c r="B351" s="39"/>
      <c r="C351" s="78"/>
      <c r="D351" s="78"/>
      <c r="E351" s="78"/>
      <c r="F351" s="78"/>
      <c r="G351" s="40"/>
    </row>
    <row r="352" spans="1:7" ht="12.75" hidden="1" customHeight="1">
      <c r="A352" s="80" t="s">
        <v>337</v>
      </c>
      <c r="B352" s="43" t="s">
        <v>87</v>
      </c>
      <c r="C352" s="78" t="s">
        <v>360</v>
      </c>
      <c r="D352" s="78" t="s">
        <v>339</v>
      </c>
      <c r="E352" s="78" t="s">
        <v>340</v>
      </c>
      <c r="F352" s="78" t="s">
        <v>341</v>
      </c>
      <c r="G352" s="40"/>
    </row>
    <row r="353" spans="1:7" ht="12.75" hidden="1" customHeight="1">
      <c r="A353" s="80" t="s">
        <v>0</v>
      </c>
      <c r="B353" s="81"/>
      <c r="C353" s="81"/>
      <c r="D353" s="81"/>
      <c r="E353" s="81"/>
      <c r="F353" s="81"/>
      <c r="G353" s="40"/>
    </row>
    <row r="354" spans="1:7" ht="12.75" hidden="1" customHeight="1">
      <c r="A354" s="80" t="s">
        <v>342</v>
      </c>
      <c r="B354" s="81"/>
      <c r="C354" s="81">
        <v>5820.1886297376095</v>
      </c>
      <c r="D354" s="81">
        <v>3571.8118075801744</v>
      </c>
      <c r="E354" s="81">
        <v>6005.3795918367341</v>
      </c>
      <c r="F354" s="81">
        <v>15397.380029154518</v>
      </c>
      <c r="G354" s="40"/>
    </row>
    <row r="355" spans="1:7" ht="12.75" hidden="1" customHeight="1">
      <c r="A355" s="80" t="s">
        <v>343</v>
      </c>
      <c r="B355" s="81"/>
      <c r="C355" s="81">
        <v>6731.02</v>
      </c>
      <c r="D355" s="81">
        <v>40186</v>
      </c>
      <c r="E355" s="81">
        <v>94398.57</v>
      </c>
      <c r="F355" s="81">
        <f>SUM(C355:E355)</f>
        <v>141315.59000000003</v>
      </c>
      <c r="G355" s="40"/>
    </row>
    <row r="356" spans="1:7" ht="12.75" hidden="1" customHeight="1">
      <c r="A356" s="80" t="s">
        <v>344</v>
      </c>
      <c r="B356" s="81"/>
      <c r="C356" s="81"/>
      <c r="D356" s="81"/>
      <c r="E356" s="81"/>
      <c r="F356" s="81"/>
      <c r="G356" s="40"/>
    </row>
    <row r="357" spans="1:7" ht="12.75" hidden="1" customHeight="1">
      <c r="A357" s="80" t="s">
        <v>345</v>
      </c>
      <c r="B357" s="81"/>
      <c r="C357" s="81"/>
      <c r="D357" s="81"/>
      <c r="E357" s="81"/>
      <c r="F357" s="81"/>
      <c r="G357" s="40"/>
    </row>
    <row r="358" spans="1:7" ht="12.75" hidden="1" customHeight="1">
      <c r="A358" s="77" t="s">
        <v>346</v>
      </c>
      <c r="B358" s="82"/>
      <c r="C358" s="82"/>
      <c r="D358" s="82"/>
      <c r="E358" s="82"/>
      <c r="F358" s="82"/>
      <c r="G358" s="40"/>
    </row>
    <row r="359" spans="1:7" ht="12.75" hidden="1" customHeight="1">
      <c r="A359" s="276" t="s">
        <v>403</v>
      </c>
      <c r="B359" s="277"/>
      <c r="C359" s="277"/>
      <c r="D359" s="277"/>
      <c r="E359" s="277"/>
      <c r="F359" s="277"/>
      <c r="G359" s="40"/>
    </row>
    <row r="360" spans="1:7" ht="12.75" hidden="1" customHeight="1">
      <c r="A360" s="83"/>
      <c r="B360" s="84"/>
      <c r="C360" s="40"/>
      <c r="D360" s="40"/>
      <c r="E360" s="41"/>
      <c r="F360" s="40"/>
      <c r="G360" s="40"/>
    </row>
    <row r="361" spans="1:7" ht="12.75" hidden="1" customHeight="1">
      <c r="A361" s="85"/>
      <c r="B361" s="84"/>
      <c r="C361" s="40"/>
      <c r="D361" s="40"/>
      <c r="E361" s="41"/>
      <c r="F361" s="40"/>
      <c r="G361" s="40"/>
    </row>
    <row r="362" spans="1:7" ht="12.75" hidden="1" customHeight="1">
      <c r="A362" s="77"/>
      <c r="B362" s="82"/>
      <c r="C362" s="82"/>
      <c r="D362" s="82"/>
      <c r="E362" s="82"/>
      <c r="F362" s="82"/>
      <c r="G362" s="40"/>
    </row>
    <row r="363" spans="1:7" ht="12.75" hidden="1" customHeight="1">
      <c r="A363" s="77" t="s">
        <v>379</v>
      </c>
      <c r="B363" s="43" t="s">
        <v>87</v>
      </c>
      <c r="C363" s="86" t="s">
        <v>88</v>
      </c>
      <c r="D363" s="86" t="s">
        <v>89</v>
      </c>
      <c r="E363" s="86" t="s">
        <v>90</v>
      </c>
      <c r="F363" s="86" t="s">
        <v>91</v>
      </c>
      <c r="G363" s="40"/>
    </row>
    <row r="364" spans="1:7" ht="12.75" hidden="1" customHeight="1">
      <c r="A364" s="87" t="s">
        <v>349</v>
      </c>
      <c r="B364" s="88"/>
      <c r="C364" s="88"/>
      <c r="D364" s="88"/>
      <c r="E364" s="88"/>
      <c r="F364" s="88"/>
      <c r="G364" s="40"/>
    </row>
    <row r="365" spans="1:7" ht="12.75" hidden="1" customHeight="1">
      <c r="A365" s="87" t="s">
        <v>350</v>
      </c>
      <c r="B365" s="88">
        <f>14*48</f>
        <v>672</v>
      </c>
      <c r="C365" s="88">
        <f>B365/B$374*C$371</f>
        <v>162965.28163265306</v>
      </c>
      <c r="D365" s="88">
        <f>B365/B$374*D$371</f>
        <v>100010.73061224488</v>
      </c>
      <c r="E365" s="88">
        <f>B365/B$374*E$371</f>
        <v>168150.62857142856</v>
      </c>
      <c r="F365" s="88">
        <f>SUM(C365:E365)</f>
        <v>431126.64081632649</v>
      </c>
      <c r="G365" s="40"/>
    </row>
    <row r="366" spans="1:7" ht="12.75" hidden="1" customHeight="1">
      <c r="A366" s="87" t="s">
        <v>351</v>
      </c>
      <c r="B366" s="88">
        <f>10*48</f>
        <v>480</v>
      </c>
      <c r="C366" s="88">
        <f>B366/B$374*C$371</f>
        <v>116403.7725947522</v>
      </c>
      <c r="D366" s="88">
        <f>B366/B$374*D$371</f>
        <v>71436.236151603487</v>
      </c>
      <c r="E366" s="88">
        <f>B366/B$374*E$371</f>
        <v>120107.59183673469</v>
      </c>
      <c r="F366" s="88">
        <f>SUM(C366:E366)</f>
        <v>307947.60058309039</v>
      </c>
      <c r="G366" s="40"/>
    </row>
    <row r="367" spans="1:7" ht="12.75" hidden="1" customHeight="1">
      <c r="A367" s="87" t="s">
        <v>352</v>
      </c>
      <c r="B367" s="57"/>
      <c r="C367" s="88">
        <f>B367/B$374*C$371</f>
        <v>0</v>
      </c>
      <c r="D367" s="88">
        <f>B367/B$374*D$371</f>
        <v>0</v>
      </c>
      <c r="E367" s="88">
        <f>B367/B$374*E$371</f>
        <v>0</v>
      </c>
      <c r="F367" s="88">
        <f>SUM(C367:E367)</f>
        <v>0</v>
      </c>
      <c r="G367" s="40"/>
    </row>
    <row r="368" spans="1:7" ht="12.75" hidden="1" customHeight="1">
      <c r="A368" s="87" t="s">
        <v>353</v>
      </c>
      <c r="B368" s="88">
        <f>12*2</f>
        <v>24</v>
      </c>
      <c r="C368" s="88">
        <f>B368/B$374*C$371</f>
        <v>5820.1886297376095</v>
      </c>
      <c r="D368" s="88">
        <f>B368/B$374*D$371</f>
        <v>3571.8118075801744</v>
      </c>
      <c r="E368" s="88">
        <f>B368/B$374*E$371</f>
        <v>6005.3795918367341</v>
      </c>
      <c r="F368" s="88">
        <f>SUM(C368:E368)</f>
        <v>15397.380029154518</v>
      </c>
      <c r="G368" s="40"/>
    </row>
    <row r="369" spans="1:7" ht="12.75" hidden="1" customHeight="1">
      <c r="A369" s="87" t="s">
        <v>354</v>
      </c>
      <c r="B369" s="88"/>
      <c r="C369" s="88"/>
      <c r="D369" s="88"/>
      <c r="E369" s="88"/>
      <c r="F369" s="88"/>
      <c r="G369" s="40"/>
    </row>
    <row r="370" spans="1:7" ht="12.75" hidden="1" customHeight="1">
      <c r="A370" s="87" t="s">
        <v>355</v>
      </c>
      <c r="B370" s="88"/>
      <c r="C370" s="88"/>
      <c r="D370" s="88"/>
      <c r="E370" s="88"/>
      <c r="F370" s="88"/>
      <c r="G370" s="40"/>
    </row>
    <row r="371" spans="1:7" ht="12.75" hidden="1" customHeight="1">
      <c r="A371" s="87" t="s">
        <v>356</v>
      </c>
      <c r="B371" s="88"/>
      <c r="C371" s="88">
        <f>C374-C373</f>
        <v>285189.24285714288</v>
      </c>
      <c r="D371" s="88">
        <f>D374-D373</f>
        <v>175018.77857142856</v>
      </c>
      <c r="E371" s="88">
        <f>E374-E373</f>
        <v>294263.59999999998</v>
      </c>
      <c r="F371" s="57">
        <f>SUM(C371:E371)</f>
        <v>754471.62142857141</v>
      </c>
      <c r="G371" s="40"/>
    </row>
    <row r="372" spans="1:7" ht="12.75" hidden="1" customHeight="1">
      <c r="A372" s="87" t="s">
        <v>357</v>
      </c>
      <c r="B372" s="57"/>
      <c r="C372" s="88"/>
      <c r="D372" s="88"/>
      <c r="E372" s="88"/>
      <c r="F372" s="88"/>
      <c r="G372" s="40"/>
    </row>
    <row r="373" spans="1:7" ht="12.75" hidden="1" customHeight="1">
      <c r="A373" s="87" t="s">
        <v>243</v>
      </c>
      <c r="B373" s="57"/>
      <c r="C373" s="88">
        <f>8/28*C374</f>
        <v>114075.69714285714</v>
      </c>
      <c r="D373" s="88">
        <f>8/28*D374</f>
        <v>70007.511428571423</v>
      </c>
      <c r="E373" s="88">
        <f>8/28*E374</f>
        <v>117705.43999999999</v>
      </c>
      <c r="F373" s="88">
        <f>SUM(C373:E373)</f>
        <v>301788.64857142855</v>
      </c>
      <c r="G373" s="40"/>
    </row>
    <row r="374" spans="1:7" ht="12.75" hidden="1" customHeight="1">
      <c r="A374" s="77" t="s">
        <v>346</v>
      </c>
      <c r="B374" s="82">
        <f>SUM(B365:B373)</f>
        <v>1176</v>
      </c>
      <c r="C374" s="82">
        <f>399264.94</f>
        <v>399264.94</v>
      </c>
      <c r="D374" s="82">
        <f>10386+59633+81473.4+26640.8+1860+45763.03+11448.06+7822</f>
        <v>245026.28999999998</v>
      </c>
      <c r="E374" s="82">
        <f>411969.04</f>
        <v>411969.04</v>
      </c>
      <c r="F374" s="82">
        <f>SUM(C374:E374)</f>
        <v>1056260.27</v>
      </c>
      <c r="G374" s="40"/>
    </row>
    <row r="375" spans="1:7" ht="12.75" hidden="1" customHeight="1">
      <c r="A375" s="85" t="s">
        <v>398</v>
      </c>
      <c r="B375" s="84"/>
      <c r="C375" s="84"/>
      <c r="D375" s="84"/>
      <c r="E375" s="84"/>
      <c r="F375" s="84"/>
      <c r="G375" s="90"/>
    </row>
    <row r="376" spans="1:7" ht="12.75" hidden="1" customHeight="1">
      <c r="A376" s="85" t="s">
        <v>399</v>
      </c>
      <c r="B376" s="84"/>
      <c r="C376" s="84"/>
      <c r="D376" s="84"/>
      <c r="E376" s="84"/>
      <c r="F376" s="84"/>
      <c r="G376" s="90"/>
    </row>
    <row r="377" spans="1:7" ht="12.75" hidden="1" customHeight="1">
      <c r="A377" s="91"/>
      <c r="B377" s="84"/>
      <c r="C377" s="84"/>
      <c r="D377" s="84"/>
      <c r="E377" s="84"/>
      <c r="F377" s="84"/>
      <c r="G377" s="90"/>
    </row>
    <row r="378" spans="1:7" ht="12.75" hidden="1" customHeight="1">
      <c r="A378" s="91"/>
      <c r="B378" s="84"/>
      <c r="C378" s="84">
        <f>C368+C373</f>
        <v>119895.88577259475</v>
      </c>
      <c r="D378" s="84">
        <f>D368+D373</f>
        <v>73579.323236151598</v>
      </c>
      <c r="E378" s="84">
        <f>E368+E373</f>
        <v>123710.81959183673</v>
      </c>
      <c r="F378" s="84"/>
      <c r="G378" s="40"/>
    </row>
    <row r="379" spans="1:7" ht="12.75" hidden="1" customHeight="1">
      <c r="A379" s="83"/>
      <c r="B379" s="92"/>
      <c r="C379" s="92"/>
      <c r="D379" s="92"/>
      <c r="E379" s="92"/>
      <c r="F379" s="92"/>
      <c r="G379" s="40"/>
    </row>
    <row r="380" spans="1:7" ht="12.75" hidden="1" customHeight="1">
      <c r="A380" s="77" t="s">
        <v>380</v>
      </c>
      <c r="B380" s="43" t="s">
        <v>87</v>
      </c>
      <c r="C380" s="78" t="s">
        <v>360</v>
      </c>
      <c r="D380" s="78" t="s">
        <v>339</v>
      </c>
      <c r="E380" s="78" t="s">
        <v>340</v>
      </c>
      <c r="F380" s="78" t="s">
        <v>341</v>
      </c>
      <c r="G380" s="40"/>
    </row>
    <row r="381" spans="1:7" ht="12.75" hidden="1" customHeight="1">
      <c r="A381" s="80" t="s">
        <v>361</v>
      </c>
      <c r="B381" s="93"/>
      <c r="C381" s="94"/>
      <c r="D381" s="94"/>
      <c r="E381" s="94"/>
      <c r="F381" s="94"/>
      <c r="G381" s="40"/>
    </row>
    <row r="382" spans="1:7" ht="12.75" hidden="1" customHeight="1">
      <c r="A382" s="80" t="s">
        <v>362</v>
      </c>
      <c r="B382" s="93"/>
      <c r="C382" s="94"/>
      <c r="D382" s="94"/>
      <c r="E382" s="94"/>
      <c r="F382" s="94"/>
      <c r="G382" s="40"/>
    </row>
    <row r="383" spans="1:7" ht="12.75" hidden="1" customHeight="1">
      <c r="A383" s="80" t="s">
        <v>363</v>
      </c>
      <c r="B383" s="93"/>
      <c r="C383" s="94"/>
      <c r="D383" s="94"/>
      <c r="E383" s="94"/>
      <c r="F383" s="94"/>
      <c r="G383" s="40"/>
    </row>
    <row r="384" spans="1:7" ht="12.75" hidden="1" customHeight="1">
      <c r="A384" s="80" t="s">
        <v>364</v>
      </c>
      <c r="B384" s="93"/>
      <c r="C384" s="94"/>
      <c r="D384" s="94"/>
      <c r="E384" s="94"/>
      <c r="F384" s="94"/>
      <c r="G384" s="40"/>
    </row>
    <row r="385" spans="1:7" ht="12.75" hidden="1" customHeight="1">
      <c r="A385" s="80" t="s">
        <v>365</v>
      </c>
      <c r="B385" s="93"/>
      <c r="C385" s="94"/>
      <c r="D385" s="94"/>
      <c r="E385" s="94"/>
      <c r="F385" s="94"/>
      <c r="G385" s="40"/>
    </row>
    <row r="386" spans="1:7" ht="12.75" hidden="1" customHeight="1">
      <c r="A386" s="80" t="s">
        <v>366</v>
      </c>
      <c r="B386" s="93"/>
      <c r="C386" s="94"/>
      <c r="D386" s="94"/>
      <c r="E386" s="94"/>
      <c r="F386" s="94"/>
      <c r="G386" s="40"/>
    </row>
    <row r="387" spans="1:7" ht="12.75" hidden="1" customHeight="1">
      <c r="A387" s="80" t="s">
        <v>367</v>
      </c>
      <c r="B387" s="93"/>
      <c r="C387" s="94"/>
      <c r="D387" s="94"/>
      <c r="E387" s="94"/>
      <c r="F387" s="94"/>
      <c r="G387" s="40"/>
    </row>
    <row r="388" spans="1:7" ht="12.75" hidden="1" customHeight="1">
      <c r="A388" s="80" t="s">
        <v>368</v>
      </c>
      <c r="B388" s="40"/>
      <c r="C388" s="94"/>
      <c r="D388" s="94"/>
      <c r="E388" s="94"/>
      <c r="F388" s="94"/>
      <c r="G388" s="40"/>
    </row>
    <row r="389" spans="1:7" ht="12.75" hidden="1" customHeight="1">
      <c r="A389" s="80" t="s">
        <v>369</v>
      </c>
      <c r="B389" s="93"/>
      <c r="C389" s="94"/>
      <c r="D389" s="94"/>
      <c r="E389" s="94"/>
      <c r="F389" s="94"/>
      <c r="G389" s="40"/>
    </row>
    <row r="390" spans="1:7" ht="12.75" hidden="1" customHeight="1">
      <c r="A390" s="80" t="s">
        <v>370</v>
      </c>
      <c r="B390" s="93"/>
      <c r="C390" s="94">
        <f>C393</f>
        <v>6443.71</v>
      </c>
      <c r="D390" s="94">
        <f>2/28*D393</f>
        <v>5894.2857142857138</v>
      </c>
      <c r="E390" s="94">
        <f>2/28*E393</f>
        <v>4480.6842857142856</v>
      </c>
      <c r="F390" s="94">
        <f>SUM(C390:E390)</f>
        <v>16818.68</v>
      </c>
      <c r="G390" s="40"/>
    </row>
    <row r="391" spans="1:7" ht="12.75" hidden="1" customHeight="1">
      <c r="A391" s="80" t="s">
        <v>84</v>
      </c>
      <c r="B391" s="93"/>
      <c r="C391" s="94"/>
      <c r="D391" s="94">
        <f>26/28*D393</f>
        <v>76625.71428571429</v>
      </c>
      <c r="E391" s="94"/>
      <c r="F391" s="94">
        <f>SUM(C391:E391)</f>
        <v>76625.71428571429</v>
      </c>
      <c r="G391" s="40"/>
    </row>
    <row r="392" spans="1:7" ht="12.75" hidden="1" customHeight="1">
      <c r="A392" s="80" t="s">
        <v>371</v>
      </c>
      <c r="B392" s="93"/>
      <c r="C392" s="94"/>
      <c r="D392" s="94"/>
      <c r="E392" s="94">
        <f>26/28*E393</f>
        <v>58248.895714285718</v>
      </c>
      <c r="F392" s="94">
        <f>SUM(C392:E392)</f>
        <v>58248.895714285718</v>
      </c>
      <c r="G392" s="40"/>
    </row>
    <row r="393" spans="1:7" ht="12.75" hidden="1" customHeight="1">
      <c r="A393" s="77" t="s">
        <v>346</v>
      </c>
      <c r="B393" s="95"/>
      <c r="C393" s="96">
        <v>6443.71</v>
      </c>
      <c r="D393" s="96">
        <f>79719+2801</f>
        <v>82520</v>
      </c>
      <c r="E393" s="96">
        <v>62729.58</v>
      </c>
      <c r="F393" s="97">
        <f>SUM(C393:E393)</f>
        <v>151693.29</v>
      </c>
      <c r="G393" s="40"/>
    </row>
    <row r="394" spans="1:7" ht="12.75" hidden="1" customHeight="1">
      <c r="A394" s="98" t="s">
        <v>393</v>
      </c>
      <c r="B394" s="99"/>
      <c r="C394" s="100"/>
      <c r="D394" s="100"/>
      <c r="E394" s="100"/>
      <c r="F394" s="100"/>
      <c r="G394" s="40"/>
    </row>
    <row r="395" spans="1:7" ht="12.75" hidden="1" customHeight="1">
      <c r="A395" s="98" t="s">
        <v>394</v>
      </c>
      <c r="B395" s="99"/>
      <c r="C395" s="100"/>
      <c r="D395" s="100"/>
      <c r="E395" s="100"/>
      <c r="F395" s="100"/>
      <c r="G395" s="40"/>
    </row>
    <row r="396" spans="1:7" ht="12.75" hidden="1" customHeight="1">
      <c r="A396" s="98" t="s">
        <v>395</v>
      </c>
      <c r="B396" s="99"/>
      <c r="C396" s="100"/>
      <c r="D396" s="115"/>
      <c r="E396" s="115"/>
      <c r="F396" s="100"/>
      <c r="G396" s="40"/>
    </row>
    <row r="397" spans="1:7" ht="12.75" hidden="1" customHeight="1">
      <c r="A397" s="101" t="s">
        <v>396</v>
      </c>
      <c r="B397" s="92"/>
      <c r="C397" s="92"/>
      <c r="D397" s="115"/>
      <c r="E397" s="116"/>
      <c r="F397" s="92"/>
      <c r="G397" s="40"/>
    </row>
    <row r="398" spans="1:7" ht="12.75" hidden="1" customHeight="1">
      <c r="A398" s="101"/>
      <c r="B398" s="92"/>
      <c r="C398" s="92"/>
      <c r="D398" s="92"/>
      <c r="E398" s="92"/>
      <c r="F398" s="92"/>
      <c r="G398" s="40"/>
    </row>
    <row r="399" spans="1:7" ht="12.75" hidden="1" customHeight="1">
      <c r="A399" s="101"/>
      <c r="B399" s="92"/>
      <c r="C399" s="92"/>
      <c r="D399" s="92"/>
      <c r="E399" s="92"/>
      <c r="F399" s="92"/>
      <c r="G399" s="40"/>
    </row>
    <row r="400" spans="1:7" ht="12.75" hidden="1" customHeight="1">
      <c r="A400" s="77" t="s">
        <v>381</v>
      </c>
      <c r="B400" s="43" t="s">
        <v>87</v>
      </c>
      <c r="C400" s="78" t="s">
        <v>360</v>
      </c>
      <c r="D400" s="78" t="s">
        <v>339</v>
      </c>
      <c r="E400" s="78" t="s">
        <v>340</v>
      </c>
      <c r="F400" s="78" t="s">
        <v>341</v>
      </c>
      <c r="G400" s="40"/>
    </row>
    <row r="401" spans="1:7" ht="12.75" hidden="1" customHeight="1">
      <c r="A401" s="87" t="s">
        <v>382</v>
      </c>
      <c r="B401" s="42">
        <v>2</v>
      </c>
      <c r="C401" s="112">
        <f>B401/B$407*C$407</f>
        <v>6982.926428571428</v>
      </c>
      <c r="D401" s="112">
        <f>C401/C$407*D$407</f>
        <v>6900.659285714285</v>
      </c>
      <c r="E401" s="112">
        <f>D401/D$407*E$407</f>
        <v>6903.8321428571417</v>
      </c>
      <c r="F401" s="112">
        <f t="shared" ref="F401:F407" si="13">SUM(C401:E401)</f>
        <v>20787.417857142857</v>
      </c>
      <c r="G401" s="40"/>
    </row>
    <row r="402" spans="1:7" ht="12.75" hidden="1" customHeight="1">
      <c r="A402" s="87" t="s">
        <v>383</v>
      </c>
      <c r="B402" s="42">
        <v>1</v>
      </c>
      <c r="C402" s="112">
        <f t="shared" ref="C402:E406" si="14">B402/B$407*C$407</f>
        <v>3491.463214285714</v>
      </c>
      <c r="D402" s="112">
        <f t="shared" si="14"/>
        <v>3450.3296428571425</v>
      </c>
      <c r="E402" s="112">
        <f t="shared" si="14"/>
        <v>3451.9160714285708</v>
      </c>
      <c r="F402" s="112">
        <f t="shared" si="13"/>
        <v>10393.708928571428</v>
      </c>
      <c r="G402" s="40"/>
    </row>
    <row r="403" spans="1:7" ht="12.75" hidden="1" customHeight="1">
      <c r="A403" s="80" t="s">
        <v>384</v>
      </c>
      <c r="B403" s="93">
        <v>3</v>
      </c>
      <c r="C403" s="112">
        <f t="shared" si="14"/>
        <v>10474.389642857142</v>
      </c>
      <c r="D403" s="112">
        <f t="shared" si="14"/>
        <v>10350.988928571427</v>
      </c>
      <c r="E403" s="112">
        <f t="shared" si="14"/>
        <v>10355.748214285713</v>
      </c>
      <c r="F403" s="112">
        <f t="shared" si="13"/>
        <v>31181.126785714281</v>
      </c>
      <c r="G403" s="40"/>
    </row>
    <row r="404" spans="1:7" ht="12.75" hidden="1" customHeight="1">
      <c r="A404" s="111" t="s">
        <v>387</v>
      </c>
      <c r="B404" s="93">
        <v>5</v>
      </c>
      <c r="C404" s="112">
        <f t="shared" si="14"/>
        <v>17457.316071428573</v>
      </c>
      <c r="D404" s="112">
        <f t="shared" si="14"/>
        <v>17251.648214285713</v>
      </c>
      <c r="E404" s="112">
        <f t="shared" si="14"/>
        <v>17259.580357142855</v>
      </c>
      <c r="F404" s="112">
        <f t="shared" si="13"/>
        <v>51968.544642857145</v>
      </c>
      <c r="G404" s="40"/>
    </row>
    <row r="405" spans="1:7" ht="12.75" hidden="1" customHeight="1">
      <c r="A405" s="111" t="s">
        <v>388</v>
      </c>
      <c r="B405" s="93">
        <v>6</v>
      </c>
      <c r="C405" s="112">
        <f t="shared" si="14"/>
        <v>20948.779285714285</v>
      </c>
      <c r="D405" s="112">
        <f t="shared" si="14"/>
        <v>20701.977857142854</v>
      </c>
      <c r="E405" s="112">
        <f t="shared" si="14"/>
        <v>20711.496428571427</v>
      </c>
      <c r="F405" s="112">
        <f t="shared" si="13"/>
        <v>62362.253571428562</v>
      </c>
      <c r="G405" s="40"/>
    </row>
    <row r="406" spans="1:7" ht="12.75" hidden="1" customHeight="1">
      <c r="A406" s="111" t="s">
        <v>389</v>
      </c>
      <c r="B406" s="93">
        <v>11</v>
      </c>
      <c r="C406" s="112">
        <f t="shared" si="14"/>
        <v>38406.095357142854</v>
      </c>
      <c r="D406" s="112">
        <f t="shared" si="14"/>
        <v>37953.626071428567</v>
      </c>
      <c r="E406" s="112">
        <f t="shared" si="14"/>
        <v>37971.076785714286</v>
      </c>
      <c r="F406" s="112">
        <f t="shared" si="13"/>
        <v>114330.79821428569</v>
      </c>
      <c r="G406" s="40"/>
    </row>
    <row r="407" spans="1:7" ht="12.75" hidden="1" customHeight="1">
      <c r="A407" s="77" t="s">
        <v>346</v>
      </c>
      <c r="B407" s="95">
        <f>SUM(B401:B406)</f>
        <v>28</v>
      </c>
      <c r="C407" s="108">
        <f>97760.97</f>
        <v>97760.97</v>
      </c>
      <c r="D407" s="108">
        <f>47291.8+33475.6+12319.35+3522.48</f>
        <v>96609.23</v>
      </c>
      <c r="E407" s="108">
        <f>25781.95+70871.7</f>
        <v>96653.65</v>
      </c>
      <c r="F407" s="108">
        <f t="shared" si="13"/>
        <v>291023.84999999998</v>
      </c>
      <c r="G407" s="40"/>
    </row>
    <row r="408" spans="1:7" ht="12.75" hidden="1" customHeight="1">
      <c r="A408" s="114" t="s">
        <v>391</v>
      </c>
      <c r="B408" s="103"/>
      <c r="C408" s="104"/>
      <c r="D408" s="104"/>
      <c r="E408" s="104"/>
      <c r="F408" s="104"/>
      <c r="G408" s="40"/>
    </row>
    <row r="409" spans="1:7" ht="12.75" hidden="1" customHeight="1">
      <c r="A409" s="102" t="s">
        <v>392</v>
      </c>
      <c r="B409" s="103"/>
      <c r="C409" s="104"/>
      <c r="D409" s="104"/>
      <c r="E409" s="104"/>
      <c r="F409" s="104"/>
      <c r="G409" s="40"/>
    </row>
    <row r="410" spans="1:7" ht="12.75" hidden="1" customHeight="1">
      <c r="A410" s="105"/>
      <c r="B410" s="103"/>
      <c r="C410" s="104"/>
      <c r="D410" s="104"/>
      <c r="E410" s="104"/>
      <c r="F410" s="104"/>
      <c r="G410" s="40"/>
    </row>
    <row r="411" spans="1:7" ht="12.75" hidden="1" customHeight="1">
      <c r="A411" s="269" t="s">
        <v>331</v>
      </c>
      <c r="B411" s="269"/>
      <c r="C411" s="269"/>
      <c r="D411" s="269"/>
      <c r="E411" s="269"/>
      <c r="F411" s="269"/>
      <c r="G411" s="40"/>
    </row>
    <row r="412" spans="1:7" ht="12.75" hidden="1" customHeight="1">
      <c r="A412" s="42" t="s">
        <v>86</v>
      </c>
      <c r="B412" s="43" t="s">
        <v>87</v>
      </c>
      <c r="C412" s="43" t="s">
        <v>88</v>
      </c>
      <c r="D412" s="43" t="s">
        <v>89</v>
      </c>
      <c r="E412" s="43" t="s">
        <v>90</v>
      </c>
      <c r="F412" s="43" t="s">
        <v>91</v>
      </c>
      <c r="G412" s="40"/>
    </row>
    <row r="413" spans="1:7" ht="12.75" hidden="1" customHeight="1">
      <c r="A413" s="39" t="s">
        <v>1</v>
      </c>
      <c r="B413" s="43"/>
      <c r="C413" s="44"/>
      <c r="D413" s="44"/>
      <c r="E413" s="44"/>
      <c r="F413" s="44"/>
      <c r="G413" s="40"/>
    </row>
    <row r="414" spans="1:7" ht="12.75" hidden="1" customHeight="1">
      <c r="A414" s="39" t="s">
        <v>2</v>
      </c>
      <c r="B414" s="43">
        <v>17.5</v>
      </c>
      <c r="C414" s="66">
        <f>B414/B$467*C$467</f>
        <v>22178.886344537816</v>
      </c>
      <c r="D414" s="66">
        <f>C414/C$467*D$467</f>
        <v>50310.410364145653</v>
      </c>
      <c r="E414" s="66">
        <f>D414/D$467*E$467</f>
        <v>20006.16988795518</v>
      </c>
      <c r="F414" s="44">
        <f>SUM(C414:E414)</f>
        <v>92495.466596638653</v>
      </c>
      <c r="G414" s="40"/>
    </row>
    <row r="415" spans="1:7" ht="12.75" hidden="1" customHeight="1">
      <c r="A415" s="39" t="s">
        <v>92</v>
      </c>
      <c r="B415" s="43"/>
      <c r="C415" s="44">
        <f t="shared" ref="C415:E462" si="15">B415/B$467*C$467</f>
        <v>0</v>
      </c>
      <c r="D415" s="44">
        <f t="shared" si="15"/>
        <v>0</v>
      </c>
      <c r="E415" s="44">
        <f t="shared" si="15"/>
        <v>0</v>
      </c>
      <c r="F415" s="44">
        <f t="shared" ref="F415:F462" si="16">SUM(C415:E415)</f>
        <v>0</v>
      </c>
      <c r="G415" s="40"/>
    </row>
    <row r="416" spans="1:7" ht="12.75" hidden="1" customHeight="1">
      <c r="A416" s="39" t="s">
        <v>93</v>
      </c>
      <c r="B416" s="43"/>
      <c r="C416" s="44">
        <f t="shared" si="15"/>
        <v>0</v>
      </c>
      <c r="D416" s="44">
        <f t="shared" si="15"/>
        <v>0</v>
      </c>
      <c r="E416" s="44">
        <f t="shared" si="15"/>
        <v>0</v>
      </c>
      <c r="F416" s="44">
        <f t="shared" si="16"/>
        <v>0</v>
      </c>
      <c r="G416" s="40"/>
    </row>
    <row r="417" spans="1:7" ht="12.75" hidden="1" customHeight="1">
      <c r="A417" s="39" t="s">
        <v>94</v>
      </c>
      <c r="B417" s="43"/>
      <c r="C417" s="44">
        <f t="shared" si="15"/>
        <v>0</v>
      </c>
      <c r="D417" s="44">
        <f t="shared" si="15"/>
        <v>0</v>
      </c>
      <c r="E417" s="44">
        <f t="shared" si="15"/>
        <v>0</v>
      </c>
      <c r="F417" s="44">
        <f t="shared" si="16"/>
        <v>0</v>
      </c>
      <c r="G417" s="40"/>
    </row>
    <row r="418" spans="1:7" ht="12.75" hidden="1" customHeight="1">
      <c r="A418" s="39" t="s">
        <v>95</v>
      </c>
      <c r="B418" s="43"/>
      <c r="C418" s="44">
        <f t="shared" si="15"/>
        <v>0</v>
      </c>
      <c r="D418" s="44">
        <f t="shared" si="15"/>
        <v>0</v>
      </c>
      <c r="E418" s="44">
        <f t="shared" si="15"/>
        <v>0</v>
      </c>
      <c r="F418" s="44">
        <f t="shared" si="16"/>
        <v>0</v>
      </c>
      <c r="G418" s="40"/>
    </row>
    <row r="419" spans="1:7" ht="12.75" hidden="1" customHeight="1">
      <c r="A419" s="39" t="s">
        <v>96</v>
      </c>
      <c r="B419" s="43"/>
      <c r="C419" s="44">
        <f t="shared" si="15"/>
        <v>0</v>
      </c>
      <c r="D419" s="44">
        <f t="shared" si="15"/>
        <v>0</v>
      </c>
      <c r="E419" s="44">
        <f t="shared" si="15"/>
        <v>0</v>
      </c>
      <c r="F419" s="44">
        <f t="shared" si="16"/>
        <v>0</v>
      </c>
      <c r="G419" s="40"/>
    </row>
    <row r="420" spans="1:7" ht="12.75" hidden="1" customHeight="1">
      <c r="A420" s="39" t="s">
        <v>97</v>
      </c>
      <c r="B420" s="43"/>
      <c r="C420" s="44">
        <f t="shared" si="15"/>
        <v>0</v>
      </c>
      <c r="D420" s="44">
        <f t="shared" si="15"/>
        <v>0</v>
      </c>
      <c r="E420" s="44">
        <f t="shared" si="15"/>
        <v>0</v>
      </c>
      <c r="F420" s="44">
        <f t="shared" si="16"/>
        <v>0</v>
      </c>
      <c r="G420" s="40"/>
    </row>
    <row r="421" spans="1:7" ht="12.75" hidden="1" customHeight="1">
      <c r="A421" s="39" t="s">
        <v>98</v>
      </c>
      <c r="B421" s="43"/>
      <c r="C421" s="44">
        <f t="shared" si="15"/>
        <v>0</v>
      </c>
      <c r="D421" s="44">
        <f t="shared" si="15"/>
        <v>0</v>
      </c>
      <c r="E421" s="44">
        <f t="shared" si="15"/>
        <v>0</v>
      </c>
      <c r="F421" s="44">
        <f t="shared" si="16"/>
        <v>0</v>
      </c>
      <c r="G421" s="40"/>
    </row>
    <row r="422" spans="1:7" ht="12.75" hidden="1" customHeight="1">
      <c r="A422" s="39" t="s">
        <v>99</v>
      </c>
      <c r="B422" s="43"/>
      <c r="C422" s="44">
        <f t="shared" si="15"/>
        <v>0</v>
      </c>
      <c r="D422" s="44">
        <f t="shared" si="15"/>
        <v>0</v>
      </c>
      <c r="E422" s="44">
        <f t="shared" si="15"/>
        <v>0</v>
      </c>
      <c r="F422" s="44">
        <f t="shared" si="16"/>
        <v>0</v>
      </c>
      <c r="G422" s="40"/>
    </row>
    <row r="423" spans="1:7" ht="12.75" hidden="1" customHeight="1">
      <c r="A423" s="39" t="s">
        <v>100</v>
      </c>
      <c r="B423" s="45"/>
      <c r="C423" s="44">
        <f t="shared" si="15"/>
        <v>0</v>
      </c>
      <c r="D423" s="44">
        <f t="shared" si="15"/>
        <v>0</v>
      </c>
      <c r="E423" s="44">
        <f t="shared" si="15"/>
        <v>0</v>
      </c>
      <c r="F423" s="44">
        <f t="shared" si="16"/>
        <v>0</v>
      </c>
      <c r="G423" s="40"/>
    </row>
    <row r="424" spans="1:7" ht="12.75" hidden="1" customHeight="1">
      <c r="A424" s="39" t="s">
        <v>101</v>
      </c>
      <c r="B424" s="43">
        <v>20</v>
      </c>
      <c r="C424" s="66">
        <f t="shared" si="15"/>
        <v>25347.298679471791</v>
      </c>
      <c r="D424" s="66">
        <f t="shared" si="15"/>
        <v>57497.611844737898</v>
      </c>
      <c r="E424" s="66">
        <f t="shared" si="15"/>
        <v>22864.194157663063</v>
      </c>
      <c r="F424" s="44">
        <f t="shared" si="16"/>
        <v>105709.10468187275</v>
      </c>
      <c r="G424" s="40"/>
    </row>
    <row r="425" spans="1:7" ht="12.75" hidden="1" customHeight="1">
      <c r="A425" s="39" t="s">
        <v>102</v>
      </c>
      <c r="B425" s="43"/>
      <c r="C425" s="44">
        <f t="shared" si="15"/>
        <v>0</v>
      </c>
      <c r="D425" s="44">
        <f t="shared" si="15"/>
        <v>0</v>
      </c>
      <c r="E425" s="44">
        <f t="shared" si="15"/>
        <v>0</v>
      </c>
      <c r="F425" s="44">
        <f t="shared" si="16"/>
        <v>0</v>
      </c>
      <c r="G425" s="40"/>
    </row>
    <row r="426" spans="1:7" ht="12.75" hidden="1" customHeight="1">
      <c r="A426" s="39" t="s">
        <v>103</v>
      </c>
      <c r="B426" s="43"/>
      <c r="C426" s="44">
        <f t="shared" si="15"/>
        <v>0</v>
      </c>
      <c r="D426" s="44">
        <f t="shared" si="15"/>
        <v>0</v>
      </c>
      <c r="E426" s="44">
        <f t="shared" si="15"/>
        <v>0</v>
      </c>
      <c r="F426" s="44">
        <f t="shared" si="16"/>
        <v>0</v>
      </c>
      <c r="G426" s="40"/>
    </row>
    <row r="427" spans="1:7" ht="12.75" hidden="1" customHeight="1">
      <c r="A427" s="39" t="s">
        <v>104</v>
      </c>
      <c r="B427" s="41"/>
      <c r="C427" s="44">
        <f t="shared" si="15"/>
        <v>0</v>
      </c>
      <c r="D427" s="44">
        <f t="shared" si="15"/>
        <v>0</v>
      </c>
      <c r="E427" s="44">
        <f t="shared" si="15"/>
        <v>0</v>
      </c>
      <c r="F427" s="44">
        <f t="shared" si="16"/>
        <v>0</v>
      </c>
      <c r="G427" s="40"/>
    </row>
    <row r="428" spans="1:7" ht="12.75" hidden="1" customHeight="1">
      <c r="A428" s="39" t="s">
        <v>105</v>
      </c>
      <c r="B428" s="43"/>
      <c r="C428" s="44">
        <f t="shared" si="15"/>
        <v>0</v>
      </c>
      <c r="D428" s="44">
        <f t="shared" si="15"/>
        <v>0</v>
      </c>
      <c r="E428" s="44">
        <f t="shared" si="15"/>
        <v>0</v>
      </c>
      <c r="F428" s="44">
        <f t="shared" si="16"/>
        <v>0</v>
      </c>
      <c r="G428" s="40"/>
    </row>
    <row r="429" spans="1:7" ht="12.75" hidden="1" customHeight="1">
      <c r="A429" s="39" t="s">
        <v>106</v>
      </c>
      <c r="B429" s="43"/>
      <c r="C429" s="44">
        <f t="shared" si="15"/>
        <v>0</v>
      </c>
      <c r="D429" s="44">
        <f t="shared" si="15"/>
        <v>0</v>
      </c>
      <c r="E429" s="44">
        <f t="shared" si="15"/>
        <v>0</v>
      </c>
      <c r="F429" s="44">
        <f t="shared" si="16"/>
        <v>0</v>
      </c>
      <c r="G429" s="40"/>
    </row>
    <row r="430" spans="1:7" ht="12.75" hidden="1" customHeight="1">
      <c r="A430" s="39" t="s">
        <v>107</v>
      </c>
      <c r="B430" s="43"/>
      <c r="C430" s="44">
        <f t="shared" si="15"/>
        <v>0</v>
      </c>
      <c r="D430" s="44">
        <f t="shared" si="15"/>
        <v>0</v>
      </c>
      <c r="E430" s="44">
        <f t="shared" si="15"/>
        <v>0</v>
      </c>
      <c r="F430" s="44">
        <f t="shared" si="16"/>
        <v>0</v>
      </c>
      <c r="G430" s="40"/>
    </row>
    <row r="431" spans="1:7" ht="12.75" hidden="1" customHeight="1">
      <c r="A431" s="39" t="s">
        <v>108</v>
      </c>
      <c r="B431" s="45"/>
      <c r="C431" s="44">
        <f t="shared" si="15"/>
        <v>0</v>
      </c>
      <c r="D431" s="44">
        <f t="shared" si="15"/>
        <v>0</v>
      </c>
      <c r="E431" s="44">
        <f t="shared" si="15"/>
        <v>0</v>
      </c>
      <c r="F431" s="44">
        <f t="shared" si="16"/>
        <v>0</v>
      </c>
      <c r="G431" s="40"/>
    </row>
    <row r="432" spans="1:7" ht="12.75" hidden="1" customHeight="1">
      <c r="A432" s="39" t="s">
        <v>109</v>
      </c>
      <c r="B432" s="43">
        <v>10.5</v>
      </c>
      <c r="C432" s="66">
        <f t="shared" si="15"/>
        <v>13307.33180672269</v>
      </c>
      <c r="D432" s="66">
        <f t="shared" si="15"/>
        <v>30186.246218487398</v>
      </c>
      <c r="E432" s="66">
        <f t="shared" si="15"/>
        <v>12003.70193277311</v>
      </c>
      <c r="F432" s="44">
        <f t="shared" si="16"/>
        <v>55497.279957983199</v>
      </c>
      <c r="G432" s="40"/>
    </row>
    <row r="433" spans="1:7" ht="12.75" hidden="1" customHeight="1">
      <c r="A433" s="39" t="s">
        <v>110</v>
      </c>
      <c r="B433" s="43">
        <v>43.5</v>
      </c>
      <c r="C433" s="66">
        <f t="shared" si="15"/>
        <v>55130.374627851139</v>
      </c>
      <c r="D433" s="66">
        <f t="shared" si="15"/>
        <v>125057.30576230491</v>
      </c>
      <c r="E433" s="66">
        <f t="shared" si="15"/>
        <v>49729.622292917164</v>
      </c>
      <c r="F433" s="44">
        <f t="shared" si="16"/>
        <v>229917.30268307321</v>
      </c>
      <c r="G433" s="40"/>
    </row>
    <row r="434" spans="1:7" ht="12.75" hidden="1" customHeight="1">
      <c r="A434" s="39" t="s">
        <v>407</v>
      </c>
      <c r="B434" s="45">
        <v>8</v>
      </c>
      <c r="C434" s="66">
        <f t="shared" si="15"/>
        <v>10138.919471788717</v>
      </c>
      <c r="D434" s="66">
        <f t="shared" si="15"/>
        <v>22999.044737895161</v>
      </c>
      <c r="E434" s="66">
        <f t="shared" si="15"/>
        <v>9145.6776630652275</v>
      </c>
      <c r="F434" s="44">
        <f t="shared" si="16"/>
        <v>42283.641872749111</v>
      </c>
      <c r="G434" s="40"/>
    </row>
    <row r="435" spans="1:7" ht="12.75" hidden="1" customHeight="1">
      <c r="A435" s="39" t="s">
        <v>408</v>
      </c>
      <c r="B435" s="45"/>
      <c r="C435" s="44">
        <f t="shared" si="15"/>
        <v>0</v>
      </c>
      <c r="D435" s="44">
        <f t="shared" si="15"/>
        <v>0</v>
      </c>
      <c r="E435" s="44">
        <f t="shared" si="15"/>
        <v>0</v>
      </c>
      <c r="F435" s="44">
        <f t="shared" si="16"/>
        <v>0</v>
      </c>
      <c r="G435" s="40"/>
    </row>
    <row r="436" spans="1:7" ht="12.75" hidden="1" customHeight="1">
      <c r="A436" s="39" t="s">
        <v>409</v>
      </c>
      <c r="B436" s="43">
        <v>4</v>
      </c>
      <c r="C436" s="66">
        <f t="shared" si="15"/>
        <v>5069.4597358943583</v>
      </c>
      <c r="D436" s="66">
        <f t="shared" si="15"/>
        <v>11499.522368947581</v>
      </c>
      <c r="E436" s="66">
        <f t="shared" si="15"/>
        <v>4572.8388315326138</v>
      </c>
      <c r="F436" s="44">
        <f t="shared" si="16"/>
        <v>21141.820936374555</v>
      </c>
      <c r="G436" s="40"/>
    </row>
    <row r="437" spans="1:7" ht="12.75" hidden="1" customHeight="1">
      <c r="A437" s="39" t="s">
        <v>114</v>
      </c>
      <c r="B437" s="43"/>
      <c r="C437" s="44">
        <f t="shared" si="15"/>
        <v>0</v>
      </c>
      <c r="D437" s="44">
        <f t="shared" si="15"/>
        <v>0</v>
      </c>
      <c r="E437" s="44">
        <f t="shared" si="15"/>
        <v>0</v>
      </c>
      <c r="F437" s="44">
        <f t="shared" si="16"/>
        <v>0</v>
      </c>
      <c r="G437" s="40"/>
    </row>
    <row r="438" spans="1:7" ht="12.75" hidden="1" customHeight="1">
      <c r="A438" s="39" t="s">
        <v>115</v>
      </c>
      <c r="B438" s="43"/>
      <c r="C438" s="44">
        <f t="shared" si="15"/>
        <v>0</v>
      </c>
      <c r="D438" s="44">
        <f t="shared" si="15"/>
        <v>0</v>
      </c>
      <c r="E438" s="44">
        <f t="shared" si="15"/>
        <v>0</v>
      </c>
      <c r="F438" s="44">
        <f t="shared" si="16"/>
        <v>0</v>
      </c>
      <c r="G438" s="40"/>
    </row>
    <row r="439" spans="1:7" ht="12.75" hidden="1" customHeight="1">
      <c r="A439" s="39" t="s">
        <v>116</v>
      </c>
      <c r="B439" s="43"/>
      <c r="C439" s="44">
        <f t="shared" si="15"/>
        <v>0</v>
      </c>
      <c r="D439" s="44">
        <f t="shared" si="15"/>
        <v>0</v>
      </c>
      <c r="E439" s="44">
        <f t="shared" si="15"/>
        <v>0</v>
      </c>
      <c r="F439" s="44">
        <f t="shared" si="16"/>
        <v>0</v>
      </c>
      <c r="G439" s="40"/>
    </row>
    <row r="440" spans="1:7" ht="12.75" hidden="1" customHeight="1">
      <c r="A440" s="39" t="s">
        <v>117</v>
      </c>
      <c r="B440" s="43"/>
      <c r="C440" s="44">
        <f t="shared" si="15"/>
        <v>0</v>
      </c>
      <c r="D440" s="44">
        <f t="shared" si="15"/>
        <v>0</v>
      </c>
      <c r="E440" s="44">
        <f t="shared" si="15"/>
        <v>0</v>
      </c>
      <c r="F440" s="44">
        <f t="shared" si="16"/>
        <v>0</v>
      </c>
      <c r="G440" s="40"/>
    </row>
    <row r="441" spans="1:7" ht="12.75" hidden="1" customHeight="1">
      <c r="A441" s="39" t="s">
        <v>118</v>
      </c>
      <c r="B441" s="45"/>
      <c r="C441" s="44">
        <f t="shared" si="15"/>
        <v>0</v>
      </c>
      <c r="D441" s="44">
        <f t="shared" si="15"/>
        <v>0</v>
      </c>
      <c r="E441" s="44">
        <f t="shared" si="15"/>
        <v>0</v>
      </c>
      <c r="F441" s="44">
        <f t="shared" si="16"/>
        <v>0</v>
      </c>
      <c r="G441" s="40"/>
    </row>
    <row r="442" spans="1:7" ht="12.75" hidden="1" customHeight="1">
      <c r="A442" s="39" t="s">
        <v>119</v>
      </c>
      <c r="B442" s="43"/>
      <c r="C442" s="44">
        <f t="shared" si="15"/>
        <v>0</v>
      </c>
      <c r="D442" s="44">
        <f t="shared" si="15"/>
        <v>0</v>
      </c>
      <c r="E442" s="44">
        <f t="shared" si="15"/>
        <v>0</v>
      </c>
      <c r="F442" s="44">
        <f t="shared" si="16"/>
        <v>0</v>
      </c>
      <c r="G442" s="40"/>
    </row>
    <row r="443" spans="1:7" ht="12.75" hidden="1" customHeight="1">
      <c r="A443" s="39" t="s">
        <v>120</v>
      </c>
      <c r="B443" s="45">
        <v>11</v>
      </c>
      <c r="C443" s="66">
        <f t="shared" si="15"/>
        <v>13941.014273709485</v>
      </c>
      <c r="D443" s="66">
        <f t="shared" si="15"/>
        <v>31623.686514605844</v>
      </c>
      <c r="E443" s="66">
        <f t="shared" si="15"/>
        <v>12575.306786714686</v>
      </c>
      <c r="F443" s="44">
        <f t="shared" si="16"/>
        <v>58140.007575030017</v>
      </c>
      <c r="G443" s="40"/>
    </row>
    <row r="444" spans="1:7" ht="12.75" hidden="1" customHeight="1">
      <c r="A444" s="39" t="s">
        <v>121</v>
      </c>
      <c r="B444" s="45"/>
      <c r="C444" s="44">
        <f t="shared" si="15"/>
        <v>0</v>
      </c>
      <c r="D444" s="44">
        <f t="shared" si="15"/>
        <v>0</v>
      </c>
      <c r="E444" s="44">
        <f t="shared" si="15"/>
        <v>0</v>
      </c>
      <c r="F444" s="44">
        <f t="shared" si="16"/>
        <v>0</v>
      </c>
      <c r="G444" s="40"/>
    </row>
    <row r="445" spans="1:7" ht="12.75" hidden="1" customHeight="1">
      <c r="A445" s="39" t="s">
        <v>122</v>
      </c>
      <c r="B445" s="43">
        <v>11.5</v>
      </c>
      <c r="C445" s="66">
        <f t="shared" si="15"/>
        <v>14574.696740696278</v>
      </c>
      <c r="D445" s="66">
        <f t="shared" si="15"/>
        <v>33061.126810724287</v>
      </c>
      <c r="E445" s="66">
        <f t="shared" si="15"/>
        <v>13146.911640656261</v>
      </c>
      <c r="F445" s="44">
        <f t="shared" si="16"/>
        <v>60782.735192076827</v>
      </c>
      <c r="G445" s="40"/>
    </row>
    <row r="446" spans="1:7" ht="12.75" hidden="1" customHeight="1">
      <c r="A446" s="39" t="s">
        <v>123</v>
      </c>
      <c r="B446" s="43"/>
      <c r="C446" s="44">
        <f t="shared" si="15"/>
        <v>0</v>
      </c>
      <c r="D446" s="44">
        <f t="shared" si="15"/>
        <v>0</v>
      </c>
      <c r="E446" s="44">
        <f t="shared" si="15"/>
        <v>0</v>
      </c>
      <c r="F446" s="44">
        <f t="shared" si="16"/>
        <v>0</v>
      </c>
      <c r="G446" s="40"/>
    </row>
    <row r="447" spans="1:7" ht="12.75" hidden="1" customHeight="1">
      <c r="A447" s="39" t="s">
        <v>124</v>
      </c>
      <c r="B447" s="43">
        <v>7</v>
      </c>
      <c r="C447" s="66">
        <f t="shared" si="15"/>
        <v>8871.5545378151255</v>
      </c>
      <c r="D447" s="66">
        <f t="shared" si="15"/>
        <v>20124.164145658262</v>
      </c>
      <c r="E447" s="66">
        <f t="shared" si="15"/>
        <v>8002.4679551820727</v>
      </c>
      <c r="F447" s="44">
        <f t="shared" si="16"/>
        <v>36998.186638655461</v>
      </c>
      <c r="G447" s="40"/>
    </row>
    <row r="448" spans="1:7" ht="12.75" hidden="1" customHeight="1">
      <c r="A448" s="39" t="s">
        <v>125</v>
      </c>
      <c r="B448" s="43"/>
      <c r="C448" s="44">
        <f t="shared" si="15"/>
        <v>0</v>
      </c>
      <c r="D448" s="44">
        <f t="shared" si="15"/>
        <v>0</v>
      </c>
      <c r="E448" s="44">
        <f t="shared" si="15"/>
        <v>0</v>
      </c>
      <c r="F448" s="44">
        <f t="shared" si="16"/>
        <v>0</v>
      </c>
      <c r="G448" s="40"/>
    </row>
    <row r="449" spans="1:7" ht="12.75" hidden="1" customHeight="1">
      <c r="A449" s="39" t="s">
        <v>126</v>
      </c>
      <c r="B449" s="45"/>
      <c r="C449" s="44">
        <f t="shared" si="15"/>
        <v>0</v>
      </c>
      <c r="D449" s="44">
        <f t="shared" si="15"/>
        <v>0</v>
      </c>
      <c r="E449" s="44">
        <f t="shared" si="15"/>
        <v>0</v>
      </c>
      <c r="F449" s="44">
        <f t="shared" si="16"/>
        <v>0</v>
      </c>
      <c r="G449" s="40"/>
    </row>
    <row r="450" spans="1:7" ht="12.75" hidden="1" customHeight="1">
      <c r="A450" s="39" t="s">
        <v>127</v>
      </c>
      <c r="B450" s="43"/>
      <c r="C450" s="44">
        <f t="shared" si="15"/>
        <v>0</v>
      </c>
      <c r="D450" s="44">
        <f t="shared" si="15"/>
        <v>0</v>
      </c>
      <c r="E450" s="44">
        <f t="shared" si="15"/>
        <v>0</v>
      </c>
      <c r="F450" s="44">
        <f t="shared" si="16"/>
        <v>0</v>
      </c>
      <c r="G450" s="40"/>
    </row>
    <row r="451" spans="1:7" ht="12.75" hidden="1" customHeight="1">
      <c r="A451" s="39" t="s">
        <v>128</v>
      </c>
      <c r="B451" s="43"/>
      <c r="C451" s="44">
        <f t="shared" si="15"/>
        <v>0</v>
      </c>
      <c r="D451" s="44">
        <f t="shared" si="15"/>
        <v>0</v>
      </c>
      <c r="E451" s="44">
        <f t="shared" si="15"/>
        <v>0</v>
      </c>
      <c r="F451" s="44">
        <f t="shared" si="16"/>
        <v>0</v>
      </c>
      <c r="G451" s="40"/>
    </row>
    <row r="452" spans="1:7" ht="12.75" hidden="1" customHeight="1">
      <c r="A452" s="39" t="s">
        <v>129</v>
      </c>
      <c r="B452" s="45"/>
      <c r="C452" s="44">
        <f t="shared" si="15"/>
        <v>0</v>
      </c>
      <c r="D452" s="44">
        <f t="shared" si="15"/>
        <v>0</v>
      </c>
      <c r="E452" s="44">
        <f t="shared" si="15"/>
        <v>0</v>
      </c>
      <c r="F452" s="44">
        <f t="shared" si="16"/>
        <v>0</v>
      </c>
      <c r="G452" s="40"/>
    </row>
    <row r="453" spans="1:7" ht="12.75" hidden="1" customHeight="1">
      <c r="A453" s="39" t="s">
        <v>130</v>
      </c>
      <c r="B453" s="45"/>
      <c r="C453" s="44">
        <f t="shared" si="15"/>
        <v>0</v>
      </c>
      <c r="D453" s="44">
        <f t="shared" si="15"/>
        <v>0</v>
      </c>
      <c r="E453" s="44">
        <f t="shared" si="15"/>
        <v>0</v>
      </c>
      <c r="F453" s="44">
        <f t="shared" si="16"/>
        <v>0</v>
      </c>
      <c r="G453" s="40"/>
    </row>
    <row r="454" spans="1:7" ht="12.75" hidden="1" customHeight="1">
      <c r="A454" s="39" t="s">
        <v>131</v>
      </c>
      <c r="B454" s="45"/>
      <c r="C454" s="44">
        <f t="shared" si="15"/>
        <v>0</v>
      </c>
      <c r="D454" s="44">
        <f t="shared" si="15"/>
        <v>0</v>
      </c>
      <c r="E454" s="44">
        <f t="shared" si="15"/>
        <v>0</v>
      </c>
      <c r="F454" s="44">
        <f t="shared" si="16"/>
        <v>0</v>
      </c>
      <c r="G454" s="40"/>
    </row>
    <row r="455" spans="1:7" ht="12.75" hidden="1" customHeight="1">
      <c r="A455" s="39" t="s">
        <v>132</v>
      </c>
      <c r="B455" s="43"/>
      <c r="C455" s="44">
        <f t="shared" si="15"/>
        <v>0</v>
      </c>
      <c r="D455" s="44">
        <f t="shared" si="15"/>
        <v>0</v>
      </c>
      <c r="E455" s="44">
        <f t="shared" si="15"/>
        <v>0</v>
      </c>
      <c r="F455" s="44">
        <f t="shared" si="16"/>
        <v>0</v>
      </c>
      <c r="G455" s="40"/>
    </row>
    <row r="456" spans="1:7" ht="12.75" hidden="1" customHeight="1">
      <c r="A456" s="39" t="s">
        <v>133</v>
      </c>
      <c r="B456" s="43"/>
      <c r="C456" s="44">
        <f t="shared" si="15"/>
        <v>0</v>
      </c>
      <c r="D456" s="44">
        <f t="shared" si="15"/>
        <v>0</v>
      </c>
      <c r="E456" s="44">
        <f t="shared" si="15"/>
        <v>0</v>
      </c>
      <c r="F456" s="44">
        <f t="shared" si="16"/>
        <v>0</v>
      </c>
      <c r="G456" s="40"/>
    </row>
    <row r="457" spans="1:7" ht="12.75" hidden="1" customHeight="1">
      <c r="A457" s="39" t="s">
        <v>134</v>
      </c>
      <c r="B457" s="45">
        <v>14</v>
      </c>
      <c r="C457" s="66">
        <f t="shared" si="15"/>
        <v>17743.109075630251</v>
      </c>
      <c r="D457" s="66">
        <f t="shared" si="15"/>
        <v>40248.328291316524</v>
      </c>
      <c r="E457" s="66">
        <f t="shared" si="15"/>
        <v>16004.935910364145</v>
      </c>
      <c r="F457" s="44">
        <f t="shared" si="16"/>
        <v>73996.373277310922</v>
      </c>
      <c r="G457" s="40"/>
    </row>
    <row r="458" spans="1:7" ht="12.75" hidden="1" customHeight="1">
      <c r="A458" s="39" t="s">
        <v>135</v>
      </c>
      <c r="B458" s="45"/>
      <c r="C458" s="44">
        <f t="shared" si="15"/>
        <v>0</v>
      </c>
      <c r="D458" s="44">
        <f t="shared" si="15"/>
        <v>0</v>
      </c>
      <c r="E458" s="44">
        <f t="shared" si="15"/>
        <v>0</v>
      </c>
      <c r="F458" s="44">
        <f t="shared" si="16"/>
        <v>0</v>
      </c>
      <c r="G458" s="40"/>
    </row>
    <row r="459" spans="1:7" ht="12.75" hidden="1" customHeight="1">
      <c r="A459" s="39" t="s">
        <v>136</v>
      </c>
      <c r="B459" s="43"/>
      <c r="C459" s="44">
        <f t="shared" si="15"/>
        <v>0</v>
      </c>
      <c r="D459" s="44">
        <f t="shared" si="15"/>
        <v>0</v>
      </c>
      <c r="E459" s="44">
        <f t="shared" si="15"/>
        <v>0</v>
      </c>
      <c r="F459" s="44">
        <f t="shared" si="16"/>
        <v>0</v>
      </c>
      <c r="G459" s="40"/>
    </row>
    <row r="460" spans="1:7" ht="12.75" hidden="1" customHeight="1">
      <c r="A460" s="39" t="s">
        <v>137</v>
      </c>
      <c r="B460" s="45">
        <v>21.5</v>
      </c>
      <c r="C460" s="66">
        <f t="shared" si="15"/>
        <v>27248.346080432173</v>
      </c>
      <c r="D460" s="66">
        <f t="shared" si="15"/>
        <v>61809.932733093236</v>
      </c>
      <c r="E460" s="66">
        <f t="shared" si="15"/>
        <v>24579.008719487796</v>
      </c>
      <c r="F460" s="44">
        <f t="shared" si="16"/>
        <v>113637.28753301321</v>
      </c>
      <c r="G460" s="40"/>
    </row>
    <row r="461" spans="1:7" ht="12.75" hidden="1" customHeight="1">
      <c r="A461" s="39" t="s">
        <v>138</v>
      </c>
      <c r="B461" s="45"/>
      <c r="C461" s="44">
        <f t="shared" si="15"/>
        <v>0</v>
      </c>
      <c r="D461" s="44">
        <f t="shared" si="15"/>
        <v>0</v>
      </c>
      <c r="E461" s="44">
        <f t="shared" si="15"/>
        <v>0</v>
      </c>
      <c r="F461" s="44">
        <f t="shared" si="16"/>
        <v>0</v>
      </c>
      <c r="G461" s="40"/>
    </row>
    <row r="462" spans="1:7" ht="12.75" hidden="1" customHeight="1">
      <c r="A462" s="39" t="s">
        <v>139</v>
      </c>
      <c r="B462" s="45">
        <v>10</v>
      </c>
      <c r="C462" s="66">
        <f t="shared" si="15"/>
        <v>12673.649339735895</v>
      </c>
      <c r="D462" s="66">
        <f t="shared" si="15"/>
        <v>28748.805922368949</v>
      </c>
      <c r="E462" s="66">
        <f t="shared" si="15"/>
        <v>11432.097078831532</v>
      </c>
      <c r="F462" s="44">
        <f t="shared" si="16"/>
        <v>52854.552340936374</v>
      </c>
      <c r="G462" s="40"/>
    </row>
    <row r="463" spans="1:7" ht="12.75" hidden="1" customHeight="1">
      <c r="A463" s="46" t="s">
        <v>140</v>
      </c>
      <c r="B463" s="45"/>
      <c r="C463" s="44"/>
      <c r="D463" s="44">
        <f t="shared" ref="D463:E466" si="17">C463/C$467*D$467</f>
        <v>0</v>
      </c>
      <c r="E463" s="44">
        <f t="shared" si="17"/>
        <v>0</v>
      </c>
      <c r="F463" s="44"/>
      <c r="G463" s="40"/>
    </row>
    <row r="464" spans="1:7" ht="12.75" hidden="1" customHeight="1">
      <c r="A464" s="46" t="s">
        <v>141</v>
      </c>
      <c r="B464" s="45"/>
      <c r="C464" s="44"/>
      <c r="D464" s="44">
        <f t="shared" si="17"/>
        <v>0</v>
      </c>
      <c r="E464" s="44">
        <f t="shared" si="17"/>
        <v>0</v>
      </c>
      <c r="F464" s="44"/>
      <c r="G464" s="40"/>
    </row>
    <row r="465" spans="1:7" ht="12.75" hidden="1" customHeight="1">
      <c r="A465" s="46" t="s">
        <v>142</v>
      </c>
      <c r="B465" s="45"/>
      <c r="C465" s="44"/>
      <c r="D465" s="44">
        <f t="shared" si="17"/>
        <v>0</v>
      </c>
      <c r="E465" s="44">
        <f t="shared" si="17"/>
        <v>0</v>
      </c>
      <c r="F465" s="44"/>
      <c r="G465" s="40"/>
    </row>
    <row r="466" spans="1:7" ht="12.75" hidden="1" customHeight="1">
      <c r="A466" s="46" t="s">
        <v>143</v>
      </c>
      <c r="B466" s="45"/>
      <c r="C466" s="44"/>
      <c r="D466" s="44">
        <f t="shared" si="17"/>
        <v>0</v>
      </c>
      <c r="E466" s="44">
        <f t="shared" si="17"/>
        <v>0</v>
      </c>
      <c r="F466" s="44"/>
      <c r="G466" s="40"/>
    </row>
    <row r="467" spans="1:7" ht="12.75" hidden="1" customHeight="1">
      <c r="A467" s="46" t="s">
        <v>144</v>
      </c>
      <c r="B467" s="45">
        <f>SUM(B414:B462)</f>
        <v>178.5</v>
      </c>
      <c r="C467" s="44">
        <f>C474-C473</f>
        <v>226224.64071428572</v>
      </c>
      <c r="D467" s="44">
        <f>D474-D473</f>
        <v>513166.1857142857</v>
      </c>
      <c r="E467" s="44">
        <f>E474-E473</f>
        <v>204062.93285714285</v>
      </c>
      <c r="F467" s="44">
        <f>SUM(C467:E467)</f>
        <v>943453.75928571436</v>
      </c>
      <c r="G467" s="40"/>
    </row>
    <row r="468" spans="1:7" ht="12.75" hidden="1" customHeight="1">
      <c r="A468" s="46" t="s">
        <v>145</v>
      </c>
      <c r="B468" s="45"/>
      <c r="C468" s="44"/>
      <c r="D468" s="44"/>
      <c r="E468" s="44"/>
      <c r="F468" s="44"/>
      <c r="G468" s="40"/>
    </row>
    <row r="469" spans="1:7" ht="12.75" hidden="1" customHeight="1">
      <c r="A469" s="46" t="s">
        <v>146</v>
      </c>
      <c r="B469" s="45"/>
      <c r="C469" s="44"/>
      <c r="D469" s="44"/>
      <c r="E469" s="44"/>
      <c r="F469" s="44"/>
      <c r="G469" s="40"/>
    </row>
    <row r="470" spans="1:7" ht="12.75" hidden="1" customHeight="1">
      <c r="A470" s="46" t="s">
        <v>147</v>
      </c>
      <c r="B470" s="45"/>
      <c r="C470" s="44"/>
      <c r="D470" s="44"/>
      <c r="E470" s="44"/>
      <c r="F470" s="44"/>
      <c r="G470" s="40"/>
    </row>
    <row r="471" spans="1:7" ht="12.75" hidden="1" customHeight="1">
      <c r="A471" s="46" t="s">
        <v>148</v>
      </c>
      <c r="B471" s="45"/>
      <c r="C471" s="44"/>
      <c r="D471" s="44"/>
      <c r="E471" s="44"/>
      <c r="F471" s="44"/>
      <c r="G471" s="40"/>
    </row>
    <row r="472" spans="1:7" ht="12.75" hidden="1" customHeight="1">
      <c r="A472" s="46" t="s">
        <v>149</v>
      </c>
      <c r="B472" s="47"/>
      <c r="C472" s="44"/>
      <c r="D472" s="44"/>
      <c r="E472" s="44"/>
      <c r="F472" s="44"/>
      <c r="G472" s="40"/>
    </row>
    <row r="473" spans="1:7" ht="12.75" hidden="1" customHeight="1">
      <c r="A473" s="126" t="s">
        <v>406</v>
      </c>
      <c r="B473" s="47"/>
      <c r="C473" s="44">
        <f>6/28*C474</f>
        <v>61697.629285714283</v>
      </c>
      <c r="D473" s="44">
        <f>6/28*D474</f>
        <v>139954.41428571427</v>
      </c>
      <c r="E473" s="44">
        <f>6/28*E474</f>
        <v>55653.527142857136</v>
      </c>
      <c r="F473" s="44">
        <f>SUM(C473:E473)</f>
        <v>257305.57071428571</v>
      </c>
      <c r="G473" s="40"/>
    </row>
    <row r="474" spans="1:7" ht="12.75" hidden="1" customHeight="1">
      <c r="A474" s="48" t="s">
        <v>150</v>
      </c>
      <c r="B474" s="48"/>
      <c r="C474" s="49">
        <f>287922.27</f>
        <v>287922.27</v>
      </c>
      <c r="D474" s="50">
        <f>40414.1+85953+107349.9+11062.4+7968+311686.8+61643.4+27043</f>
        <v>653120.6</v>
      </c>
      <c r="E474" s="50">
        <f>259716.46</f>
        <v>259716.46</v>
      </c>
      <c r="F474" s="50">
        <f>SUM(C474:E474)</f>
        <v>1200759.33</v>
      </c>
      <c r="G474" s="40"/>
    </row>
    <row r="475" spans="1:7" ht="12.75" hidden="1" customHeight="1">
      <c r="A475" s="63" t="s">
        <v>405</v>
      </c>
      <c r="B475" s="106"/>
      <c r="C475" s="106"/>
      <c r="D475" s="106"/>
      <c r="E475" s="106"/>
      <c r="F475" s="106"/>
      <c r="G475" s="107"/>
    </row>
    <row r="476" spans="1:7" ht="12.75" hidden="1" customHeight="1">
      <c r="A476" s="51"/>
      <c r="B476" s="52"/>
      <c r="C476" s="51"/>
      <c r="D476" s="51"/>
      <c r="E476" s="52"/>
      <c r="F476" s="51"/>
      <c r="G476" s="40"/>
    </row>
    <row r="477" spans="1:7" ht="12.75" hidden="1" customHeight="1">
      <c r="A477" s="51"/>
      <c r="B477" s="52"/>
      <c r="C477" s="51"/>
      <c r="D477" s="51"/>
      <c r="E477" s="52"/>
      <c r="F477" s="51"/>
      <c r="G477" s="40"/>
    </row>
    <row r="478" spans="1:7" ht="12.75" hidden="1" customHeight="1">
      <c r="A478" s="51"/>
      <c r="B478" s="52"/>
      <c r="C478" s="51"/>
      <c r="D478" s="51"/>
      <c r="E478" s="52"/>
      <c r="F478" s="51"/>
      <c r="G478" s="40"/>
    </row>
    <row r="479" spans="1:7" ht="12.75" hidden="1" customHeight="1">
      <c r="A479" s="269" t="s">
        <v>332</v>
      </c>
      <c r="B479" s="269"/>
      <c r="C479" s="269"/>
      <c r="D479" s="269"/>
      <c r="E479" s="269"/>
      <c r="F479" s="269"/>
      <c r="G479" s="40"/>
    </row>
    <row r="480" spans="1:7" ht="12.75" hidden="1" customHeight="1">
      <c r="A480" s="43" t="s">
        <v>86</v>
      </c>
      <c r="B480" s="43" t="s">
        <v>87</v>
      </c>
      <c r="C480" s="43" t="s">
        <v>88</v>
      </c>
      <c r="D480" s="43" t="s">
        <v>89</v>
      </c>
      <c r="E480" s="43" t="s">
        <v>90</v>
      </c>
      <c r="F480" s="45" t="s">
        <v>152</v>
      </c>
      <c r="G480" s="43" t="s">
        <v>91</v>
      </c>
    </row>
    <row r="481" spans="1:7" ht="12.75" hidden="1" customHeight="1">
      <c r="A481" s="39" t="s">
        <v>153</v>
      </c>
      <c r="B481" s="43"/>
      <c r="C481" s="42"/>
      <c r="D481" s="42"/>
      <c r="E481" s="42"/>
      <c r="F481" s="45"/>
      <c r="G481" s="42"/>
    </row>
    <row r="482" spans="1:7" ht="12.75" hidden="1" customHeight="1">
      <c r="A482" s="39" t="s">
        <v>154</v>
      </c>
      <c r="B482" s="43">
        <v>6</v>
      </c>
      <c r="C482" s="53">
        <f>B482/B$549*C$549</f>
        <v>7172.75108108108</v>
      </c>
      <c r="D482" s="53">
        <f>B482/B$549*D$549</f>
        <v>16843.976216216215</v>
      </c>
      <c r="E482" s="53">
        <f>B482/B$549*E$549</f>
        <v>5478.1132432432441</v>
      </c>
      <c r="F482" s="45"/>
      <c r="G482" s="42">
        <f>SUM(C482:F482)</f>
        <v>29494.840540540536</v>
      </c>
    </row>
    <row r="483" spans="1:7" ht="12.75" hidden="1" customHeight="1">
      <c r="A483" s="39" t="s">
        <v>155</v>
      </c>
      <c r="B483" s="43"/>
      <c r="C483" s="42">
        <f t="shared" ref="C483:C546" si="18">B483/B$549*C$549</f>
        <v>0</v>
      </c>
      <c r="D483" s="42">
        <f t="shared" ref="D483:D546" si="19">B483/B$549*D$549</f>
        <v>0</v>
      </c>
      <c r="E483" s="42">
        <f t="shared" ref="E483:E546" si="20">B483/B$549*E$549</f>
        <v>0</v>
      </c>
      <c r="F483" s="45"/>
      <c r="G483" s="42">
        <f t="shared" ref="G483:G546" si="21">SUM(C483:F483)</f>
        <v>0</v>
      </c>
    </row>
    <row r="484" spans="1:7" ht="12.75" hidden="1" customHeight="1">
      <c r="A484" s="39" t="s">
        <v>156</v>
      </c>
      <c r="B484" s="43"/>
      <c r="C484" s="42">
        <f t="shared" si="18"/>
        <v>0</v>
      </c>
      <c r="D484" s="42">
        <f t="shared" si="19"/>
        <v>0</v>
      </c>
      <c r="E484" s="42">
        <f t="shared" si="20"/>
        <v>0</v>
      </c>
      <c r="F484" s="45"/>
      <c r="G484" s="42">
        <f t="shared" si="21"/>
        <v>0</v>
      </c>
    </row>
    <row r="485" spans="1:7" ht="12.75" hidden="1" customHeight="1">
      <c r="A485" s="39" t="s">
        <v>3</v>
      </c>
      <c r="B485" s="43"/>
      <c r="C485" s="42">
        <f t="shared" si="18"/>
        <v>0</v>
      </c>
      <c r="D485" s="42">
        <f t="shared" si="19"/>
        <v>0</v>
      </c>
      <c r="E485" s="42">
        <f t="shared" si="20"/>
        <v>0</v>
      </c>
      <c r="F485" s="45"/>
      <c r="G485" s="42">
        <f t="shared" si="21"/>
        <v>0</v>
      </c>
    </row>
    <row r="486" spans="1:7" ht="12.75" hidden="1" customHeight="1">
      <c r="A486" s="39" t="s">
        <v>4</v>
      </c>
      <c r="B486" s="43">
        <v>5</v>
      </c>
      <c r="C486" s="53">
        <f t="shared" si="18"/>
        <v>5977.2925675675669</v>
      </c>
      <c r="D486" s="53">
        <f t="shared" si="19"/>
        <v>14036.646846846847</v>
      </c>
      <c r="E486" s="53">
        <f t="shared" si="20"/>
        <v>4565.0943693693698</v>
      </c>
      <c r="F486" s="45"/>
      <c r="G486" s="42">
        <f t="shared" si="21"/>
        <v>24579.033783783783</v>
      </c>
    </row>
    <row r="487" spans="1:7" ht="12.75" hidden="1" customHeight="1">
      <c r="A487" s="39" t="s">
        <v>5</v>
      </c>
      <c r="B487" s="43"/>
      <c r="C487" s="42">
        <f t="shared" si="18"/>
        <v>0</v>
      </c>
      <c r="D487" s="42">
        <f t="shared" si="19"/>
        <v>0</v>
      </c>
      <c r="E487" s="42">
        <f t="shared" si="20"/>
        <v>0</v>
      </c>
      <c r="F487" s="45"/>
      <c r="G487" s="42">
        <f t="shared" si="21"/>
        <v>0</v>
      </c>
    </row>
    <row r="488" spans="1:7" ht="12.75" hidden="1" customHeight="1">
      <c r="A488" s="39" t="s">
        <v>157</v>
      </c>
      <c r="B488" s="43">
        <v>11</v>
      </c>
      <c r="C488" s="53">
        <f t="shared" si="18"/>
        <v>13150.043648648645</v>
      </c>
      <c r="D488" s="53">
        <f t="shared" si="19"/>
        <v>30880.62306306306</v>
      </c>
      <c r="E488" s="53">
        <f t="shared" si="20"/>
        <v>10043.207612612614</v>
      </c>
      <c r="F488" s="45"/>
      <c r="G488" s="42">
        <f t="shared" si="21"/>
        <v>54073.874324324315</v>
      </c>
    </row>
    <row r="489" spans="1:7" ht="12.75" hidden="1" customHeight="1">
      <c r="A489" s="39" t="s">
        <v>158</v>
      </c>
      <c r="B489" s="43">
        <v>4.5</v>
      </c>
      <c r="C489" s="53">
        <f t="shared" si="18"/>
        <v>5379.5633108108104</v>
      </c>
      <c r="D489" s="53">
        <f t="shared" si="19"/>
        <v>12632.982162162161</v>
      </c>
      <c r="E489" s="53">
        <f t="shared" si="20"/>
        <v>4108.5849324324327</v>
      </c>
      <c r="F489" s="45"/>
      <c r="G489" s="42">
        <f t="shared" si="21"/>
        <v>22121.130405405405</v>
      </c>
    </row>
    <row r="490" spans="1:7" ht="12.75" hidden="1" customHeight="1">
      <c r="A490" s="39" t="s">
        <v>159</v>
      </c>
      <c r="B490" s="43"/>
      <c r="C490" s="42">
        <f t="shared" si="18"/>
        <v>0</v>
      </c>
      <c r="D490" s="42">
        <f t="shared" si="19"/>
        <v>0</v>
      </c>
      <c r="E490" s="42">
        <f t="shared" si="20"/>
        <v>0</v>
      </c>
      <c r="F490" s="45"/>
      <c r="G490" s="42">
        <f t="shared" si="21"/>
        <v>0</v>
      </c>
    </row>
    <row r="491" spans="1:7" ht="12.75" hidden="1" customHeight="1">
      <c r="A491" s="39" t="s">
        <v>160</v>
      </c>
      <c r="B491" s="43"/>
      <c r="C491" s="42">
        <f t="shared" si="18"/>
        <v>0</v>
      </c>
      <c r="D491" s="42">
        <f t="shared" si="19"/>
        <v>0</v>
      </c>
      <c r="E491" s="42">
        <f t="shared" si="20"/>
        <v>0</v>
      </c>
      <c r="F491" s="45"/>
      <c r="G491" s="42">
        <f t="shared" si="21"/>
        <v>0</v>
      </c>
    </row>
    <row r="492" spans="1:7" ht="12.75" hidden="1" customHeight="1">
      <c r="A492" s="39" t="s">
        <v>161</v>
      </c>
      <c r="B492" s="43"/>
      <c r="C492" s="42">
        <f t="shared" si="18"/>
        <v>0</v>
      </c>
      <c r="D492" s="42">
        <f t="shared" si="19"/>
        <v>0</v>
      </c>
      <c r="E492" s="42">
        <f t="shared" si="20"/>
        <v>0</v>
      </c>
      <c r="F492" s="45"/>
      <c r="G492" s="42">
        <f t="shared" si="21"/>
        <v>0</v>
      </c>
    </row>
    <row r="493" spans="1:7" ht="12.75" hidden="1" customHeight="1">
      <c r="A493" s="39" t="s">
        <v>6</v>
      </c>
      <c r="B493" s="43"/>
      <c r="C493" s="42">
        <f t="shared" si="18"/>
        <v>0</v>
      </c>
      <c r="D493" s="42">
        <f t="shared" si="19"/>
        <v>0</v>
      </c>
      <c r="E493" s="42">
        <f t="shared" si="20"/>
        <v>0</v>
      </c>
      <c r="F493" s="45"/>
      <c r="G493" s="42">
        <f t="shared" si="21"/>
        <v>0</v>
      </c>
    </row>
    <row r="494" spans="1:7" ht="12.75" hidden="1" customHeight="1">
      <c r="A494" s="39" t="s">
        <v>7</v>
      </c>
      <c r="B494" s="43"/>
      <c r="C494" s="42">
        <f t="shared" si="18"/>
        <v>0</v>
      </c>
      <c r="D494" s="42">
        <f t="shared" si="19"/>
        <v>0</v>
      </c>
      <c r="E494" s="42">
        <f t="shared" si="20"/>
        <v>0</v>
      </c>
      <c r="F494" s="45"/>
      <c r="G494" s="42">
        <f t="shared" si="21"/>
        <v>0</v>
      </c>
    </row>
    <row r="495" spans="1:7" ht="12.75" hidden="1" customHeight="1">
      <c r="A495" s="39" t="s">
        <v>162</v>
      </c>
      <c r="B495" s="43"/>
      <c r="C495" s="42">
        <f t="shared" si="18"/>
        <v>0</v>
      </c>
      <c r="D495" s="42">
        <f t="shared" si="19"/>
        <v>0</v>
      </c>
      <c r="E495" s="42">
        <f t="shared" si="20"/>
        <v>0</v>
      </c>
      <c r="F495" s="45"/>
      <c r="G495" s="42">
        <f t="shared" si="21"/>
        <v>0</v>
      </c>
    </row>
    <row r="496" spans="1:7" ht="12.75" hidden="1" customHeight="1">
      <c r="A496" s="39" t="s">
        <v>401</v>
      </c>
      <c r="B496" s="45"/>
      <c r="C496" s="42">
        <f t="shared" si="18"/>
        <v>0</v>
      </c>
      <c r="D496" s="42">
        <f t="shared" si="19"/>
        <v>0</v>
      </c>
      <c r="E496" s="42">
        <f t="shared" si="20"/>
        <v>0</v>
      </c>
      <c r="F496" s="45"/>
      <c r="G496" s="42">
        <f t="shared" si="21"/>
        <v>0</v>
      </c>
    </row>
    <row r="497" spans="1:7" ht="12.75" hidden="1" customHeight="1">
      <c r="A497" s="58" t="s">
        <v>402</v>
      </c>
      <c r="B497" s="121">
        <v>2.5</v>
      </c>
      <c r="C497" s="60">
        <f t="shared" si="18"/>
        <v>2988.6462837837835</v>
      </c>
      <c r="D497" s="60">
        <f t="shared" si="19"/>
        <v>7018.3234234234233</v>
      </c>
      <c r="E497" s="60">
        <f t="shared" si="20"/>
        <v>2282.5471846846849</v>
      </c>
      <c r="F497" s="61">
        <f>2.5/10.5*F549</f>
        <v>5256.892857142856</v>
      </c>
      <c r="G497" s="60">
        <f t="shared" si="21"/>
        <v>17546.409749034749</v>
      </c>
    </row>
    <row r="498" spans="1:7" ht="12.75" hidden="1" customHeight="1">
      <c r="A498" s="39" t="s">
        <v>8</v>
      </c>
      <c r="B498" s="43">
        <v>8</v>
      </c>
      <c r="C498" s="53">
        <f t="shared" si="18"/>
        <v>9563.668108108106</v>
      </c>
      <c r="D498" s="53">
        <f t="shared" si="19"/>
        <v>22458.634954954952</v>
      </c>
      <c r="E498" s="53">
        <f t="shared" si="20"/>
        <v>7304.1509909909919</v>
      </c>
      <c r="F498" s="45"/>
      <c r="G498" s="42">
        <f t="shared" si="21"/>
        <v>39326.454054054055</v>
      </c>
    </row>
    <row r="499" spans="1:7" ht="12.75" hidden="1" customHeight="1">
      <c r="A499" s="39" t="s">
        <v>9</v>
      </c>
      <c r="B499" s="43">
        <v>8.5</v>
      </c>
      <c r="C499" s="53">
        <f t="shared" si="18"/>
        <v>10161.397364864864</v>
      </c>
      <c r="D499" s="53">
        <f t="shared" si="19"/>
        <v>23862.299639639637</v>
      </c>
      <c r="E499" s="53">
        <f t="shared" si="20"/>
        <v>7760.660427927929</v>
      </c>
      <c r="F499" s="45"/>
      <c r="G499" s="42">
        <f t="shared" si="21"/>
        <v>41784.357432432429</v>
      </c>
    </row>
    <row r="500" spans="1:7" ht="12.75" hidden="1" customHeight="1">
      <c r="A500" s="39" t="s">
        <v>10</v>
      </c>
      <c r="B500" s="43"/>
      <c r="C500" s="42">
        <f t="shared" si="18"/>
        <v>0</v>
      </c>
      <c r="D500" s="42">
        <f t="shared" si="19"/>
        <v>0</v>
      </c>
      <c r="E500" s="42">
        <f t="shared" si="20"/>
        <v>0</v>
      </c>
      <c r="F500" s="45"/>
      <c r="G500" s="42">
        <f t="shared" si="21"/>
        <v>0</v>
      </c>
    </row>
    <row r="501" spans="1:7" ht="12.75" hidden="1" customHeight="1">
      <c r="A501" s="39" t="s">
        <v>11</v>
      </c>
      <c r="B501" s="43"/>
      <c r="C501" s="42">
        <f t="shared" si="18"/>
        <v>0</v>
      </c>
      <c r="D501" s="42">
        <f t="shared" si="19"/>
        <v>0</v>
      </c>
      <c r="E501" s="42">
        <f t="shared" si="20"/>
        <v>0</v>
      </c>
      <c r="F501" s="45"/>
      <c r="G501" s="42">
        <f t="shared" si="21"/>
        <v>0</v>
      </c>
    </row>
    <row r="502" spans="1:7" ht="12.75" hidden="1" customHeight="1">
      <c r="A502" s="39" t="s">
        <v>164</v>
      </c>
      <c r="B502" s="43"/>
      <c r="C502" s="42">
        <f t="shared" si="18"/>
        <v>0</v>
      </c>
      <c r="D502" s="42">
        <f t="shared" si="19"/>
        <v>0</v>
      </c>
      <c r="E502" s="42">
        <f t="shared" si="20"/>
        <v>0</v>
      </c>
      <c r="F502" s="45"/>
      <c r="G502" s="42">
        <f t="shared" si="21"/>
        <v>0</v>
      </c>
    </row>
    <row r="503" spans="1:7" ht="12.75" hidden="1" customHeight="1">
      <c r="A503" s="39" t="s">
        <v>165</v>
      </c>
      <c r="B503" s="43"/>
      <c r="C503" s="42">
        <f t="shared" si="18"/>
        <v>0</v>
      </c>
      <c r="D503" s="42">
        <f t="shared" si="19"/>
        <v>0</v>
      </c>
      <c r="E503" s="42">
        <f t="shared" si="20"/>
        <v>0</v>
      </c>
      <c r="F503" s="45"/>
      <c r="G503" s="42">
        <f t="shared" si="21"/>
        <v>0</v>
      </c>
    </row>
    <row r="504" spans="1:7" ht="12.75" hidden="1" customHeight="1">
      <c r="A504" s="39" t="s">
        <v>166</v>
      </c>
      <c r="B504" s="43"/>
      <c r="C504" s="42">
        <f t="shared" si="18"/>
        <v>0</v>
      </c>
      <c r="D504" s="42">
        <f t="shared" si="19"/>
        <v>0</v>
      </c>
      <c r="E504" s="42">
        <f t="shared" si="20"/>
        <v>0</v>
      </c>
      <c r="F504" s="45"/>
      <c r="G504" s="42">
        <f t="shared" si="21"/>
        <v>0</v>
      </c>
    </row>
    <row r="505" spans="1:7" ht="12.75" hidden="1" customHeight="1">
      <c r="A505" s="39" t="s">
        <v>167</v>
      </c>
      <c r="B505" s="43">
        <v>5.5</v>
      </c>
      <c r="C505" s="53">
        <f t="shared" si="18"/>
        <v>6575.0218243243226</v>
      </c>
      <c r="D505" s="53">
        <f t="shared" si="19"/>
        <v>15440.31153153153</v>
      </c>
      <c r="E505" s="53">
        <f t="shared" si="20"/>
        <v>5021.603806306307</v>
      </c>
      <c r="F505" s="45"/>
      <c r="G505" s="42">
        <f t="shared" si="21"/>
        <v>27036.937162162158</v>
      </c>
    </row>
    <row r="506" spans="1:7" ht="12.75" hidden="1" customHeight="1">
      <c r="A506" s="39" t="s">
        <v>168</v>
      </c>
      <c r="B506" s="43"/>
      <c r="C506" s="42">
        <f t="shared" si="18"/>
        <v>0</v>
      </c>
      <c r="D506" s="42">
        <f t="shared" si="19"/>
        <v>0</v>
      </c>
      <c r="E506" s="42">
        <f t="shared" si="20"/>
        <v>0</v>
      </c>
      <c r="F506" s="45"/>
      <c r="G506" s="42">
        <f t="shared" si="21"/>
        <v>0</v>
      </c>
    </row>
    <row r="507" spans="1:7" ht="12.75" hidden="1" customHeight="1">
      <c r="A507" s="39" t="s">
        <v>169</v>
      </c>
      <c r="B507" s="43"/>
      <c r="C507" s="42">
        <f t="shared" si="18"/>
        <v>0</v>
      </c>
      <c r="D507" s="42">
        <f t="shared" si="19"/>
        <v>0</v>
      </c>
      <c r="E507" s="42">
        <f t="shared" si="20"/>
        <v>0</v>
      </c>
      <c r="F507" s="45"/>
      <c r="G507" s="42">
        <f t="shared" si="21"/>
        <v>0</v>
      </c>
    </row>
    <row r="508" spans="1:7" ht="12.75" hidden="1" customHeight="1">
      <c r="A508" s="39" t="s">
        <v>170</v>
      </c>
      <c r="B508" s="43"/>
      <c r="C508" s="42">
        <f t="shared" si="18"/>
        <v>0</v>
      </c>
      <c r="D508" s="42">
        <f t="shared" si="19"/>
        <v>0</v>
      </c>
      <c r="E508" s="42">
        <f t="shared" si="20"/>
        <v>0</v>
      </c>
      <c r="F508" s="45"/>
      <c r="G508" s="42">
        <f t="shared" si="21"/>
        <v>0</v>
      </c>
    </row>
    <row r="509" spans="1:7" ht="12.75" hidden="1" customHeight="1">
      <c r="A509" s="39" t="s">
        <v>171</v>
      </c>
      <c r="B509" s="43"/>
      <c r="C509" s="42">
        <f t="shared" si="18"/>
        <v>0</v>
      </c>
      <c r="D509" s="42">
        <f t="shared" si="19"/>
        <v>0</v>
      </c>
      <c r="E509" s="42">
        <f t="shared" si="20"/>
        <v>0</v>
      </c>
      <c r="F509" s="45"/>
      <c r="G509" s="42">
        <f t="shared" si="21"/>
        <v>0</v>
      </c>
    </row>
    <row r="510" spans="1:7" ht="12.75" hidden="1" customHeight="1">
      <c r="A510" s="39" t="s">
        <v>172</v>
      </c>
      <c r="B510" s="41"/>
      <c r="C510" s="42">
        <f t="shared" si="18"/>
        <v>0</v>
      </c>
      <c r="D510" s="42">
        <f t="shared" si="19"/>
        <v>0</v>
      </c>
      <c r="E510" s="42">
        <f t="shared" si="20"/>
        <v>0</v>
      </c>
      <c r="F510" s="45"/>
      <c r="G510" s="42">
        <f t="shared" si="21"/>
        <v>0</v>
      </c>
    </row>
    <row r="511" spans="1:7" ht="12.75" hidden="1" customHeight="1">
      <c r="A511" s="39" t="s">
        <v>12</v>
      </c>
      <c r="B511" s="43"/>
      <c r="C511" s="42">
        <f t="shared" si="18"/>
        <v>0</v>
      </c>
      <c r="D511" s="42">
        <f t="shared" si="19"/>
        <v>0</v>
      </c>
      <c r="E511" s="42">
        <f t="shared" si="20"/>
        <v>0</v>
      </c>
      <c r="F511" s="45"/>
      <c r="G511" s="42">
        <f t="shared" si="21"/>
        <v>0</v>
      </c>
    </row>
    <row r="512" spans="1:7" ht="12.75" hidden="1" customHeight="1">
      <c r="A512" s="39" t="s">
        <v>13</v>
      </c>
      <c r="B512" s="43"/>
      <c r="C512" s="42">
        <f t="shared" si="18"/>
        <v>0</v>
      </c>
      <c r="D512" s="42">
        <f t="shared" si="19"/>
        <v>0</v>
      </c>
      <c r="E512" s="42">
        <f t="shared" si="20"/>
        <v>0</v>
      </c>
      <c r="F512" s="45"/>
      <c r="G512" s="42">
        <f t="shared" si="21"/>
        <v>0</v>
      </c>
    </row>
    <row r="513" spans="1:7" ht="12.75" hidden="1" customHeight="1">
      <c r="A513" s="39" t="s">
        <v>14</v>
      </c>
      <c r="B513" s="43">
        <v>10.5</v>
      </c>
      <c r="C513" s="53">
        <f t="shared" si="18"/>
        <v>12552.314391891889</v>
      </c>
      <c r="D513" s="53">
        <f t="shared" si="19"/>
        <v>29476.958378378375</v>
      </c>
      <c r="E513" s="53">
        <f t="shared" si="20"/>
        <v>9586.6981756756759</v>
      </c>
      <c r="F513" s="45"/>
      <c r="G513" s="42">
        <f t="shared" si="21"/>
        <v>51615.970945945941</v>
      </c>
    </row>
    <row r="514" spans="1:7" ht="12.75" hidden="1" customHeight="1">
      <c r="A514" s="39" t="s">
        <v>15</v>
      </c>
      <c r="B514" s="43"/>
      <c r="C514" s="42">
        <f t="shared" si="18"/>
        <v>0</v>
      </c>
      <c r="D514" s="42">
        <f t="shared" si="19"/>
        <v>0</v>
      </c>
      <c r="E514" s="42">
        <f t="shared" si="20"/>
        <v>0</v>
      </c>
      <c r="F514" s="45"/>
      <c r="G514" s="42">
        <f t="shared" si="21"/>
        <v>0</v>
      </c>
    </row>
    <row r="515" spans="1:7" ht="12.75" hidden="1" customHeight="1">
      <c r="A515" s="39" t="s">
        <v>16</v>
      </c>
      <c r="B515" s="43"/>
      <c r="C515" s="42">
        <f t="shared" si="18"/>
        <v>0</v>
      </c>
      <c r="D515" s="42">
        <f t="shared" si="19"/>
        <v>0</v>
      </c>
      <c r="E515" s="42">
        <f t="shared" si="20"/>
        <v>0</v>
      </c>
      <c r="F515" s="45"/>
      <c r="G515" s="42">
        <f t="shared" si="21"/>
        <v>0</v>
      </c>
    </row>
    <row r="516" spans="1:7" ht="12.75" hidden="1" customHeight="1">
      <c r="A516" s="39" t="s">
        <v>173</v>
      </c>
      <c r="B516" s="43"/>
      <c r="C516" s="42">
        <f t="shared" si="18"/>
        <v>0</v>
      </c>
      <c r="D516" s="42">
        <f t="shared" si="19"/>
        <v>0</v>
      </c>
      <c r="E516" s="42">
        <f t="shared" si="20"/>
        <v>0</v>
      </c>
      <c r="F516" s="45"/>
      <c r="G516" s="42">
        <f t="shared" si="21"/>
        <v>0</v>
      </c>
    </row>
    <row r="517" spans="1:7" ht="12.75" hidden="1" customHeight="1">
      <c r="A517" s="39" t="s">
        <v>174</v>
      </c>
      <c r="B517" s="45">
        <v>11</v>
      </c>
      <c r="C517" s="53">
        <f t="shared" si="18"/>
        <v>13150.043648648645</v>
      </c>
      <c r="D517" s="53">
        <f t="shared" si="19"/>
        <v>30880.62306306306</v>
      </c>
      <c r="E517" s="53">
        <f t="shared" si="20"/>
        <v>10043.207612612614</v>
      </c>
      <c r="F517" s="45"/>
      <c r="G517" s="42">
        <f t="shared" si="21"/>
        <v>54073.874324324315</v>
      </c>
    </row>
    <row r="518" spans="1:7" ht="12.75" hidden="1" customHeight="1">
      <c r="A518" s="54" t="s">
        <v>175</v>
      </c>
      <c r="B518" s="45"/>
      <c r="C518" s="42">
        <f t="shared" si="18"/>
        <v>0</v>
      </c>
      <c r="D518" s="42">
        <f t="shared" si="19"/>
        <v>0</v>
      </c>
      <c r="E518" s="42">
        <f t="shared" si="20"/>
        <v>0</v>
      </c>
      <c r="F518" s="45"/>
      <c r="G518" s="42">
        <f t="shared" si="21"/>
        <v>0</v>
      </c>
    </row>
    <row r="519" spans="1:7" ht="12.75" hidden="1" customHeight="1">
      <c r="A519" s="39" t="s">
        <v>176</v>
      </c>
      <c r="B519" s="43">
        <v>11</v>
      </c>
      <c r="C519" s="53">
        <f t="shared" si="18"/>
        <v>13150.043648648645</v>
      </c>
      <c r="D519" s="53">
        <f t="shared" si="19"/>
        <v>30880.62306306306</v>
      </c>
      <c r="E519" s="53">
        <f t="shared" si="20"/>
        <v>10043.207612612614</v>
      </c>
      <c r="F519" s="45"/>
      <c r="G519" s="42">
        <f t="shared" si="21"/>
        <v>54073.874324324315</v>
      </c>
    </row>
    <row r="520" spans="1:7" ht="12.75" hidden="1" customHeight="1">
      <c r="A520" s="39" t="s">
        <v>177</v>
      </c>
      <c r="B520" s="43"/>
      <c r="C520" s="42">
        <f t="shared" si="18"/>
        <v>0</v>
      </c>
      <c r="D520" s="42">
        <f t="shared" si="19"/>
        <v>0</v>
      </c>
      <c r="E520" s="42">
        <f t="shared" si="20"/>
        <v>0</v>
      </c>
      <c r="F520" s="45"/>
      <c r="G520" s="42">
        <f t="shared" si="21"/>
        <v>0</v>
      </c>
    </row>
    <row r="521" spans="1:7" ht="12.75" hidden="1" customHeight="1">
      <c r="A521" s="39" t="s">
        <v>178</v>
      </c>
      <c r="B521" s="43"/>
      <c r="C521" s="42">
        <f t="shared" si="18"/>
        <v>0</v>
      </c>
      <c r="D521" s="42">
        <f t="shared" si="19"/>
        <v>0</v>
      </c>
      <c r="E521" s="42">
        <f t="shared" si="20"/>
        <v>0</v>
      </c>
      <c r="F521" s="45"/>
      <c r="G521" s="42">
        <f t="shared" si="21"/>
        <v>0</v>
      </c>
    </row>
    <row r="522" spans="1:7" ht="12.75" hidden="1" customHeight="1">
      <c r="A522" s="39" t="s">
        <v>179</v>
      </c>
      <c r="B522" s="43">
        <v>21</v>
      </c>
      <c r="C522" s="53">
        <f t="shared" si="18"/>
        <v>25104.628783783777</v>
      </c>
      <c r="D522" s="53">
        <f t="shared" si="19"/>
        <v>58953.916756756749</v>
      </c>
      <c r="E522" s="53">
        <f t="shared" si="20"/>
        <v>19173.396351351352</v>
      </c>
      <c r="F522" s="45"/>
      <c r="G522" s="42">
        <f t="shared" si="21"/>
        <v>103231.94189189188</v>
      </c>
    </row>
    <row r="523" spans="1:7" ht="12.75" hidden="1" customHeight="1">
      <c r="A523" s="39" t="s">
        <v>180</v>
      </c>
      <c r="B523" s="43"/>
      <c r="C523" s="42">
        <f t="shared" si="18"/>
        <v>0</v>
      </c>
      <c r="D523" s="42">
        <f t="shared" si="19"/>
        <v>0</v>
      </c>
      <c r="E523" s="42">
        <f t="shared" si="20"/>
        <v>0</v>
      </c>
      <c r="F523" s="45"/>
      <c r="G523" s="42">
        <f t="shared" si="21"/>
        <v>0</v>
      </c>
    </row>
    <row r="524" spans="1:7" ht="12.75" hidden="1" customHeight="1">
      <c r="A524" s="39" t="s">
        <v>181</v>
      </c>
      <c r="B524" s="43"/>
      <c r="C524" s="42">
        <f t="shared" si="18"/>
        <v>0</v>
      </c>
      <c r="D524" s="42">
        <f t="shared" si="19"/>
        <v>0</v>
      </c>
      <c r="E524" s="42">
        <f t="shared" si="20"/>
        <v>0</v>
      </c>
      <c r="F524" s="45"/>
      <c r="G524" s="42">
        <f t="shared" si="21"/>
        <v>0</v>
      </c>
    </row>
    <row r="525" spans="1:7" ht="12.75" hidden="1" customHeight="1">
      <c r="A525" s="39" t="s">
        <v>182</v>
      </c>
      <c r="B525" s="41"/>
      <c r="C525" s="42">
        <f t="shared" si="18"/>
        <v>0</v>
      </c>
      <c r="D525" s="42">
        <f t="shared" si="19"/>
        <v>0</v>
      </c>
      <c r="E525" s="42">
        <f t="shared" si="20"/>
        <v>0</v>
      </c>
      <c r="F525" s="45"/>
      <c r="G525" s="42">
        <f t="shared" si="21"/>
        <v>0</v>
      </c>
    </row>
    <row r="526" spans="1:7" ht="12.75" hidden="1" customHeight="1">
      <c r="A526" s="39" t="s">
        <v>183</v>
      </c>
      <c r="B526" s="43"/>
      <c r="C526" s="42">
        <f t="shared" si="18"/>
        <v>0</v>
      </c>
      <c r="D526" s="42">
        <f t="shared" si="19"/>
        <v>0</v>
      </c>
      <c r="E526" s="42">
        <f t="shared" si="20"/>
        <v>0</v>
      </c>
      <c r="F526" s="45"/>
      <c r="G526" s="42">
        <f t="shared" si="21"/>
        <v>0</v>
      </c>
    </row>
    <row r="527" spans="1:7" ht="12.75" hidden="1" customHeight="1">
      <c r="A527" s="39" t="s">
        <v>184</v>
      </c>
      <c r="B527" s="43"/>
      <c r="C527" s="42">
        <f t="shared" si="18"/>
        <v>0</v>
      </c>
      <c r="D527" s="42">
        <f t="shared" si="19"/>
        <v>0</v>
      </c>
      <c r="E527" s="42">
        <f t="shared" si="20"/>
        <v>0</v>
      </c>
      <c r="F527" s="45"/>
      <c r="G527" s="42">
        <f t="shared" si="21"/>
        <v>0</v>
      </c>
    </row>
    <row r="528" spans="1:7" ht="12.75" hidden="1" customHeight="1">
      <c r="A528" s="39" t="s">
        <v>185</v>
      </c>
      <c r="B528" s="43">
        <v>0.5</v>
      </c>
      <c r="C528" s="53">
        <f t="shared" si="18"/>
        <v>597.72925675675663</v>
      </c>
      <c r="D528" s="53">
        <f t="shared" si="19"/>
        <v>1403.6646846846845</v>
      </c>
      <c r="E528" s="53">
        <f t="shared" si="20"/>
        <v>456.50943693693699</v>
      </c>
      <c r="F528" s="45"/>
      <c r="G528" s="42">
        <f t="shared" si="21"/>
        <v>2457.9033783783784</v>
      </c>
    </row>
    <row r="529" spans="1:7" ht="12.75" hidden="1" customHeight="1">
      <c r="A529" s="39" t="s">
        <v>186</v>
      </c>
      <c r="B529" s="43">
        <v>10</v>
      </c>
      <c r="C529" s="53">
        <f t="shared" si="18"/>
        <v>11954.585135135134</v>
      </c>
      <c r="D529" s="53">
        <f t="shared" si="19"/>
        <v>28073.293693693693</v>
      </c>
      <c r="E529" s="53">
        <f t="shared" si="20"/>
        <v>9130.1887387387396</v>
      </c>
      <c r="F529" s="45"/>
      <c r="G529" s="42">
        <f t="shared" si="21"/>
        <v>49158.067567567567</v>
      </c>
    </row>
    <row r="530" spans="1:7" ht="12.75" hidden="1" customHeight="1">
      <c r="A530" s="39" t="s">
        <v>187</v>
      </c>
      <c r="B530" s="43"/>
      <c r="C530" s="42">
        <f t="shared" si="18"/>
        <v>0</v>
      </c>
      <c r="D530" s="42">
        <f t="shared" si="19"/>
        <v>0</v>
      </c>
      <c r="E530" s="42">
        <f t="shared" si="20"/>
        <v>0</v>
      </c>
      <c r="F530" s="45"/>
      <c r="G530" s="42">
        <f t="shared" si="21"/>
        <v>0</v>
      </c>
    </row>
    <row r="531" spans="1:7" ht="12.75" hidden="1" customHeight="1">
      <c r="A531" s="39" t="s">
        <v>188</v>
      </c>
      <c r="B531" s="43"/>
      <c r="C531" s="42">
        <f t="shared" si="18"/>
        <v>0</v>
      </c>
      <c r="D531" s="42">
        <f t="shared" si="19"/>
        <v>0</v>
      </c>
      <c r="E531" s="42">
        <f t="shared" si="20"/>
        <v>0</v>
      </c>
      <c r="F531" s="45"/>
      <c r="G531" s="42">
        <f t="shared" si="21"/>
        <v>0</v>
      </c>
    </row>
    <row r="532" spans="1:7" ht="12.75" hidden="1" customHeight="1">
      <c r="A532" s="39" t="s">
        <v>189</v>
      </c>
      <c r="B532" s="43">
        <v>10</v>
      </c>
      <c r="C532" s="53">
        <f t="shared" si="18"/>
        <v>11954.585135135134</v>
      </c>
      <c r="D532" s="53">
        <f t="shared" si="19"/>
        <v>28073.293693693693</v>
      </c>
      <c r="E532" s="53">
        <f t="shared" si="20"/>
        <v>9130.1887387387396</v>
      </c>
      <c r="F532" s="45"/>
      <c r="G532" s="42">
        <f t="shared" si="21"/>
        <v>49158.067567567567</v>
      </c>
    </row>
    <row r="533" spans="1:7" ht="12.75" hidden="1" customHeight="1">
      <c r="A533" s="117" t="s">
        <v>190</v>
      </c>
      <c r="B533" s="119">
        <v>14</v>
      </c>
      <c r="C533" s="118">
        <f t="shared" si="18"/>
        <v>16736.41918918919</v>
      </c>
      <c r="D533" s="118">
        <f t="shared" si="19"/>
        <v>39302.611171171171</v>
      </c>
      <c r="E533" s="118">
        <f t="shared" si="20"/>
        <v>12782.264234234237</v>
      </c>
      <c r="F533" s="120"/>
      <c r="G533" s="118">
        <f t="shared" si="21"/>
        <v>68821.294594594598</v>
      </c>
    </row>
    <row r="534" spans="1:7" ht="12.75" hidden="1" customHeight="1">
      <c r="A534" s="58" t="s">
        <v>190</v>
      </c>
      <c r="B534" s="59">
        <v>8</v>
      </c>
      <c r="C534" s="60">
        <f t="shared" si="18"/>
        <v>9563.668108108106</v>
      </c>
      <c r="D534" s="60">
        <f t="shared" si="19"/>
        <v>22458.634954954952</v>
      </c>
      <c r="E534" s="60">
        <f t="shared" si="20"/>
        <v>7304.1509909909919</v>
      </c>
      <c r="F534" s="61">
        <f>8/10.5*F549</f>
        <v>16822.057142857138</v>
      </c>
      <c r="G534" s="60">
        <f t="shared" si="21"/>
        <v>56148.511196911189</v>
      </c>
    </row>
    <row r="535" spans="1:7" ht="12.75" hidden="1" customHeight="1">
      <c r="A535" s="39" t="s">
        <v>191</v>
      </c>
      <c r="B535" s="45">
        <v>10.5</v>
      </c>
      <c r="C535" s="53">
        <f t="shared" si="18"/>
        <v>12552.314391891889</v>
      </c>
      <c r="D535" s="53">
        <f t="shared" si="19"/>
        <v>29476.958378378375</v>
      </c>
      <c r="E535" s="53">
        <f t="shared" si="20"/>
        <v>9586.6981756756759</v>
      </c>
      <c r="F535" s="45"/>
      <c r="G535" s="42">
        <f t="shared" si="21"/>
        <v>51615.970945945941</v>
      </c>
    </row>
    <row r="536" spans="1:7" ht="12.75" hidden="1" customHeight="1">
      <c r="A536" s="39" t="s">
        <v>17</v>
      </c>
      <c r="B536" s="41">
        <v>8.5</v>
      </c>
      <c r="C536" s="53">
        <f t="shared" si="18"/>
        <v>10161.397364864864</v>
      </c>
      <c r="D536" s="53">
        <f t="shared" si="19"/>
        <v>23862.299639639637</v>
      </c>
      <c r="E536" s="53">
        <f t="shared" si="20"/>
        <v>7760.660427927929</v>
      </c>
      <c r="F536" s="45"/>
      <c r="G536" s="42">
        <f t="shared" si="21"/>
        <v>41784.357432432429</v>
      </c>
    </row>
    <row r="537" spans="1:7" ht="12.75" hidden="1" customHeight="1">
      <c r="A537" s="39" t="s">
        <v>18</v>
      </c>
      <c r="B537" s="43"/>
      <c r="C537" s="42">
        <f t="shared" si="18"/>
        <v>0</v>
      </c>
      <c r="D537" s="42">
        <f t="shared" si="19"/>
        <v>0</v>
      </c>
      <c r="E537" s="42">
        <f t="shared" si="20"/>
        <v>0</v>
      </c>
      <c r="F537" s="45"/>
      <c r="G537" s="42">
        <f t="shared" si="21"/>
        <v>0</v>
      </c>
    </row>
    <row r="538" spans="1:7" ht="12.75" hidden="1" customHeight="1">
      <c r="A538" s="39" t="s">
        <v>192</v>
      </c>
      <c r="B538" s="43"/>
      <c r="C538" s="42">
        <f t="shared" si="18"/>
        <v>0</v>
      </c>
      <c r="D538" s="42">
        <f t="shared" si="19"/>
        <v>0</v>
      </c>
      <c r="E538" s="42">
        <f t="shared" si="20"/>
        <v>0</v>
      </c>
      <c r="F538" s="45"/>
      <c r="G538" s="42">
        <f t="shared" si="21"/>
        <v>0</v>
      </c>
    </row>
    <row r="539" spans="1:7" ht="12.75" hidden="1" customHeight="1">
      <c r="A539" s="39" t="s">
        <v>19</v>
      </c>
      <c r="B539" s="43"/>
      <c r="C539" s="42">
        <f t="shared" si="18"/>
        <v>0</v>
      </c>
      <c r="D539" s="42">
        <f t="shared" si="19"/>
        <v>0</v>
      </c>
      <c r="E539" s="42">
        <f t="shared" si="20"/>
        <v>0</v>
      </c>
      <c r="F539" s="45"/>
      <c r="G539" s="42">
        <f t="shared" si="21"/>
        <v>0</v>
      </c>
    </row>
    <row r="540" spans="1:7" ht="12.75" hidden="1" customHeight="1">
      <c r="A540" s="39" t="s">
        <v>193</v>
      </c>
      <c r="B540" s="43"/>
      <c r="C540" s="42">
        <f t="shared" si="18"/>
        <v>0</v>
      </c>
      <c r="D540" s="42">
        <f t="shared" si="19"/>
        <v>0</v>
      </c>
      <c r="E540" s="42">
        <f t="shared" si="20"/>
        <v>0</v>
      </c>
      <c r="F540" s="45"/>
      <c r="G540" s="42">
        <f t="shared" si="21"/>
        <v>0</v>
      </c>
    </row>
    <row r="541" spans="1:7" ht="12.75" hidden="1" customHeight="1">
      <c r="A541" s="39" t="s">
        <v>194</v>
      </c>
      <c r="B541" s="43"/>
      <c r="C541" s="42">
        <f t="shared" si="18"/>
        <v>0</v>
      </c>
      <c r="D541" s="42">
        <f t="shared" si="19"/>
        <v>0</v>
      </c>
      <c r="E541" s="42">
        <f t="shared" si="20"/>
        <v>0</v>
      </c>
      <c r="F541" s="45"/>
      <c r="G541" s="42">
        <f t="shared" si="21"/>
        <v>0</v>
      </c>
    </row>
    <row r="542" spans="1:7" ht="12.75" hidden="1" customHeight="1">
      <c r="A542" s="39" t="s">
        <v>195</v>
      </c>
      <c r="B542" s="43"/>
      <c r="C542" s="42">
        <f t="shared" si="18"/>
        <v>0</v>
      </c>
      <c r="D542" s="42">
        <f t="shared" si="19"/>
        <v>0</v>
      </c>
      <c r="E542" s="42">
        <f t="shared" si="20"/>
        <v>0</v>
      </c>
      <c r="F542" s="45"/>
      <c r="G542" s="42">
        <f t="shared" si="21"/>
        <v>0</v>
      </c>
    </row>
    <row r="543" spans="1:7" ht="12.75" hidden="1" customHeight="1">
      <c r="A543" s="39" t="s">
        <v>196</v>
      </c>
      <c r="B543" s="43"/>
      <c r="C543" s="42">
        <f t="shared" si="18"/>
        <v>0</v>
      </c>
      <c r="D543" s="42">
        <f t="shared" si="19"/>
        <v>0</v>
      </c>
      <c r="E543" s="42">
        <f t="shared" si="20"/>
        <v>0</v>
      </c>
      <c r="F543" s="45"/>
      <c r="G543" s="42">
        <f t="shared" si="21"/>
        <v>0</v>
      </c>
    </row>
    <row r="544" spans="1:7" ht="12.75" hidden="1" customHeight="1">
      <c r="A544" s="39" t="s">
        <v>197</v>
      </c>
      <c r="B544" s="43"/>
      <c r="C544" s="42">
        <f t="shared" si="18"/>
        <v>0</v>
      </c>
      <c r="D544" s="42">
        <f t="shared" si="19"/>
        <v>0</v>
      </c>
      <c r="E544" s="42">
        <f t="shared" si="20"/>
        <v>0</v>
      </c>
      <c r="F544" s="45"/>
      <c r="G544" s="42">
        <f t="shared" si="21"/>
        <v>0</v>
      </c>
    </row>
    <row r="545" spans="1:7" ht="12.75" hidden="1" customHeight="1">
      <c r="A545" s="39" t="s">
        <v>198</v>
      </c>
      <c r="B545" s="43"/>
      <c r="C545" s="42">
        <f t="shared" si="18"/>
        <v>0</v>
      </c>
      <c r="D545" s="42">
        <f t="shared" si="19"/>
        <v>0</v>
      </c>
      <c r="E545" s="42">
        <f t="shared" si="20"/>
        <v>0</v>
      </c>
      <c r="F545" s="45"/>
      <c r="G545" s="42">
        <f t="shared" si="21"/>
        <v>0</v>
      </c>
    </row>
    <row r="546" spans="1:7" ht="12.75" hidden="1" customHeight="1">
      <c r="A546" s="39" t="s">
        <v>199</v>
      </c>
      <c r="B546" s="43"/>
      <c r="C546" s="42">
        <f t="shared" si="18"/>
        <v>0</v>
      </c>
      <c r="D546" s="42">
        <f t="shared" si="19"/>
        <v>0</v>
      </c>
      <c r="E546" s="42">
        <f t="shared" si="20"/>
        <v>0</v>
      </c>
      <c r="F546" s="45"/>
      <c r="G546" s="42">
        <f t="shared" si="21"/>
        <v>0</v>
      </c>
    </row>
    <row r="547" spans="1:7" ht="12.75" hidden="1" customHeight="1">
      <c r="A547" s="39" t="s">
        <v>200</v>
      </c>
      <c r="B547" s="43"/>
      <c r="C547" s="42">
        <f>B547/B$549*C$549</f>
        <v>0</v>
      </c>
      <c r="D547" s="42">
        <f>B547/B$549*D$549</f>
        <v>0</v>
      </c>
      <c r="E547" s="42">
        <f>B547/B$549*E$549</f>
        <v>0</v>
      </c>
      <c r="F547" s="45"/>
      <c r="G547" s="42">
        <f>SUM(C547:F547)</f>
        <v>0</v>
      </c>
    </row>
    <row r="548" spans="1:7" ht="12.75" hidden="1" customHeight="1">
      <c r="A548" s="39" t="s">
        <v>201</v>
      </c>
      <c r="B548" s="43">
        <v>0.5</v>
      </c>
      <c r="C548" s="53">
        <f>B548/B$549*C$549</f>
        <v>597.72925675675663</v>
      </c>
      <c r="D548" s="53">
        <f>B548/B$549*D$549</f>
        <v>1403.6646846846845</v>
      </c>
      <c r="E548" s="53">
        <f>B548/B$549*E$549</f>
        <v>456.50943693693699</v>
      </c>
      <c r="F548" s="45"/>
      <c r="G548" s="42">
        <f>SUM(C548:F548)</f>
        <v>2457.9033783783784</v>
      </c>
    </row>
    <row r="549" spans="1:7" ht="12.75" hidden="1" customHeight="1">
      <c r="A549" s="122" t="s">
        <v>202</v>
      </c>
      <c r="B549" s="123">
        <f>SUM(B481:B548)</f>
        <v>166.5</v>
      </c>
      <c r="C549" s="124">
        <f>C556-C555</f>
        <v>199043.84249999997</v>
      </c>
      <c r="D549" s="124">
        <f>D556-D555</f>
        <v>467420.33999999997</v>
      </c>
      <c r="E549" s="124">
        <f>E556-E555</f>
        <v>152017.64250000002</v>
      </c>
      <c r="F549" s="124">
        <f>F556-F555</f>
        <v>22078.949999999997</v>
      </c>
      <c r="G549" s="124">
        <f>SUM(C549:F549)</f>
        <v>840560.77499999991</v>
      </c>
    </row>
    <row r="550" spans="1:7" ht="12.75" hidden="1" customHeight="1">
      <c r="A550" s="46" t="s">
        <v>203</v>
      </c>
      <c r="B550" s="43"/>
      <c r="C550" s="42"/>
      <c r="D550" s="42"/>
      <c r="E550" s="42"/>
      <c r="F550" s="45"/>
      <c r="G550" s="42"/>
    </row>
    <row r="551" spans="1:7" ht="12.75" hidden="1" customHeight="1">
      <c r="A551" s="46" t="s">
        <v>204</v>
      </c>
      <c r="B551" s="43"/>
      <c r="C551" s="42"/>
      <c r="D551" s="42"/>
      <c r="E551" s="42"/>
      <c r="F551" s="45"/>
      <c r="G551" s="42"/>
    </row>
    <row r="552" spans="1:7" ht="12.75" hidden="1" customHeight="1">
      <c r="A552" s="46" t="s">
        <v>205</v>
      </c>
      <c r="B552" s="43"/>
      <c r="C552" s="42"/>
      <c r="D552" s="42"/>
      <c r="E552" s="42"/>
      <c r="F552" s="45"/>
      <c r="G552" s="42"/>
    </row>
    <row r="553" spans="1:7" ht="12.75" hidden="1" customHeight="1">
      <c r="A553" s="39" t="s">
        <v>206</v>
      </c>
      <c r="B553" s="43"/>
      <c r="C553" s="42"/>
      <c r="D553" s="42"/>
      <c r="E553" s="42"/>
      <c r="F553" s="45"/>
      <c r="G553" s="42"/>
    </row>
    <row r="554" spans="1:7" ht="12.75" hidden="1" customHeight="1">
      <c r="A554" s="49" t="s">
        <v>207</v>
      </c>
      <c r="B554" s="48"/>
      <c r="C554" s="42"/>
      <c r="D554" s="42"/>
      <c r="E554" s="42"/>
      <c r="F554" s="62"/>
      <c r="G554" s="42"/>
    </row>
    <row r="555" spans="1:7" ht="12.75" hidden="1" customHeight="1">
      <c r="A555" s="39" t="s">
        <v>208</v>
      </c>
      <c r="B555" s="48"/>
      <c r="C555" s="42">
        <f>7/28*C556</f>
        <v>66347.947499999995</v>
      </c>
      <c r="D555" s="42">
        <f>7/28*D556</f>
        <v>155806.78</v>
      </c>
      <c r="E555" s="42">
        <f>7/28*E556</f>
        <v>50672.547500000001</v>
      </c>
      <c r="F555" s="57">
        <f>7/28*F556</f>
        <v>7359.65</v>
      </c>
      <c r="G555" s="42">
        <f>SUM(C555:F555)</f>
        <v>280186.92499999999</v>
      </c>
    </row>
    <row r="556" spans="1:7" ht="12.75" hidden="1" customHeight="1">
      <c r="A556" s="48" t="s">
        <v>209</v>
      </c>
      <c r="B556" s="43"/>
      <c r="C556" s="42">
        <f>265391.79</f>
        <v>265391.78999999998</v>
      </c>
      <c r="D556" s="42">
        <f>58469.8+64400+62517.7+23425.8+9197+330964.16+64285.26+39406-29438.6</f>
        <v>623227.12</v>
      </c>
      <c r="E556" s="42">
        <f>202690.19</f>
        <v>202690.19</v>
      </c>
      <c r="F556" s="39">
        <v>29438.6</v>
      </c>
      <c r="G556" s="42">
        <f>SUM(C556:F556)</f>
        <v>1120747.7</v>
      </c>
    </row>
    <row r="557" spans="1:7" ht="12.75" hidden="1" customHeight="1">
      <c r="A557" s="63" t="s">
        <v>400</v>
      </c>
      <c r="B557" s="52"/>
      <c r="C557" s="51">
        <f>C555</f>
        <v>66347.947499999995</v>
      </c>
      <c r="D557" s="51">
        <f>D555+F555</f>
        <v>163166.43</v>
      </c>
      <c r="E557" s="64">
        <f>E555</f>
        <v>50672.547500000001</v>
      </c>
      <c r="F557" s="65"/>
      <c r="G557" s="40"/>
    </row>
    <row r="558" spans="1:7" ht="12.75" hidden="1" customHeight="1">
      <c r="A558" s="63"/>
      <c r="B558" s="52"/>
      <c r="C558" s="51">
        <f>C533+C534</f>
        <v>26300.087297297294</v>
      </c>
      <c r="D558" s="51">
        <f>D533+D534+F534</f>
        <v>78583.303268983262</v>
      </c>
      <c r="E558" s="51">
        <f>E533+E534</f>
        <v>20086.415225225228</v>
      </c>
      <c r="F558" s="65"/>
      <c r="G558" s="40"/>
    </row>
    <row r="559" spans="1:7" ht="12.75" hidden="1" customHeight="1">
      <c r="A559" s="51"/>
      <c r="B559" s="52"/>
      <c r="C559" s="51">
        <f>C497</f>
        <v>2988.6462837837835</v>
      </c>
      <c r="D559" s="51">
        <f>D497+F497</f>
        <v>12275.216280566279</v>
      </c>
      <c r="E559" s="64">
        <f>E497</f>
        <v>2282.5471846846849</v>
      </c>
      <c r="F559" s="65"/>
      <c r="G559" s="40"/>
    </row>
    <row r="560" spans="1:7" ht="12.75" hidden="1" customHeight="1">
      <c r="A560" s="269" t="s">
        <v>333</v>
      </c>
      <c r="B560" s="269"/>
      <c r="C560" s="269"/>
      <c r="D560" s="269"/>
      <c r="E560" s="269"/>
      <c r="F560" s="269"/>
      <c r="G560" s="40"/>
    </row>
    <row r="561" spans="1:7" ht="12.75" hidden="1" customHeight="1">
      <c r="A561" s="42" t="s">
        <v>86</v>
      </c>
      <c r="B561" s="43" t="s">
        <v>211</v>
      </c>
      <c r="C561" s="43" t="s">
        <v>212</v>
      </c>
      <c r="D561" s="43" t="s">
        <v>88</v>
      </c>
      <c r="E561" s="43" t="s">
        <v>89</v>
      </c>
      <c r="F561" s="43" t="s">
        <v>90</v>
      </c>
      <c r="G561" s="45" t="s">
        <v>213</v>
      </c>
    </row>
    <row r="562" spans="1:7" ht="12.75" hidden="1" customHeight="1">
      <c r="A562" s="42" t="s">
        <v>20</v>
      </c>
      <c r="B562" s="43"/>
      <c r="C562" s="43"/>
      <c r="D562" s="44"/>
      <c r="E562" s="44"/>
      <c r="F562" s="44"/>
      <c r="G562" s="39"/>
    </row>
    <row r="563" spans="1:7" ht="12.75" hidden="1" customHeight="1">
      <c r="A563" s="42" t="s">
        <v>214</v>
      </c>
      <c r="B563" s="43"/>
      <c r="C563" s="43"/>
      <c r="D563" s="44"/>
      <c r="E563" s="44"/>
      <c r="F563" s="44"/>
      <c r="G563" s="44"/>
    </row>
    <row r="564" spans="1:7" ht="12.75" hidden="1" customHeight="1">
      <c r="A564" s="42" t="s">
        <v>215</v>
      </c>
      <c r="B564" s="43"/>
      <c r="C564" s="43"/>
      <c r="D564" s="44"/>
      <c r="E564" s="44"/>
      <c r="F564" s="44"/>
      <c r="G564" s="44"/>
    </row>
    <row r="565" spans="1:7" ht="12.75" hidden="1" customHeight="1">
      <c r="A565" s="42" t="s">
        <v>216</v>
      </c>
      <c r="B565" s="43"/>
      <c r="C565" s="43"/>
      <c r="D565" s="44"/>
      <c r="E565" s="44"/>
      <c r="F565" s="44"/>
      <c r="G565" s="44"/>
    </row>
    <row r="566" spans="1:7" ht="12.75" hidden="1" customHeight="1">
      <c r="A566" s="42" t="s">
        <v>217</v>
      </c>
      <c r="B566" s="43"/>
      <c r="C566" s="43"/>
      <c r="D566" s="44"/>
      <c r="E566" s="44"/>
      <c r="F566" s="44"/>
      <c r="G566" s="44"/>
    </row>
    <row r="567" spans="1:7" ht="12.75" hidden="1" customHeight="1">
      <c r="A567" s="42" t="s">
        <v>218</v>
      </c>
      <c r="B567" s="45"/>
      <c r="C567" s="45"/>
      <c r="D567" s="44"/>
      <c r="E567" s="44"/>
      <c r="F567" s="44"/>
      <c r="G567" s="44"/>
    </row>
    <row r="568" spans="1:7" ht="12.75" hidden="1" customHeight="1">
      <c r="A568" s="42" t="s">
        <v>219</v>
      </c>
      <c r="B568" s="45">
        <f>192+8</f>
        <v>200</v>
      </c>
      <c r="C568" s="45">
        <v>448</v>
      </c>
      <c r="D568" s="66">
        <f>C568/C601*D595</f>
        <v>65627.883461538469</v>
      </c>
      <c r="E568" s="66">
        <f>B568/B601*E595</f>
        <v>107301.73155737705</v>
      </c>
      <c r="F568" s="66">
        <f>C568/C601*F595</f>
        <v>48109.511153846157</v>
      </c>
      <c r="G568" s="44">
        <f>SUM(D568:F568)</f>
        <v>221039.12617276167</v>
      </c>
    </row>
    <row r="569" spans="1:7" ht="12.75" hidden="1" customHeight="1">
      <c r="A569" s="42" t="s">
        <v>21</v>
      </c>
      <c r="B569" s="43"/>
      <c r="C569" s="43"/>
      <c r="D569" s="44"/>
      <c r="E569" s="44"/>
      <c r="F569" s="44"/>
      <c r="G569" s="44">
        <f t="shared" ref="G569:G580" si="22">SUM(D569:F569)</f>
        <v>0</v>
      </c>
    </row>
    <row r="570" spans="1:7" ht="12.75" hidden="1" customHeight="1">
      <c r="A570" s="42" t="s">
        <v>220</v>
      </c>
      <c r="B570" s="43"/>
      <c r="C570" s="43"/>
      <c r="D570" s="44"/>
      <c r="E570" s="44"/>
      <c r="F570" s="44"/>
      <c r="G570" s="44">
        <f t="shared" si="22"/>
        <v>0</v>
      </c>
    </row>
    <row r="571" spans="1:7" ht="12.75" hidden="1" customHeight="1">
      <c r="A571" s="42" t="s">
        <v>221</v>
      </c>
      <c r="B571" s="43"/>
      <c r="C571" s="43"/>
      <c r="D571" s="44"/>
      <c r="E571" s="44"/>
      <c r="F571" s="44"/>
      <c r="G571" s="44">
        <f t="shared" si="22"/>
        <v>0</v>
      </c>
    </row>
    <row r="572" spans="1:7" ht="12.75" hidden="1" customHeight="1">
      <c r="A572" s="42" t="s">
        <v>22</v>
      </c>
      <c r="B572" s="43"/>
      <c r="C572" s="43"/>
      <c r="D572" s="44"/>
      <c r="E572" s="44"/>
      <c r="F572" s="44"/>
      <c r="G572" s="44">
        <f t="shared" si="22"/>
        <v>0</v>
      </c>
    </row>
    <row r="573" spans="1:7" ht="12.75" hidden="1" customHeight="1">
      <c r="A573" s="42" t="s">
        <v>23</v>
      </c>
      <c r="B573" s="43"/>
      <c r="C573" s="43"/>
      <c r="D573" s="44"/>
      <c r="E573" s="44"/>
      <c r="F573" s="44"/>
      <c r="G573" s="44">
        <f t="shared" si="22"/>
        <v>0</v>
      </c>
    </row>
    <row r="574" spans="1:7" ht="12.75" hidden="1" customHeight="1">
      <c r="A574" s="42" t="s">
        <v>24</v>
      </c>
      <c r="B574" s="43"/>
      <c r="C574" s="43"/>
      <c r="D574" s="44"/>
      <c r="E574" s="44"/>
      <c r="F574" s="44"/>
      <c r="G574" s="44">
        <f t="shared" si="22"/>
        <v>0</v>
      </c>
    </row>
    <row r="575" spans="1:7" ht="12.75" hidden="1" customHeight="1">
      <c r="A575" s="42" t="s">
        <v>222</v>
      </c>
      <c r="B575" s="43"/>
      <c r="C575" s="43"/>
      <c r="D575" s="44"/>
      <c r="E575" s="44"/>
      <c r="F575" s="44"/>
      <c r="G575" s="44">
        <f t="shared" si="22"/>
        <v>0</v>
      </c>
    </row>
    <row r="576" spans="1:7" ht="12.75" hidden="1" customHeight="1">
      <c r="A576" s="42" t="s">
        <v>223</v>
      </c>
      <c r="B576" s="43"/>
      <c r="C576" s="43"/>
      <c r="D576" s="44"/>
      <c r="E576" s="44"/>
      <c r="F576" s="44"/>
      <c r="G576" s="44">
        <f t="shared" si="22"/>
        <v>0</v>
      </c>
    </row>
    <row r="577" spans="1:7" ht="12.75" hidden="1" customHeight="1">
      <c r="A577" s="42" t="s">
        <v>224</v>
      </c>
      <c r="B577" s="43"/>
      <c r="C577" s="43"/>
      <c r="D577" s="44"/>
      <c r="E577" s="44"/>
      <c r="F577" s="44"/>
      <c r="G577" s="44">
        <f t="shared" si="22"/>
        <v>0</v>
      </c>
    </row>
    <row r="578" spans="1:7" ht="12.75" hidden="1" customHeight="1">
      <c r="A578" s="42" t="s">
        <v>225</v>
      </c>
      <c r="B578" s="43">
        <f>132+8</f>
        <v>140</v>
      </c>
      <c r="C578" s="43">
        <v>320</v>
      </c>
      <c r="D578" s="66">
        <f>C578/C601*D595</f>
        <v>46877.059615384613</v>
      </c>
      <c r="E578" s="66">
        <f>B578/B601*E595</f>
        <v>75111.212090163928</v>
      </c>
      <c r="F578" s="66">
        <f>C578/C601*F595</f>
        <v>34363.936538461538</v>
      </c>
      <c r="G578" s="44">
        <f t="shared" si="22"/>
        <v>156352.20824401008</v>
      </c>
    </row>
    <row r="579" spans="1:7" ht="12.75" hidden="1" customHeight="1">
      <c r="A579" s="42" t="s">
        <v>226</v>
      </c>
      <c r="B579" s="43"/>
      <c r="C579" s="43"/>
      <c r="D579" s="44"/>
      <c r="E579" s="44"/>
      <c r="F579" s="44"/>
      <c r="G579" s="44">
        <f t="shared" si="22"/>
        <v>0</v>
      </c>
    </row>
    <row r="580" spans="1:7" ht="12.75" hidden="1" customHeight="1">
      <c r="A580" s="42" t="s">
        <v>227</v>
      </c>
      <c r="B580" s="43">
        <f>52+8</f>
        <v>60</v>
      </c>
      <c r="C580" s="43">
        <v>128</v>
      </c>
      <c r="D580" s="66">
        <f>C580/C601*D595</f>
        <v>18750.823846153846</v>
      </c>
      <c r="E580" s="66">
        <f>B580/B601*E595</f>
        <v>32190.519467213111</v>
      </c>
      <c r="F580" s="66">
        <f>C580/C601*F595</f>
        <v>13745.574615384616</v>
      </c>
      <c r="G580" s="44">
        <f t="shared" si="22"/>
        <v>64686.917928751573</v>
      </c>
    </row>
    <row r="581" spans="1:7" ht="12.75" hidden="1" customHeight="1">
      <c r="A581" s="46" t="s">
        <v>228</v>
      </c>
      <c r="B581" s="43"/>
      <c r="C581" s="43"/>
      <c r="D581" s="44"/>
      <c r="E581" s="44"/>
      <c r="F581" s="44"/>
      <c r="G581" s="44"/>
    </row>
    <row r="582" spans="1:7" ht="12.75" hidden="1" customHeight="1">
      <c r="A582" s="42" t="s">
        <v>25</v>
      </c>
      <c r="B582" s="43"/>
      <c r="C582" s="43"/>
      <c r="D582" s="44"/>
      <c r="E582" s="44"/>
      <c r="F582" s="44"/>
      <c r="G582" s="44"/>
    </row>
    <row r="583" spans="1:7" ht="12.75" hidden="1" customHeight="1">
      <c r="A583" s="46" t="s">
        <v>229</v>
      </c>
      <c r="B583" s="43"/>
      <c r="C583" s="43"/>
      <c r="D583" s="44"/>
      <c r="E583" s="44"/>
      <c r="F583" s="44"/>
      <c r="G583" s="44"/>
    </row>
    <row r="584" spans="1:7" ht="12.75" hidden="1" customHeight="1">
      <c r="A584" s="42" t="s">
        <v>230</v>
      </c>
      <c r="B584" s="43"/>
      <c r="C584" s="43"/>
      <c r="D584" s="44"/>
      <c r="E584" s="44"/>
      <c r="F584" s="44"/>
      <c r="G584" s="44"/>
    </row>
    <row r="585" spans="1:7" ht="12.75" hidden="1" customHeight="1">
      <c r="A585" s="42" t="s">
        <v>231</v>
      </c>
      <c r="B585" s="43"/>
      <c r="C585" s="43"/>
      <c r="D585" s="44"/>
      <c r="E585" s="44"/>
      <c r="F585" s="44"/>
      <c r="G585" s="44"/>
    </row>
    <row r="586" spans="1:7" ht="12.75" hidden="1" customHeight="1">
      <c r="A586" s="42" t="s">
        <v>232</v>
      </c>
      <c r="B586" s="43"/>
      <c r="C586" s="43"/>
      <c r="D586" s="44"/>
      <c r="E586" s="44"/>
      <c r="F586" s="44"/>
      <c r="G586" s="44"/>
    </row>
    <row r="587" spans="1:7" ht="12.75" hidden="1" customHeight="1">
      <c r="A587" s="42" t="s">
        <v>26</v>
      </c>
      <c r="B587" s="43"/>
      <c r="C587" s="43"/>
      <c r="D587" s="44"/>
      <c r="E587" s="44"/>
      <c r="F587" s="44"/>
      <c r="G587" s="44"/>
    </row>
    <row r="588" spans="1:7" ht="12.75" hidden="1" customHeight="1">
      <c r="A588" s="42" t="s">
        <v>27</v>
      </c>
      <c r="B588" s="43"/>
      <c r="C588" s="43"/>
      <c r="D588" s="44"/>
      <c r="E588" s="44"/>
      <c r="F588" s="44"/>
      <c r="G588" s="44"/>
    </row>
    <row r="589" spans="1:7" ht="12.75" hidden="1" customHeight="1">
      <c r="A589" s="42" t="s">
        <v>28</v>
      </c>
      <c r="B589" s="43"/>
      <c r="C589" s="43"/>
      <c r="D589" s="44"/>
      <c r="E589" s="44"/>
      <c r="F589" s="44"/>
      <c r="G589" s="44"/>
    </row>
    <row r="590" spans="1:7" ht="12.75" hidden="1" customHeight="1">
      <c r="A590" s="46" t="s">
        <v>233</v>
      </c>
      <c r="B590" s="43"/>
      <c r="C590" s="43"/>
      <c r="D590" s="44"/>
      <c r="E590" s="44"/>
      <c r="F590" s="44"/>
      <c r="G590" s="44"/>
    </row>
    <row r="591" spans="1:7" ht="12.75" hidden="1" customHeight="1">
      <c r="A591" s="46" t="s">
        <v>234</v>
      </c>
      <c r="B591" s="43"/>
      <c r="C591" s="43"/>
      <c r="D591" s="44"/>
      <c r="E591" s="44"/>
      <c r="F591" s="44"/>
      <c r="G591" s="44"/>
    </row>
    <row r="592" spans="1:7" ht="12.75" hidden="1" customHeight="1">
      <c r="A592" s="46" t="s">
        <v>235</v>
      </c>
      <c r="B592" s="43"/>
      <c r="C592" s="43"/>
      <c r="D592" s="44"/>
      <c r="E592" s="44"/>
      <c r="F592" s="44"/>
      <c r="G592" s="44"/>
    </row>
    <row r="593" spans="1:7" ht="12.75" hidden="1" customHeight="1">
      <c r="A593" s="46" t="s">
        <v>236</v>
      </c>
      <c r="B593" s="43"/>
      <c r="C593" s="43"/>
      <c r="D593" s="44"/>
      <c r="E593" s="44"/>
      <c r="F593" s="44"/>
      <c r="G593" s="44"/>
    </row>
    <row r="594" spans="1:7" ht="12.75" hidden="1" customHeight="1">
      <c r="A594" s="46" t="s">
        <v>411</v>
      </c>
      <c r="B594" s="43">
        <f>42+26+14+6</f>
        <v>88</v>
      </c>
      <c r="C594" s="43">
        <f>88+88+88+88</f>
        <v>352</v>
      </c>
      <c r="D594" s="44">
        <f>C594/C601*D595</f>
        <v>51564.765576923077</v>
      </c>
      <c r="E594" s="44">
        <f>B594/B601*E595</f>
        <v>47212.761885245898</v>
      </c>
      <c r="F594" s="44">
        <f>C594/C601*F595</f>
        <v>37800.330192307694</v>
      </c>
      <c r="G594" s="44">
        <f>SUM(D594:F594)</f>
        <v>136577.85765447665</v>
      </c>
    </row>
    <row r="595" spans="1:7" ht="12.75" hidden="1" customHeight="1">
      <c r="A595" s="49" t="s">
        <v>238</v>
      </c>
      <c r="B595" s="48"/>
      <c r="C595" s="48"/>
      <c r="D595" s="44">
        <f>D601-D600</f>
        <v>182820.5325</v>
      </c>
      <c r="E595" s="44">
        <f>E601-E600</f>
        <v>261816.22499999998</v>
      </c>
      <c r="F595" s="44">
        <f>F601-F600</f>
        <v>134019.35250000001</v>
      </c>
      <c r="G595" s="44">
        <f>SUM(D595:F595)</f>
        <v>578656.11</v>
      </c>
    </row>
    <row r="596" spans="1:7" ht="12.75" hidden="1" customHeight="1">
      <c r="A596" s="39" t="s">
        <v>239</v>
      </c>
      <c r="B596" s="43"/>
      <c r="C596" s="45"/>
      <c r="E596" s="44"/>
      <c r="F596" s="44"/>
      <c r="G596" s="44"/>
    </row>
    <row r="597" spans="1:7" ht="12.75" hidden="1" customHeight="1">
      <c r="A597" s="39" t="s">
        <v>240</v>
      </c>
      <c r="B597" s="43"/>
      <c r="C597" s="45"/>
      <c r="D597" s="44"/>
      <c r="E597" s="44"/>
      <c r="F597" s="44"/>
      <c r="G597" s="44"/>
    </row>
    <row r="598" spans="1:7" ht="12.75" hidden="1" customHeight="1">
      <c r="A598" s="39" t="s">
        <v>241</v>
      </c>
      <c r="B598" s="43"/>
      <c r="C598" s="45"/>
      <c r="D598" s="44"/>
      <c r="E598" s="44"/>
      <c r="F598" s="44"/>
      <c r="G598" s="44"/>
    </row>
    <row r="599" spans="1:7" ht="12.75" hidden="1" customHeight="1">
      <c r="A599" s="39" t="s">
        <v>242</v>
      </c>
      <c r="B599" s="43"/>
      <c r="C599" s="45"/>
      <c r="D599" s="44"/>
      <c r="E599" s="44"/>
      <c r="F599" s="44"/>
      <c r="G599" s="44"/>
    </row>
    <row r="600" spans="1:7" ht="12.75" hidden="1" customHeight="1">
      <c r="A600" s="110" t="s">
        <v>386</v>
      </c>
      <c r="B600" s="43"/>
      <c r="C600" s="39"/>
      <c r="D600" s="44">
        <f>7/28*D601</f>
        <v>60940.177499999998</v>
      </c>
      <c r="E600" s="44">
        <f>7/28*E601</f>
        <v>87272.074999999997</v>
      </c>
      <c r="F600" s="44">
        <f>7/28*F601</f>
        <v>44673.1175</v>
      </c>
      <c r="G600" s="44">
        <f>SUM(D600:F600)</f>
        <v>192885.37</v>
      </c>
    </row>
    <row r="601" spans="1:7" ht="12.75" hidden="1" customHeight="1">
      <c r="A601" s="42" t="s">
        <v>244</v>
      </c>
      <c r="B601" s="45">
        <f>SUM(B562:B600)</f>
        <v>488</v>
      </c>
      <c r="C601" s="45">
        <f>SUM(C562:C600)</f>
        <v>1248</v>
      </c>
      <c r="D601" s="44">
        <f>243760.71</f>
        <v>243760.71</v>
      </c>
      <c r="E601" s="44">
        <f>16736.6+120536+108095.2+17328.8+2196+61029.3+17612.4+5554</f>
        <v>349088.3</v>
      </c>
      <c r="F601" s="44">
        <f>178692.47</f>
        <v>178692.47</v>
      </c>
      <c r="G601" s="44">
        <f>SUM(D601:F601)</f>
        <v>771541.48</v>
      </c>
    </row>
    <row r="602" spans="1:7" ht="12.75" hidden="1" customHeight="1">
      <c r="A602" s="268" t="s">
        <v>377</v>
      </c>
      <c r="B602" s="268"/>
      <c r="C602" s="268"/>
      <c r="D602" s="268"/>
      <c r="E602" s="268"/>
      <c r="F602" s="268"/>
      <c r="G602" s="268"/>
    </row>
    <row r="603" spans="1:7" ht="12.75" hidden="1" customHeight="1">
      <c r="A603" s="113" t="s">
        <v>410</v>
      </c>
      <c r="B603" s="64"/>
      <c r="C603" s="65"/>
      <c r="D603" s="65"/>
      <c r="E603" s="64"/>
      <c r="F603" s="65"/>
      <c r="G603" s="40"/>
    </row>
    <row r="604" spans="1:7" ht="12.75" hidden="1" customHeight="1">
      <c r="A604" s="65"/>
      <c r="B604" s="64"/>
      <c r="C604" s="65"/>
      <c r="D604" s="65"/>
      <c r="E604" s="64"/>
      <c r="F604" s="65"/>
      <c r="G604" s="40"/>
    </row>
    <row r="605" spans="1:7" ht="12.75" hidden="1" customHeight="1">
      <c r="A605" s="65"/>
      <c r="B605" s="64"/>
      <c r="C605" s="65"/>
      <c r="D605" s="65"/>
      <c r="E605" s="64"/>
      <c r="F605" s="65"/>
      <c r="G605" s="40"/>
    </row>
    <row r="606" spans="1:7" ht="12.75" hidden="1" customHeight="1">
      <c r="A606" s="65"/>
      <c r="B606" s="64"/>
      <c r="C606" s="65"/>
      <c r="D606" s="65"/>
      <c r="E606" s="64"/>
      <c r="F606" s="65"/>
      <c r="G606" s="40"/>
    </row>
    <row r="607" spans="1:7" ht="12.75" hidden="1" customHeight="1">
      <c r="A607" s="269" t="s">
        <v>334</v>
      </c>
      <c r="B607" s="269"/>
      <c r="C607" s="269"/>
      <c r="D607" s="269"/>
      <c r="E607" s="269"/>
      <c r="F607" s="269"/>
      <c r="G607" s="40"/>
    </row>
    <row r="608" spans="1:7" ht="12.75" hidden="1" customHeight="1">
      <c r="A608" s="42" t="s">
        <v>86</v>
      </c>
      <c r="B608" s="43" t="s">
        <v>246</v>
      </c>
      <c r="C608" s="43" t="s">
        <v>88</v>
      </c>
      <c r="D608" s="43" t="s">
        <v>89</v>
      </c>
      <c r="E608" s="43" t="s">
        <v>90</v>
      </c>
      <c r="F608" s="43" t="s">
        <v>91</v>
      </c>
      <c r="G608" s="40"/>
    </row>
    <row r="609" spans="1:7" ht="12.75" hidden="1" customHeight="1">
      <c r="A609" s="67" t="s">
        <v>247</v>
      </c>
      <c r="B609" s="43"/>
      <c r="C609" s="42"/>
      <c r="D609" s="42"/>
      <c r="E609" s="42"/>
      <c r="F609" s="42"/>
      <c r="G609" s="40"/>
    </row>
    <row r="610" spans="1:7" ht="12.75" hidden="1" customHeight="1">
      <c r="A610" s="67" t="s">
        <v>248</v>
      </c>
      <c r="B610" s="43"/>
      <c r="C610" s="42"/>
      <c r="D610" s="42"/>
      <c r="E610" s="42"/>
      <c r="F610" s="42"/>
      <c r="G610" s="40"/>
    </row>
    <row r="611" spans="1:7" ht="12.75" hidden="1" customHeight="1">
      <c r="A611" s="67" t="s">
        <v>249</v>
      </c>
      <c r="B611" s="45"/>
      <c r="C611" s="42"/>
      <c r="D611" s="42"/>
      <c r="E611" s="42"/>
      <c r="F611" s="42"/>
      <c r="G611" s="40"/>
    </row>
    <row r="612" spans="1:7" ht="12.75" hidden="1" customHeight="1">
      <c r="A612" s="67" t="s">
        <v>250</v>
      </c>
      <c r="B612" s="43"/>
      <c r="C612" s="42"/>
      <c r="D612" s="42"/>
      <c r="E612" s="42"/>
      <c r="F612" s="42"/>
      <c r="G612" s="40"/>
    </row>
    <row r="613" spans="1:7" ht="12.75" hidden="1" customHeight="1">
      <c r="A613" s="67" t="s">
        <v>251</v>
      </c>
      <c r="B613" s="43"/>
      <c r="C613" s="42"/>
      <c r="D613" s="42"/>
      <c r="E613" s="42"/>
      <c r="F613" s="42"/>
      <c r="G613" s="40"/>
    </row>
    <row r="614" spans="1:7" ht="12.75" hidden="1" customHeight="1">
      <c r="A614" s="68" t="s">
        <v>252</v>
      </c>
      <c r="B614" s="69"/>
      <c r="C614" s="42"/>
      <c r="D614" s="42"/>
      <c r="E614" s="42"/>
      <c r="F614" s="42"/>
      <c r="G614" s="40"/>
    </row>
    <row r="615" spans="1:7" ht="12.75" hidden="1" customHeight="1">
      <c r="A615" s="68" t="s">
        <v>253</v>
      </c>
      <c r="B615" s="69"/>
      <c r="C615" s="42"/>
      <c r="D615" s="42"/>
      <c r="E615" s="42"/>
      <c r="F615" s="42"/>
      <c r="G615" s="40"/>
    </row>
    <row r="616" spans="1:7" ht="12.75" hidden="1" customHeight="1">
      <c r="A616" s="67" t="s">
        <v>254</v>
      </c>
      <c r="B616" s="70">
        <f>36.5+1</f>
        <v>37.5</v>
      </c>
      <c r="C616" s="53">
        <f t="shared" ref="C616:C625" si="23">B616/B$645*C$640</f>
        <v>14196.694655987396</v>
      </c>
      <c r="D616" s="53">
        <f>B616/B$645*D$640</f>
        <v>32429.456801470587</v>
      </c>
      <c r="E616" s="53">
        <f>B616/B$645*E$640</f>
        <v>14222.491071428571</v>
      </c>
      <c r="F616" s="42">
        <f>SUM(C616:E616)</f>
        <v>60848.642528886558</v>
      </c>
      <c r="G616" s="40"/>
    </row>
    <row r="617" spans="1:7" ht="12.75" hidden="1" customHeight="1">
      <c r="A617" s="67" t="s">
        <v>255</v>
      </c>
      <c r="B617" s="70"/>
      <c r="C617" s="53">
        <f t="shared" si="23"/>
        <v>0</v>
      </c>
      <c r="D617" s="53">
        <f t="shared" ref="D617:D625" si="24">B617/B$645*D$640</f>
        <v>0</v>
      </c>
      <c r="E617" s="53">
        <f t="shared" ref="E617:E625" si="25">B617/B$645*E$640</f>
        <v>0</v>
      </c>
      <c r="F617" s="42"/>
      <c r="G617" s="40"/>
    </row>
    <row r="618" spans="1:7" ht="12.75" hidden="1" customHeight="1">
      <c r="A618" s="67" t="s">
        <v>256</v>
      </c>
      <c r="B618" s="70"/>
      <c r="C618" s="53">
        <f t="shared" si="23"/>
        <v>0</v>
      </c>
      <c r="D618" s="53">
        <f t="shared" si="24"/>
        <v>0</v>
      </c>
      <c r="E618" s="53">
        <f t="shared" si="25"/>
        <v>0</v>
      </c>
      <c r="F618" s="42"/>
      <c r="G618" s="40"/>
    </row>
    <row r="619" spans="1:7" ht="12.75" hidden="1" customHeight="1">
      <c r="A619" s="67" t="s">
        <v>257</v>
      </c>
      <c r="B619" s="70">
        <f>16+1</f>
        <v>17</v>
      </c>
      <c r="C619" s="53">
        <f t="shared" si="23"/>
        <v>6435.8349107142858</v>
      </c>
      <c r="D619" s="53">
        <f t="shared" si="24"/>
        <v>14701.353749999998</v>
      </c>
      <c r="E619" s="53">
        <f t="shared" si="25"/>
        <v>6447.5292857142849</v>
      </c>
      <c r="F619" s="42">
        <f>SUM(C619:E619)</f>
        <v>27584.717946428569</v>
      </c>
      <c r="G619" s="40"/>
    </row>
    <row r="620" spans="1:7" ht="12.75" hidden="1" customHeight="1">
      <c r="A620" s="71" t="s">
        <v>258</v>
      </c>
      <c r="B620" s="72"/>
      <c r="C620" s="53">
        <f t="shared" si="23"/>
        <v>0</v>
      </c>
      <c r="D620" s="53">
        <f t="shared" si="24"/>
        <v>0</v>
      </c>
      <c r="E620" s="53">
        <f t="shared" si="25"/>
        <v>0</v>
      </c>
      <c r="F620" s="42">
        <f t="shared" ref="F620:F625" si="26">SUM(C620:E620)</f>
        <v>0</v>
      </c>
      <c r="G620" s="40"/>
    </row>
    <row r="621" spans="1:7" ht="12.75" hidden="1" customHeight="1">
      <c r="A621" s="67" t="s">
        <v>259</v>
      </c>
      <c r="B621" s="43"/>
      <c r="C621" s="53">
        <f t="shared" si="23"/>
        <v>0</v>
      </c>
      <c r="D621" s="53">
        <f t="shared" si="24"/>
        <v>0</v>
      </c>
      <c r="E621" s="53">
        <f t="shared" si="25"/>
        <v>0</v>
      </c>
      <c r="F621" s="42">
        <f t="shared" si="26"/>
        <v>0</v>
      </c>
      <c r="G621" s="40"/>
    </row>
    <row r="622" spans="1:7" ht="12.75" hidden="1" customHeight="1">
      <c r="A622" s="73" t="s">
        <v>260</v>
      </c>
      <c r="B622" s="43"/>
      <c r="C622" s="53">
        <f t="shared" si="23"/>
        <v>0</v>
      </c>
      <c r="D622" s="53">
        <f t="shared" si="24"/>
        <v>0</v>
      </c>
      <c r="E622" s="53">
        <f t="shared" si="25"/>
        <v>0</v>
      </c>
      <c r="F622" s="42">
        <f t="shared" si="26"/>
        <v>0</v>
      </c>
      <c r="G622" s="40"/>
    </row>
    <row r="623" spans="1:7" ht="12.75" hidden="1" customHeight="1">
      <c r="A623" s="73" t="s">
        <v>261</v>
      </c>
      <c r="B623" s="43">
        <f>30+1</f>
        <v>31</v>
      </c>
      <c r="C623" s="53">
        <f t="shared" si="23"/>
        <v>11735.934248949579</v>
      </c>
      <c r="D623" s="53">
        <f t="shared" si="24"/>
        <v>26808.35095588235</v>
      </c>
      <c r="E623" s="53">
        <f t="shared" si="25"/>
        <v>11757.259285714284</v>
      </c>
      <c r="F623" s="42">
        <f t="shared" si="26"/>
        <v>50301.544490546221</v>
      </c>
      <c r="G623" s="40"/>
    </row>
    <row r="624" spans="1:7" ht="12.75" hidden="1" customHeight="1">
      <c r="A624" s="73" t="s">
        <v>262</v>
      </c>
      <c r="B624" s="43">
        <f>6.5+1</f>
        <v>7.5</v>
      </c>
      <c r="C624" s="53">
        <f t="shared" si="23"/>
        <v>2839.3389311974788</v>
      </c>
      <c r="D624" s="53">
        <f t="shared" si="24"/>
        <v>6485.8913602941166</v>
      </c>
      <c r="E624" s="53">
        <f t="shared" si="25"/>
        <v>2844.4982142857139</v>
      </c>
      <c r="F624" s="42">
        <f t="shared" si="26"/>
        <v>12169.72850577731</v>
      </c>
      <c r="G624" s="40"/>
    </row>
    <row r="625" spans="1:7" ht="12.75" hidden="1" customHeight="1">
      <c r="A625" s="74" t="s">
        <v>263</v>
      </c>
      <c r="B625" s="43">
        <f>42+1</f>
        <v>43</v>
      </c>
      <c r="C625" s="53">
        <f t="shared" si="23"/>
        <v>16278.876538865547</v>
      </c>
      <c r="D625" s="53">
        <f t="shared" si="24"/>
        <v>37185.777132352938</v>
      </c>
      <c r="E625" s="53">
        <f t="shared" si="25"/>
        <v>16308.456428571426</v>
      </c>
      <c r="F625" s="42">
        <f t="shared" si="26"/>
        <v>69773.110099789905</v>
      </c>
      <c r="G625" s="40"/>
    </row>
    <row r="626" spans="1:7" ht="12.75" hidden="1" customHeight="1">
      <c r="A626" s="74" t="s">
        <v>264</v>
      </c>
      <c r="B626" s="43"/>
      <c r="C626" s="42"/>
      <c r="D626" s="42"/>
      <c r="E626" s="42"/>
      <c r="F626" s="42"/>
      <c r="G626" s="40"/>
    </row>
    <row r="627" spans="1:7" ht="12.75" hidden="1" customHeight="1">
      <c r="A627" s="74" t="s">
        <v>265</v>
      </c>
      <c r="B627" s="43"/>
      <c r="C627" s="42"/>
      <c r="D627" s="42"/>
      <c r="E627" s="42"/>
      <c r="F627" s="42"/>
      <c r="G627" s="40"/>
    </row>
    <row r="628" spans="1:7" ht="12.75" hidden="1" customHeight="1">
      <c r="A628" s="74" t="s">
        <v>266</v>
      </c>
      <c r="B628" s="43"/>
      <c r="C628" s="42"/>
      <c r="D628" s="42"/>
      <c r="E628" s="42"/>
      <c r="F628" s="42"/>
      <c r="G628" s="40"/>
    </row>
    <row r="629" spans="1:7" ht="12.75" hidden="1" customHeight="1">
      <c r="A629" s="74" t="s">
        <v>267</v>
      </c>
      <c r="B629" s="43"/>
      <c r="C629" s="42"/>
      <c r="D629" s="42"/>
      <c r="E629" s="42"/>
      <c r="F629" s="42"/>
      <c r="G629" s="40"/>
    </row>
    <row r="630" spans="1:7" ht="12.75" hidden="1" customHeight="1">
      <c r="A630" s="74" t="s">
        <v>268</v>
      </c>
      <c r="B630" s="43"/>
      <c r="C630" s="42"/>
      <c r="D630" s="42"/>
      <c r="E630" s="42"/>
      <c r="F630" s="42"/>
      <c r="G630" s="40"/>
    </row>
    <row r="631" spans="1:7" ht="12.75" hidden="1" customHeight="1">
      <c r="A631" s="67" t="s">
        <v>269</v>
      </c>
      <c r="B631" s="43"/>
      <c r="C631" s="42"/>
      <c r="D631" s="42"/>
      <c r="E631" s="42"/>
      <c r="F631" s="42"/>
      <c r="G631" s="40"/>
    </row>
    <row r="632" spans="1:7" ht="12.75" hidden="1" customHeight="1">
      <c r="A632" s="67" t="s">
        <v>270</v>
      </c>
      <c r="B632" s="43"/>
      <c r="C632" s="42"/>
      <c r="D632" s="42"/>
      <c r="E632" s="42"/>
      <c r="F632" s="42"/>
      <c r="G632" s="40"/>
    </row>
    <row r="633" spans="1:7" ht="12.75" hidden="1" customHeight="1">
      <c r="A633" s="67" t="s">
        <v>271</v>
      </c>
      <c r="B633" s="43"/>
      <c r="C633" s="42"/>
      <c r="D633" s="42"/>
      <c r="E633" s="42"/>
      <c r="F633" s="42"/>
      <c r="G633" s="40"/>
    </row>
    <row r="634" spans="1:7" ht="12.75" hidden="1" customHeight="1">
      <c r="A634" s="67" t="s">
        <v>272</v>
      </c>
      <c r="B634" s="43"/>
      <c r="C634" s="42"/>
      <c r="D634" s="42"/>
      <c r="E634" s="42"/>
      <c r="F634" s="42"/>
      <c r="G634" s="40"/>
    </row>
    <row r="635" spans="1:7" ht="12.75" hidden="1" customHeight="1">
      <c r="A635" s="67" t="s">
        <v>273</v>
      </c>
      <c r="B635" s="43"/>
      <c r="C635" s="42"/>
      <c r="D635" s="42"/>
      <c r="E635" s="42"/>
      <c r="F635" s="42"/>
      <c r="G635" s="40"/>
    </row>
    <row r="636" spans="1:7" ht="12.75" hidden="1" customHeight="1">
      <c r="A636" s="67" t="s">
        <v>274</v>
      </c>
      <c r="B636" s="43"/>
      <c r="C636" s="42"/>
      <c r="D636" s="42"/>
      <c r="E636" s="42"/>
      <c r="F636" s="42"/>
      <c r="G636" s="40"/>
    </row>
    <row r="637" spans="1:7" ht="12.75" hidden="1" customHeight="1">
      <c r="A637" s="67" t="s">
        <v>275</v>
      </c>
      <c r="B637" s="43"/>
      <c r="C637" s="42"/>
      <c r="D637" s="42"/>
      <c r="E637" s="42"/>
      <c r="F637" s="42"/>
      <c r="G637" s="40"/>
    </row>
    <row r="638" spans="1:7" ht="12.75" hidden="1" customHeight="1">
      <c r="A638" s="67" t="s">
        <v>276</v>
      </c>
      <c r="B638" s="43"/>
      <c r="C638" s="42"/>
      <c r="D638" s="42"/>
      <c r="E638" s="42"/>
      <c r="F638" s="42"/>
      <c r="G638" s="40"/>
    </row>
    <row r="639" spans="1:7" ht="12.75" hidden="1" customHeight="1">
      <c r="A639" s="67" t="s">
        <v>277</v>
      </c>
      <c r="B639" s="43"/>
      <c r="C639" s="42"/>
      <c r="D639" s="42"/>
      <c r="E639" s="42"/>
      <c r="F639" s="42"/>
      <c r="G639" s="40"/>
    </row>
    <row r="640" spans="1:7" ht="12.75" hidden="1" customHeight="1">
      <c r="A640" s="49" t="s">
        <v>278</v>
      </c>
      <c r="B640" s="43"/>
      <c r="C640" s="42">
        <f>C645-C642</f>
        <v>51486.679285714286</v>
      </c>
      <c r="D640" s="42">
        <f>D645-D642</f>
        <v>117610.82999999999</v>
      </c>
      <c r="E640" s="42">
        <f>E645-E642</f>
        <v>51580.234285714279</v>
      </c>
      <c r="F640" s="42">
        <f>SUM(C640:E640)</f>
        <v>220677.74357142855</v>
      </c>
      <c r="G640" s="40"/>
    </row>
    <row r="641" spans="1:7" ht="12.75" hidden="1" customHeight="1">
      <c r="A641" s="39" t="s">
        <v>202</v>
      </c>
      <c r="B641" s="43"/>
      <c r="C641" s="42"/>
      <c r="D641" s="42"/>
      <c r="E641" s="42"/>
      <c r="F641" s="42"/>
      <c r="G641" s="40"/>
    </row>
    <row r="642" spans="1:7" ht="12.75" hidden="1" customHeight="1">
      <c r="A642" s="39" t="s">
        <v>279</v>
      </c>
      <c r="B642" s="43"/>
      <c r="C642" s="42">
        <f>10/28*C645</f>
        <v>28603.710714285713</v>
      </c>
      <c r="D642" s="42">
        <f>10/28*D645</f>
        <v>65339.35</v>
      </c>
      <c r="E642" s="42">
        <f>10/28*E645</f>
        <v>28655.685714285715</v>
      </c>
      <c r="F642" s="42">
        <f>SUM(C642:E642)</f>
        <v>122598.74642857142</v>
      </c>
      <c r="G642" s="40"/>
    </row>
    <row r="643" spans="1:7" ht="12.75" hidden="1" customHeight="1">
      <c r="A643" s="39" t="s">
        <v>280</v>
      </c>
      <c r="B643" s="43"/>
      <c r="C643" s="42"/>
      <c r="D643" s="42"/>
      <c r="E643" s="42"/>
      <c r="F643" s="42"/>
      <c r="G643" s="40"/>
    </row>
    <row r="644" spans="1:7" ht="12.75" hidden="1" customHeight="1">
      <c r="A644" s="39"/>
      <c r="B644" s="43"/>
      <c r="C644" s="42"/>
      <c r="D644" s="42"/>
      <c r="E644" s="42"/>
      <c r="F644" s="42"/>
      <c r="G644" s="40"/>
    </row>
    <row r="645" spans="1:7" ht="12.75" hidden="1" customHeight="1">
      <c r="A645" s="75" t="s">
        <v>281</v>
      </c>
      <c r="B645" s="43">
        <f>SUM(B609:B643)</f>
        <v>136</v>
      </c>
      <c r="C645" s="42">
        <v>80090.39</v>
      </c>
      <c r="D645" s="42">
        <f>15670+51042+43353.8+7045.8+5242+43486.28+13209.3+3901</f>
        <v>182950.18</v>
      </c>
      <c r="E645" s="44">
        <f>80235.92</f>
        <v>80235.92</v>
      </c>
      <c r="F645" s="42">
        <f>SUM(C645:E645)</f>
        <v>343276.49</v>
      </c>
      <c r="G645" s="40"/>
    </row>
    <row r="646" spans="1:7" ht="12.75" hidden="1" customHeight="1">
      <c r="A646" s="109" t="s">
        <v>390</v>
      </c>
      <c r="B646" s="41"/>
      <c r="C646" s="40"/>
      <c r="D646" s="40"/>
      <c r="E646" s="41"/>
      <c r="F646" s="40"/>
      <c r="G646" s="40"/>
    </row>
    <row r="647" spans="1:7" ht="12.75" hidden="1" customHeight="1">
      <c r="A647" s="76"/>
      <c r="B647" s="41"/>
      <c r="C647" s="40"/>
      <c r="D647" s="40"/>
      <c r="E647" s="41"/>
      <c r="F647" s="40"/>
      <c r="G647" s="40"/>
    </row>
    <row r="648" spans="1:7" ht="12.75" hidden="1" customHeight="1">
      <c r="A648" s="269" t="s">
        <v>335</v>
      </c>
      <c r="B648" s="269"/>
      <c r="C648" s="269"/>
      <c r="D648" s="269"/>
      <c r="E648" s="269"/>
      <c r="F648" s="269"/>
      <c r="G648" s="40"/>
    </row>
    <row r="649" spans="1:7" ht="12.75" hidden="1" customHeight="1">
      <c r="A649" s="42" t="s">
        <v>86</v>
      </c>
      <c r="B649" s="43" t="s">
        <v>87</v>
      </c>
      <c r="C649" s="43" t="s">
        <v>88</v>
      </c>
      <c r="D649" s="43" t="s">
        <v>89</v>
      </c>
      <c r="E649" s="43" t="s">
        <v>90</v>
      </c>
      <c r="F649" s="43" t="s">
        <v>91</v>
      </c>
      <c r="G649" s="40"/>
    </row>
    <row r="650" spans="1:7" ht="12.75" hidden="1" customHeight="1">
      <c r="A650" s="39" t="s">
        <v>284</v>
      </c>
      <c r="B650" s="43"/>
      <c r="C650" s="44"/>
      <c r="D650" s="44"/>
      <c r="E650" s="44"/>
      <c r="F650" s="44"/>
      <c r="G650" s="40"/>
    </row>
    <row r="651" spans="1:7" ht="12.75" hidden="1" customHeight="1">
      <c r="A651" s="39" t="s">
        <v>285</v>
      </c>
      <c r="B651" s="43"/>
      <c r="C651" s="44"/>
      <c r="D651" s="44"/>
      <c r="E651" s="44"/>
      <c r="F651" s="44"/>
      <c r="G651" s="40"/>
    </row>
    <row r="652" spans="1:7" ht="12.75" hidden="1" customHeight="1">
      <c r="A652" s="39" t="s">
        <v>286</v>
      </c>
      <c r="B652" s="43"/>
      <c r="C652" s="44"/>
      <c r="D652" s="44"/>
      <c r="E652" s="44"/>
      <c r="F652" s="44"/>
      <c r="G652" s="40"/>
    </row>
    <row r="653" spans="1:7" ht="12.75" hidden="1" customHeight="1">
      <c r="A653" s="39" t="s">
        <v>287</v>
      </c>
      <c r="B653" s="43"/>
      <c r="C653" s="44"/>
      <c r="D653" s="44"/>
      <c r="E653" s="44"/>
      <c r="F653" s="44"/>
      <c r="G653" s="40"/>
    </row>
    <row r="654" spans="1:7" ht="12.75" hidden="1" customHeight="1">
      <c r="A654" s="39" t="s">
        <v>288</v>
      </c>
      <c r="B654" s="43"/>
      <c r="C654" s="44"/>
      <c r="D654" s="44"/>
      <c r="E654" s="44"/>
      <c r="F654" s="44"/>
      <c r="G654" s="40"/>
    </row>
    <row r="655" spans="1:7" ht="12.75" hidden="1" customHeight="1">
      <c r="A655" s="39" t="s">
        <v>289</v>
      </c>
      <c r="B655" s="43"/>
      <c r="C655" s="44"/>
      <c r="D655" s="44"/>
      <c r="E655" s="44"/>
      <c r="F655" s="44"/>
      <c r="G655" s="40"/>
    </row>
    <row r="656" spans="1:7" ht="12.75" hidden="1" customHeight="1">
      <c r="A656" s="39" t="s">
        <v>290</v>
      </c>
      <c r="B656" s="43"/>
      <c r="C656" s="44"/>
      <c r="D656" s="44"/>
      <c r="E656" s="44"/>
      <c r="F656" s="44"/>
      <c r="G656" s="40"/>
    </row>
    <row r="657" spans="1:7" ht="12.75" hidden="1" customHeight="1">
      <c r="A657" s="39" t="s">
        <v>291</v>
      </c>
      <c r="B657" s="43"/>
      <c r="C657" s="44"/>
      <c r="D657" s="44"/>
      <c r="E657" s="44"/>
      <c r="F657" s="44"/>
      <c r="G657" s="40"/>
    </row>
    <row r="658" spans="1:7" ht="12.75" hidden="1" customHeight="1">
      <c r="A658" s="39" t="s">
        <v>292</v>
      </c>
      <c r="B658" s="43"/>
      <c r="C658" s="44"/>
      <c r="D658" s="44"/>
      <c r="E658" s="44"/>
      <c r="F658" s="44"/>
      <c r="G658" s="40"/>
    </row>
    <row r="659" spans="1:7" ht="12.75" hidden="1" customHeight="1">
      <c r="A659" s="39" t="s">
        <v>293</v>
      </c>
      <c r="B659" s="43"/>
      <c r="C659" s="44"/>
      <c r="D659" s="44"/>
      <c r="E659" s="44"/>
      <c r="F659" s="44"/>
      <c r="G659" s="40"/>
    </row>
    <row r="660" spans="1:7" ht="12.75" hidden="1" customHeight="1">
      <c r="A660" s="39" t="s">
        <v>30</v>
      </c>
      <c r="B660" s="45"/>
      <c r="C660" s="44"/>
      <c r="D660" s="44"/>
      <c r="E660" s="44"/>
      <c r="F660" s="44"/>
      <c r="G660" s="40"/>
    </row>
    <row r="661" spans="1:7" ht="12.75" hidden="1" customHeight="1">
      <c r="A661" s="39" t="s">
        <v>294</v>
      </c>
      <c r="B661" s="43"/>
      <c r="C661" s="44"/>
      <c r="D661" s="44"/>
      <c r="E661" s="44"/>
      <c r="F661" s="44"/>
      <c r="G661" s="40"/>
    </row>
    <row r="662" spans="1:7" ht="12.75" hidden="1" customHeight="1">
      <c r="A662" s="39" t="s">
        <v>31</v>
      </c>
      <c r="B662" s="43"/>
      <c r="C662" s="44"/>
      <c r="D662" s="44"/>
      <c r="E662" s="44"/>
      <c r="F662" s="44"/>
      <c r="G662" s="40"/>
    </row>
    <row r="663" spans="1:7" ht="12.75" hidden="1" customHeight="1">
      <c r="A663" s="39" t="s">
        <v>295</v>
      </c>
      <c r="B663" s="43"/>
      <c r="C663" s="44"/>
      <c r="D663" s="44"/>
      <c r="E663" s="44"/>
      <c r="F663" s="44"/>
      <c r="G663" s="40"/>
    </row>
    <row r="664" spans="1:7" ht="12.75" hidden="1" customHeight="1">
      <c r="A664" s="39" t="s">
        <v>296</v>
      </c>
      <c r="B664" s="41"/>
      <c r="C664" s="44"/>
      <c r="D664" s="44"/>
      <c r="E664" s="44"/>
      <c r="F664" s="44"/>
      <c r="G664" s="40"/>
    </row>
    <row r="665" spans="1:7" ht="12.75" hidden="1" customHeight="1">
      <c r="A665" s="39" t="s">
        <v>297</v>
      </c>
      <c r="B665" s="43"/>
      <c r="C665" s="44"/>
      <c r="D665" s="44"/>
      <c r="E665" s="44"/>
      <c r="F665" s="44"/>
      <c r="G665" s="40"/>
    </row>
    <row r="666" spans="1:7" ht="12.75" hidden="1" customHeight="1">
      <c r="A666" s="39" t="s">
        <v>298</v>
      </c>
      <c r="B666" s="43"/>
      <c r="C666" s="44"/>
      <c r="D666" s="44"/>
      <c r="E666" s="44"/>
      <c r="F666" s="44"/>
      <c r="G666" s="40"/>
    </row>
    <row r="667" spans="1:7" ht="12.75" hidden="1" customHeight="1">
      <c r="A667" s="39" t="s">
        <v>299</v>
      </c>
      <c r="B667" s="43"/>
      <c r="C667" s="44"/>
      <c r="D667" s="44"/>
      <c r="E667" s="44"/>
      <c r="F667" s="44"/>
      <c r="G667" s="40"/>
    </row>
    <row r="668" spans="1:7" ht="12.75" hidden="1" customHeight="1">
      <c r="A668" s="39" t="s">
        <v>300</v>
      </c>
      <c r="B668" s="45"/>
      <c r="C668" s="44"/>
      <c r="D668" s="44"/>
      <c r="E668" s="44"/>
      <c r="F668" s="44"/>
      <c r="G668" s="40"/>
    </row>
    <row r="669" spans="1:7" ht="12.75" hidden="1" customHeight="1">
      <c r="A669" s="39" t="s">
        <v>301</v>
      </c>
      <c r="B669" s="43"/>
      <c r="C669" s="44"/>
      <c r="D669" s="44"/>
      <c r="E669" s="44"/>
      <c r="F669" s="44"/>
      <c r="G669" s="40"/>
    </row>
    <row r="670" spans="1:7" ht="12.75" hidden="1" customHeight="1">
      <c r="A670" s="39" t="s">
        <v>32</v>
      </c>
      <c r="B670" s="43"/>
      <c r="C670" s="44"/>
      <c r="D670" s="44"/>
      <c r="E670" s="44"/>
      <c r="F670" s="44"/>
      <c r="G670" s="40"/>
    </row>
    <row r="671" spans="1:7" ht="12.75" hidden="1" customHeight="1">
      <c r="A671" s="39" t="s">
        <v>33</v>
      </c>
      <c r="B671" s="45"/>
      <c r="C671" s="44"/>
      <c r="D671" s="44"/>
      <c r="E671" s="44"/>
      <c r="F671" s="44"/>
      <c r="G671" s="40"/>
    </row>
    <row r="672" spans="1:7" ht="12.75" hidden="1" customHeight="1">
      <c r="A672" s="39" t="s">
        <v>302</v>
      </c>
      <c r="B672" s="45"/>
      <c r="C672" s="44"/>
      <c r="D672" s="44"/>
      <c r="E672" s="44"/>
      <c r="F672" s="44"/>
      <c r="G672" s="40"/>
    </row>
    <row r="673" spans="1:7" ht="12.75" hidden="1" customHeight="1">
      <c r="A673" s="39" t="s">
        <v>303</v>
      </c>
      <c r="B673" s="43"/>
      <c r="C673" s="44"/>
      <c r="D673" s="44"/>
      <c r="E673" s="44"/>
      <c r="F673" s="44"/>
      <c r="G673" s="40"/>
    </row>
    <row r="674" spans="1:7" ht="12.75" hidden="1" customHeight="1">
      <c r="A674" s="39" t="s">
        <v>304</v>
      </c>
      <c r="B674" s="43"/>
      <c r="C674" s="44"/>
      <c r="D674" s="44"/>
      <c r="E674" s="44"/>
      <c r="F674" s="44"/>
      <c r="G674" s="40"/>
    </row>
    <row r="675" spans="1:7" ht="12.75" hidden="1" customHeight="1">
      <c r="A675" s="39" t="s">
        <v>34</v>
      </c>
      <c r="B675" s="43"/>
      <c r="C675" s="44"/>
      <c r="D675" s="44"/>
      <c r="E675" s="44"/>
      <c r="F675" s="44"/>
      <c r="G675" s="40"/>
    </row>
    <row r="676" spans="1:7" ht="12.75" hidden="1" customHeight="1">
      <c r="A676" s="39" t="s">
        <v>35</v>
      </c>
      <c r="B676" s="43"/>
      <c r="C676" s="44"/>
      <c r="D676" s="44"/>
      <c r="E676" s="44"/>
      <c r="F676" s="44"/>
      <c r="G676" s="40"/>
    </row>
    <row r="677" spans="1:7" ht="12.75" hidden="1" customHeight="1">
      <c r="A677" s="39" t="s">
        <v>305</v>
      </c>
      <c r="B677" s="43"/>
      <c r="C677" s="44"/>
      <c r="D677" s="44"/>
      <c r="E677" s="44"/>
      <c r="F677" s="44"/>
      <c r="G677" s="40"/>
    </row>
    <row r="678" spans="1:7" ht="12.75" hidden="1" customHeight="1">
      <c r="A678" s="39" t="s">
        <v>306</v>
      </c>
      <c r="B678" s="45"/>
      <c r="C678" s="44"/>
      <c r="D678" s="44"/>
      <c r="E678" s="44"/>
      <c r="F678" s="44"/>
      <c r="G678" s="40"/>
    </row>
    <row r="679" spans="1:7" ht="12.75" hidden="1" customHeight="1">
      <c r="A679" s="39" t="s">
        <v>36</v>
      </c>
      <c r="B679" s="43"/>
      <c r="C679" s="44"/>
      <c r="D679" s="44"/>
      <c r="E679" s="44"/>
      <c r="F679" s="44"/>
      <c r="G679" s="40"/>
    </row>
    <row r="680" spans="1:7" ht="12.75" hidden="1" customHeight="1">
      <c r="A680" s="39" t="s">
        <v>37</v>
      </c>
      <c r="B680" s="45"/>
      <c r="C680" s="44"/>
      <c r="D680" s="44"/>
      <c r="E680" s="44"/>
      <c r="F680" s="44"/>
      <c r="G680" s="40"/>
    </row>
    <row r="681" spans="1:7" ht="12.75" hidden="1" customHeight="1">
      <c r="A681" s="39" t="s">
        <v>38</v>
      </c>
      <c r="B681" s="43"/>
      <c r="C681" s="44"/>
      <c r="D681" s="44"/>
      <c r="E681" s="44"/>
      <c r="F681" s="44"/>
      <c r="G681" s="40"/>
    </row>
    <row r="682" spans="1:7" ht="12.75" hidden="1" customHeight="1">
      <c r="A682" s="39" t="s">
        <v>307</v>
      </c>
      <c r="B682" s="43"/>
      <c r="C682" s="44"/>
      <c r="D682" s="44"/>
      <c r="E682" s="44"/>
      <c r="F682" s="44"/>
      <c r="G682" s="40"/>
    </row>
    <row r="683" spans="1:7" ht="12.75" hidden="1" customHeight="1">
      <c r="A683" s="39" t="s">
        <v>308</v>
      </c>
      <c r="B683" s="43"/>
      <c r="C683" s="44"/>
      <c r="D683" s="44"/>
      <c r="E683" s="44"/>
      <c r="F683" s="44"/>
      <c r="G683" s="40"/>
    </row>
    <row r="684" spans="1:7" ht="12.75" hidden="1" customHeight="1">
      <c r="A684" s="39" t="s">
        <v>39</v>
      </c>
      <c r="B684" s="45"/>
      <c r="C684" s="44"/>
      <c r="D684" s="44"/>
      <c r="E684" s="44"/>
      <c r="F684" s="44"/>
      <c r="G684" s="40"/>
    </row>
    <row r="685" spans="1:7" ht="12.75" hidden="1" customHeight="1">
      <c r="A685" s="39" t="s">
        <v>40</v>
      </c>
      <c r="B685" s="43"/>
      <c r="C685" s="44"/>
      <c r="D685" s="44"/>
      <c r="E685" s="44"/>
      <c r="F685" s="44"/>
      <c r="G685" s="40"/>
    </row>
    <row r="686" spans="1:7" ht="12.75" hidden="1" customHeight="1">
      <c r="A686" s="39" t="s">
        <v>41</v>
      </c>
      <c r="B686" s="43"/>
      <c r="C686" s="44"/>
      <c r="D686" s="44"/>
      <c r="E686" s="44"/>
      <c r="F686" s="44"/>
      <c r="G686" s="40"/>
    </row>
    <row r="687" spans="1:7" ht="12.75" hidden="1" customHeight="1">
      <c r="A687" s="39" t="s">
        <v>309</v>
      </c>
      <c r="B687" s="45"/>
      <c r="C687" s="44"/>
      <c r="D687" s="44"/>
      <c r="E687" s="44"/>
      <c r="F687" s="44"/>
      <c r="G687" s="40"/>
    </row>
    <row r="688" spans="1:7" ht="12.75" hidden="1" customHeight="1">
      <c r="A688" s="39" t="s">
        <v>310</v>
      </c>
      <c r="B688" s="45"/>
      <c r="C688" s="44"/>
      <c r="D688" s="44"/>
      <c r="E688" s="44"/>
      <c r="F688" s="44"/>
      <c r="G688" s="40"/>
    </row>
    <row r="689" spans="1:7" ht="12.75" hidden="1" customHeight="1">
      <c r="A689" s="39" t="s">
        <v>311</v>
      </c>
      <c r="B689" s="43"/>
      <c r="C689" s="44"/>
      <c r="D689" s="44"/>
      <c r="E689" s="44"/>
      <c r="F689" s="44"/>
      <c r="G689" s="40"/>
    </row>
    <row r="690" spans="1:7" ht="12.75" hidden="1" customHeight="1">
      <c r="A690" s="39" t="s">
        <v>312</v>
      </c>
      <c r="B690" s="43"/>
      <c r="C690" s="44"/>
      <c r="D690" s="44"/>
      <c r="E690" s="44"/>
      <c r="F690" s="44"/>
      <c r="G690" s="40"/>
    </row>
    <row r="691" spans="1:7" ht="12.75" hidden="1" customHeight="1">
      <c r="A691" s="39" t="s">
        <v>313</v>
      </c>
      <c r="B691" s="45"/>
      <c r="C691" s="44"/>
      <c r="D691" s="44"/>
      <c r="E691" s="44"/>
      <c r="F691" s="44"/>
      <c r="G691" s="40"/>
    </row>
    <row r="692" spans="1:7" ht="12.75" hidden="1" customHeight="1">
      <c r="A692" s="39" t="s">
        <v>314</v>
      </c>
      <c r="B692" s="45"/>
      <c r="C692" s="44"/>
      <c r="D692" s="44"/>
      <c r="E692" s="44"/>
      <c r="F692" s="44"/>
      <c r="G692" s="40"/>
    </row>
    <row r="693" spans="1:7" ht="12.75" hidden="1" customHeight="1">
      <c r="A693" s="39" t="s">
        <v>315</v>
      </c>
      <c r="B693" s="43"/>
      <c r="C693" s="44"/>
      <c r="D693" s="44"/>
      <c r="E693" s="44"/>
      <c r="F693" s="44"/>
      <c r="G693" s="40"/>
    </row>
    <row r="694" spans="1:7" ht="12.75" hidden="1" customHeight="1">
      <c r="A694" s="39" t="s">
        <v>316</v>
      </c>
      <c r="B694" s="45"/>
      <c r="C694" s="44"/>
      <c r="D694" s="44"/>
      <c r="E694" s="44"/>
      <c r="F694" s="44"/>
      <c r="G694" s="40"/>
    </row>
    <row r="695" spans="1:7" ht="12.75" hidden="1" customHeight="1">
      <c r="A695" s="39" t="s">
        <v>317</v>
      </c>
      <c r="B695" s="45"/>
      <c r="C695" s="44"/>
      <c r="D695" s="44"/>
      <c r="E695" s="44"/>
      <c r="F695" s="44"/>
      <c r="G695" s="40"/>
    </row>
    <row r="696" spans="1:7" ht="12.75" hidden="1" customHeight="1">
      <c r="A696" s="39" t="s">
        <v>318</v>
      </c>
      <c r="B696" s="45"/>
      <c r="C696" s="44"/>
      <c r="D696" s="44"/>
      <c r="E696" s="44"/>
      <c r="F696" s="44"/>
      <c r="G696" s="40"/>
    </row>
    <row r="697" spans="1:7" ht="12.75" hidden="1" customHeight="1">
      <c r="A697" s="46" t="s">
        <v>319</v>
      </c>
      <c r="B697" s="45"/>
      <c r="C697" s="44"/>
      <c r="D697" s="44"/>
      <c r="E697" s="44"/>
      <c r="F697" s="44"/>
      <c r="G697" s="40"/>
    </row>
    <row r="698" spans="1:7" ht="12.75" hidden="1" customHeight="1">
      <c r="A698" s="46" t="s">
        <v>320</v>
      </c>
      <c r="B698" s="45"/>
      <c r="C698" s="44"/>
      <c r="D698" s="44"/>
      <c r="E698" s="44"/>
      <c r="F698" s="44"/>
      <c r="G698" s="40"/>
    </row>
    <row r="699" spans="1:7" ht="12.75" hidden="1" customHeight="1">
      <c r="A699" s="46" t="s">
        <v>321</v>
      </c>
      <c r="B699" s="45"/>
      <c r="C699" s="44"/>
      <c r="D699" s="44"/>
      <c r="E699" s="44"/>
      <c r="F699" s="44"/>
      <c r="G699" s="40"/>
    </row>
    <row r="700" spans="1:7" ht="12.75" hidden="1" customHeight="1">
      <c r="A700" s="46" t="s">
        <v>322</v>
      </c>
      <c r="B700" s="45"/>
      <c r="C700" s="44"/>
      <c r="D700" s="44"/>
      <c r="E700" s="44"/>
      <c r="F700" s="44"/>
      <c r="G700" s="40"/>
    </row>
    <row r="701" spans="1:7" ht="12.75" hidden="1" customHeight="1">
      <c r="A701" s="46" t="s">
        <v>323</v>
      </c>
      <c r="B701" s="45"/>
      <c r="C701" s="44"/>
      <c r="D701" s="44"/>
      <c r="E701" s="44"/>
      <c r="F701" s="44"/>
      <c r="G701" s="40"/>
    </row>
    <row r="702" spans="1:7" ht="12.75" hidden="1" customHeight="1">
      <c r="A702" s="46" t="s">
        <v>324</v>
      </c>
      <c r="B702" s="45"/>
      <c r="C702" s="44"/>
      <c r="D702" s="44"/>
      <c r="E702" s="44"/>
      <c r="F702" s="44"/>
      <c r="G702" s="40"/>
    </row>
    <row r="703" spans="1:7" ht="12.75" hidden="1" customHeight="1">
      <c r="A703" s="46" t="s">
        <v>325</v>
      </c>
      <c r="B703" s="45"/>
      <c r="C703" s="44"/>
      <c r="D703" s="44"/>
      <c r="E703" s="44"/>
      <c r="F703" s="44"/>
      <c r="G703" s="40"/>
    </row>
    <row r="704" spans="1:7" ht="12.75" hidden="1" customHeight="1">
      <c r="A704" s="46" t="s">
        <v>326</v>
      </c>
      <c r="B704" s="45"/>
      <c r="C704" s="44"/>
      <c r="D704" s="44"/>
      <c r="E704" s="44"/>
      <c r="F704" s="44"/>
      <c r="G704" s="40"/>
    </row>
    <row r="705" spans="1:7" ht="12.75" hidden="1" customHeight="1">
      <c r="A705" s="46" t="s">
        <v>327</v>
      </c>
      <c r="B705" s="45"/>
      <c r="C705" s="44"/>
      <c r="D705" s="44"/>
      <c r="E705" s="44"/>
      <c r="F705" s="44"/>
      <c r="G705" s="40"/>
    </row>
    <row r="706" spans="1:7" ht="12.75" hidden="1" customHeight="1">
      <c r="A706" s="46" t="s">
        <v>328</v>
      </c>
      <c r="B706" s="45"/>
      <c r="C706" s="44"/>
      <c r="D706" s="44"/>
      <c r="E706" s="44"/>
      <c r="F706" s="44"/>
      <c r="G706" s="40"/>
    </row>
    <row r="707" spans="1:7" ht="12.75" hidden="1" customHeight="1">
      <c r="A707" s="46" t="s">
        <v>329</v>
      </c>
      <c r="B707" s="47"/>
      <c r="C707" s="44"/>
      <c r="D707" s="44"/>
      <c r="E707" s="44"/>
      <c r="F707" s="44"/>
      <c r="G707" s="40"/>
    </row>
    <row r="708" spans="1:7" ht="12.75" hidden="1" customHeight="1">
      <c r="A708" s="46" t="s">
        <v>330</v>
      </c>
      <c r="B708" s="47"/>
      <c r="C708" s="44">
        <v>7844.7</v>
      </c>
      <c r="D708" s="44">
        <v>0</v>
      </c>
      <c r="E708" s="44">
        <v>131123.10999999999</v>
      </c>
      <c r="F708" s="44">
        <f>SUM(C708:E708)</f>
        <v>138967.81</v>
      </c>
      <c r="G708" s="40"/>
    </row>
    <row r="709" spans="1:7" ht="12.75" hidden="1" customHeight="1">
      <c r="A709" s="48" t="s">
        <v>150</v>
      </c>
      <c r="B709" s="48"/>
      <c r="C709" s="49">
        <v>7844.7</v>
      </c>
      <c r="D709" s="50">
        <v>0</v>
      </c>
      <c r="E709" s="50">
        <v>131123.10999999999</v>
      </c>
      <c r="F709" s="50">
        <f>SUM(C709:E709)</f>
        <v>138967.81</v>
      </c>
      <c r="G709" s="40"/>
    </row>
    <row r="710" spans="1:7" ht="12.75" hidden="1" customHeight="1"/>
    <row r="711" spans="1:7" s="127" customFormat="1" ht="12.75" hidden="1" customHeight="1"/>
    <row r="712" spans="1:7" ht="12.75" hidden="1" customHeight="1">
      <c r="A712" s="77" t="s">
        <v>413</v>
      </c>
      <c r="B712" s="39"/>
      <c r="C712" s="78"/>
      <c r="D712" s="78"/>
      <c r="E712" s="78"/>
      <c r="F712" s="78"/>
      <c r="G712" s="40"/>
    </row>
    <row r="713" spans="1:7" ht="12.75" hidden="1" customHeight="1">
      <c r="A713" s="80" t="s">
        <v>337</v>
      </c>
      <c r="B713" s="43" t="s">
        <v>87</v>
      </c>
      <c r="C713" s="78" t="s">
        <v>360</v>
      </c>
      <c r="D713" s="78" t="s">
        <v>339</v>
      </c>
      <c r="E713" s="78" t="s">
        <v>340</v>
      </c>
      <c r="F713" s="78" t="s">
        <v>341</v>
      </c>
      <c r="G713" s="40"/>
    </row>
    <row r="714" spans="1:7" ht="12.75" hidden="1" customHeight="1">
      <c r="A714" s="80" t="s">
        <v>0</v>
      </c>
      <c r="B714" s="81"/>
      <c r="C714" s="81"/>
      <c r="D714" s="81"/>
      <c r="E714" s="81"/>
      <c r="F714" s="81"/>
      <c r="G714" s="40"/>
    </row>
    <row r="715" spans="1:7" ht="12.75" hidden="1" customHeight="1">
      <c r="A715" s="80" t="s">
        <v>342</v>
      </c>
      <c r="B715" s="81"/>
      <c r="C715" s="81">
        <v>6882.3511111111102</v>
      </c>
      <c r="D715" s="81">
        <v>2077.6153086419754</v>
      </c>
      <c r="E715" s="81">
        <v>4919.7087654320985</v>
      </c>
      <c r="F715" s="81">
        <v>13879.675185185184</v>
      </c>
      <c r="G715" s="40"/>
    </row>
    <row r="716" spans="1:7" ht="12.75" hidden="1" customHeight="1">
      <c r="A716" s="80" t="s">
        <v>343</v>
      </c>
      <c r="B716" s="81"/>
      <c r="C716" s="81">
        <v>7608.84</v>
      </c>
      <c r="D716" s="81">
        <v>9944</v>
      </c>
      <c r="E716" s="81">
        <v>130807.96</v>
      </c>
      <c r="F716" s="81">
        <f>SUM(C716:E716)</f>
        <v>148360.80000000002</v>
      </c>
      <c r="G716" s="40"/>
    </row>
    <row r="717" spans="1:7" ht="12.75" hidden="1" customHeight="1">
      <c r="A717" s="80" t="s">
        <v>344</v>
      </c>
      <c r="B717" s="81"/>
      <c r="C717" s="81"/>
      <c r="D717" s="81"/>
      <c r="E717" s="81"/>
      <c r="F717" s="81"/>
      <c r="G717" s="40"/>
    </row>
    <row r="718" spans="1:7" ht="12.75" hidden="1" customHeight="1">
      <c r="A718" s="80" t="s">
        <v>345</v>
      </c>
      <c r="B718" s="81"/>
      <c r="C718" s="81"/>
      <c r="D718" s="81"/>
      <c r="E718" s="81"/>
      <c r="F718" s="81"/>
      <c r="G718" s="40"/>
    </row>
    <row r="719" spans="1:7" ht="14.25" hidden="1" customHeight="1">
      <c r="A719" s="77" t="s">
        <v>346</v>
      </c>
      <c r="B719" s="128"/>
      <c r="C719" s="82">
        <f>SUM(C715:C718)</f>
        <v>14491.191111111111</v>
      </c>
      <c r="D719" s="82">
        <f>SUM(D715:D718)</f>
        <v>12021.615308641976</v>
      </c>
      <c r="E719" s="82">
        <f>SUM(E715:E718)</f>
        <v>135727.66876543211</v>
      </c>
      <c r="F719" s="82">
        <f>SUM(F715:F718)</f>
        <v>162240.47518518521</v>
      </c>
      <c r="G719" s="40"/>
    </row>
    <row r="720" spans="1:7" ht="12.75" hidden="1" customHeight="1">
      <c r="A720" s="276" t="s">
        <v>403</v>
      </c>
      <c r="B720" s="277"/>
      <c r="C720" s="277"/>
      <c r="D720" s="277"/>
      <c r="E720" s="277"/>
      <c r="F720" s="277"/>
      <c r="G720" s="40"/>
    </row>
    <row r="721" spans="1:7" ht="12.75" hidden="1" customHeight="1">
      <c r="A721" s="83"/>
      <c r="B721" s="84"/>
      <c r="C721" s="40"/>
      <c r="D721" s="40"/>
      <c r="E721" s="41"/>
      <c r="F721" s="40"/>
      <c r="G721" s="40"/>
    </row>
    <row r="722" spans="1:7" ht="12.75" hidden="1" customHeight="1">
      <c r="A722" s="85"/>
      <c r="B722" s="84"/>
      <c r="C722" s="40"/>
      <c r="D722" s="40"/>
      <c r="E722" s="41"/>
      <c r="F722" s="40"/>
      <c r="G722" s="40"/>
    </row>
    <row r="723" spans="1:7" ht="12.75" hidden="1" customHeight="1">
      <c r="A723" s="77"/>
      <c r="B723" s="82"/>
      <c r="C723" s="82"/>
      <c r="D723" s="82"/>
      <c r="E723" s="82"/>
      <c r="F723" s="82"/>
      <c r="G723" s="40"/>
    </row>
    <row r="724" spans="1:7" ht="12.75" hidden="1" customHeight="1">
      <c r="A724" s="77" t="s">
        <v>414</v>
      </c>
      <c r="B724" s="43" t="s">
        <v>87</v>
      </c>
      <c r="C724" s="86" t="s">
        <v>88</v>
      </c>
      <c r="D724" s="86" t="s">
        <v>89</v>
      </c>
      <c r="E724" s="86" t="s">
        <v>90</v>
      </c>
      <c r="F724" s="86" t="s">
        <v>91</v>
      </c>
      <c r="G724" s="40"/>
    </row>
    <row r="725" spans="1:7" ht="12.75" hidden="1" customHeight="1">
      <c r="A725" s="87" t="s">
        <v>349</v>
      </c>
      <c r="B725" s="88"/>
      <c r="C725" s="88"/>
      <c r="D725" s="88"/>
      <c r="E725" s="88"/>
      <c r="F725" s="88"/>
      <c r="G725" s="40"/>
    </row>
    <row r="726" spans="1:7" ht="12.75" hidden="1" customHeight="1">
      <c r="A726" s="87" t="s">
        <v>350</v>
      </c>
      <c r="B726" s="88">
        <f>16*48</f>
        <v>768</v>
      </c>
      <c r="C726" s="88">
        <f>B726/B$735*C$735</f>
        <v>220235.23555555553</v>
      </c>
      <c r="D726" s="88">
        <f>C726/C$735*D$735</f>
        <v>66483.689876543212</v>
      </c>
      <c r="E726" s="88">
        <f>D726/D$735*E$735</f>
        <v>157430.68049382715</v>
      </c>
      <c r="F726" s="88">
        <f>SUM(C726:E726)</f>
        <v>444149.60592592589</v>
      </c>
      <c r="G726" s="40"/>
    </row>
    <row r="727" spans="1:7" ht="12.75" hidden="1" customHeight="1">
      <c r="A727" s="87" t="s">
        <v>351</v>
      </c>
      <c r="B727" s="88">
        <f>24*48</f>
        <v>1152</v>
      </c>
      <c r="C727" s="88">
        <f t="shared" ref="C727:E729" si="27">B727/B$735*C$735</f>
        <v>330352.85333333327</v>
      </c>
      <c r="D727" s="88">
        <f t="shared" si="27"/>
        <v>99725.534814814819</v>
      </c>
      <c r="E727" s="88">
        <f t="shared" si="27"/>
        <v>236146.0207407407</v>
      </c>
      <c r="F727" s="88">
        <f>SUM(C727:E727)</f>
        <v>666224.40888888878</v>
      </c>
      <c r="G727" s="40"/>
    </row>
    <row r="728" spans="1:7" ht="12.75" hidden="1" customHeight="1">
      <c r="A728" s="87" t="s">
        <v>352</v>
      </c>
      <c r="B728" s="57"/>
      <c r="C728" s="88">
        <f t="shared" si="27"/>
        <v>0</v>
      </c>
      <c r="D728" s="88">
        <f t="shared" si="27"/>
        <v>0</v>
      </c>
      <c r="E728" s="88">
        <f t="shared" si="27"/>
        <v>0</v>
      </c>
      <c r="F728" s="88">
        <f>SUM(C728:E728)</f>
        <v>0</v>
      </c>
      <c r="G728" s="40"/>
    </row>
    <row r="729" spans="1:7" ht="12.75" hidden="1" customHeight="1">
      <c r="A729" s="87" t="s">
        <v>353</v>
      </c>
      <c r="B729" s="88">
        <f>12*2</f>
        <v>24</v>
      </c>
      <c r="C729" s="88">
        <f t="shared" si="27"/>
        <v>6882.3511111111102</v>
      </c>
      <c r="D729" s="88">
        <f t="shared" si="27"/>
        <v>2077.6153086419754</v>
      </c>
      <c r="E729" s="88">
        <f t="shared" si="27"/>
        <v>4919.7087654320985</v>
      </c>
      <c r="F729" s="88">
        <f>SUM(C729:E729)</f>
        <v>13879.675185185184</v>
      </c>
      <c r="G729" s="40"/>
    </row>
    <row r="730" spans="1:7" ht="12.75" hidden="1" customHeight="1">
      <c r="A730" s="87" t="s">
        <v>354</v>
      </c>
      <c r="B730" s="88"/>
      <c r="C730" s="88"/>
      <c r="D730" s="88"/>
      <c r="E730" s="88"/>
      <c r="F730" s="88"/>
      <c r="G730" s="40"/>
    </row>
    <row r="731" spans="1:7" ht="12.75" hidden="1" customHeight="1">
      <c r="A731" s="87" t="s">
        <v>355</v>
      </c>
      <c r="B731" s="88"/>
      <c r="C731" s="88"/>
      <c r="D731" s="88"/>
      <c r="E731" s="88"/>
      <c r="F731" s="88"/>
      <c r="G731" s="40"/>
    </row>
    <row r="732" spans="1:7" ht="12.75" hidden="1" customHeight="1">
      <c r="A732" s="87" t="s">
        <v>356</v>
      </c>
      <c r="B732" s="88"/>
      <c r="C732" s="88"/>
      <c r="D732" s="88"/>
      <c r="E732" s="88"/>
      <c r="F732" s="57"/>
      <c r="G732" s="40"/>
    </row>
    <row r="733" spans="1:7" ht="12.75" hidden="1" customHeight="1">
      <c r="A733" s="87" t="s">
        <v>357</v>
      </c>
      <c r="B733" s="57"/>
      <c r="C733" s="88"/>
      <c r="D733" s="88"/>
      <c r="E733" s="88"/>
      <c r="F733" s="88"/>
      <c r="G733" s="40"/>
    </row>
    <row r="734" spans="1:7" ht="12.75" hidden="1" customHeight="1">
      <c r="A734" s="87" t="s">
        <v>243</v>
      </c>
      <c r="B734" s="57"/>
      <c r="C734" s="88"/>
      <c r="D734" s="88"/>
      <c r="E734" s="88"/>
      <c r="F734" s="88"/>
      <c r="G734" s="40"/>
    </row>
    <row r="735" spans="1:7" ht="12.75" hidden="1" customHeight="1">
      <c r="A735" s="77" t="s">
        <v>346</v>
      </c>
      <c r="B735" s="82">
        <f>SUM(B725:B734)</f>
        <v>1944</v>
      </c>
      <c r="C735" s="82">
        <v>557470.43999999994</v>
      </c>
      <c r="D735" s="82">
        <f>8062+80551.6+20625+47463.29+11584.95</f>
        <v>168286.84000000003</v>
      </c>
      <c r="E735" s="82">
        <f>398496.41</f>
        <v>398496.41</v>
      </c>
      <c r="F735" s="82">
        <f>SUM(C735:E735)</f>
        <v>1124253.69</v>
      </c>
      <c r="G735" s="40"/>
    </row>
    <row r="736" spans="1:7" ht="12.75" hidden="1" customHeight="1">
      <c r="A736" s="129" t="s">
        <v>423</v>
      </c>
      <c r="B736" s="84"/>
      <c r="C736" s="84"/>
      <c r="D736" s="84"/>
      <c r="E736" s="84"/>
      <c r="F736" s="84"/>
      <c r="G736" s="90"/>
    </row>
    <row r="737" spans="1:7" ht="12.75" hidden="1" customHeight="1">
      <c r="A737" s="85"/>
      <c r="B737" s="84"/>
      <c r="C737" s="84"/>
      <c r="D737" s="84"/>
      <c r="E737" s="84"/>
      <c r="F737" s="84"/>
      <c r="G737" s="90"/>
    </row>
    <row r="738" spans="1:7" ht="12.75" hidden="1" customHeight="1">
      <c r="A738" s="91"/>
      <c r="B738" s="84"/>
      <c r="C738" s="84"/>
      <c r="D738" s="84"/>
      <c r="E738" s="84"/>
      <c r="F738" s="84"/>
      <c r="G738" s="90"/>
    </row>
    <row r="739" spans="1:7" ht="12.75" hidden="1" customHeight="1">
      <c r="A739" s="91"/>
      <c r="B739" s="84"/>
      <c r="C739" s="84"/>
      <c r="D739" s="84"/>
      <c r="E739" s="84"/>
      <c r="F739" s="84"/>
      <c r="G739" s="40"/>
    </row>
    <row r="740" spans="1:7" ht="12.75" hidden="1" customHeight="1">
      <c r="A740" s="83"/>
      <c r="B740" s="92"/>
      <c r="C740" s="92"/>
      <c r="D740" s="92"/>
      <c r="E740" s="92"/>
      <c r="F740" s="92"/>
      <c r="G740" s="40"/>
    </row>
    <row r="741" spans="1:7" ht="12.75" hidden="1" customHeight="1">
      <c r="A741" s="77" t="s">
        <v>415</v>
      </c>
      <c r="B741" s="43" t="s">
        <v>87</v>
      </c>
      <c r="C741" s="78" t="s">
        <v>360</v>
      </c>
      <c r="D741" s="78" t="s">
        <v>339</v>
      </c>
      <c r="E741" s="78" t="s">
        <v>340</v>
      </c>
      <c r="F741" s="78" t="s">
        <v>341</v>
      </c>
      <c r="G741" s="40"/>
    </row>
    <row r="742" spans="1:7" ht="12.75" hidden="1" customHeight="1">
      <c r="A742" s="80" t="s">
        <v>361</v>
      </c>
      <c r="B742" s="93"/>
      <c r="C742" s="94"/>
      <c r="D742" s="94"/>
      <c r="E742" s="94"/>
      <c r="F742" s="94"/>
      <c r="G742" s="40"/>
    </row>
    <row r="743" spans="1:7" ht="12.75" hidden="1" customHeight="1">
      <c r="A743" s="80" t="s">
        <v>362</v>
      </c>
      <c r="B743" s="93"/>
      <c r="C743" s="94"/>
      <c r="D743" s="94"/>
      <c r="E743" s="94"/>
      <c r="F743" s="94"/>
      <c r="G743" s="40"/>
    </row>
    <row r="744" spans="1:7" ht="12.75" hidden="1" customHeight="1">
      <c r="A744" s="80" t="s">
        <v>363</v>
      </c>
      <c r="B744" s="93"/>
      <c r="C744" s="94"/>
      <c r="D744" s="94"/>
      <c r="E744" s="94"/>
      <c r="F744" s="94"/>
      <c r="G744" s="40"/>
    </row>
    <row r="745" spans="1:7" ht="12.75" hidden="1" customHeight="1">
      <c r="A745" s="80" t="s">
        <v>364</v>
      </c>
      <c r="B745" s="93"/>
      <c r="C745" s="94"/>
      <c r="D745" s="94"/>
      <c r="E745" s="94"/>
      <c r="F745" s="94"/>
      <c r="G745" s="40"/>
    </row>
    <row r="746" spans="1:7" ht="12.75" hidden="1" customHeight="1">
      <c r="A746" s="80" t="s">
        <v>365</v>
      </c>
      <c r="B746" s="93"/>
      <c r="C746" s="94"/>
      <c r="D746" s="94"/>
      <c r="E746" s="94"/>
      <c r="F746" s="94"/>
      <c r="G746" s="40"/>
    </row>
    <row r="747" spans="1:7" ht="12.75" hidden="1" customHeight="1">
      <c r="A747" s="80" t="s">
        <v>366</v>
      </c>
      <c r="B747" s="93"/>
      <c r="C747" s="94"/>
      <c r="D747" s="94"/>
      <c r="E747" s="94"/>
      <c r="F747" s="94"/>
      <c r="G747" s="40"/>
    </row>
    <row r="748" spans="1:7" ht="12.75" hidden="1" customHeight="1">
      <c r="A748" s="80" t="s">
        <v>367</v>
      </c>
      <c r="B748" s="93"/>
      <c r="C748" s="94"/>
      <c r="D748" s="94"/>
      <c r="E748" s="94"/>
      <c r="F748" s="94"/>
      <c r="G748" s="40"/>
    </row>
    <row r="749" spans="1:7" ht="12.75" hidden="1" customHeight="1">
      <c r="A749" s="80" t="s">
        <v>368</v>
      </c>
      <c r="B749" s="40"/>
      <c r="C749" s="94"/>
      <c r="D749" s="94"/>
      <c r="E749" s="94"/>
      <c r="F749" s="94"/>
      <c r="G749" s="40"/>
    </row>
    <row r="750" spans="1:7" ht="12.75" hidden="1" customHeight="1">
      <c r="A750" s="80" t="s">
        <v>369</v>
      </c>
      <c r="B750" s="93"/>
      <c r="C750" s="94"/>
      <c r="D750" s="94"/>
      <c r="E750" s="94"/>
      <c r="F750" s="94"/>
      <c r="G750" s="40"/>
    </row>
    <row r="751" spans="1:7" ht="12.75" hidden="1" customHeight="1">
      <c r="A751" s="80" t="s">
        <v>370</v>
      </c>
      <c r="B751" s="93"/>
      <c r="C751" s="94"/>
      <c r="D751" s="94"/>
      <c r="E751" s="94"/>
      <c r="F751" s="94"/>
      <c r="G751" s="40"/>
    </row>
    <row r="752" spans="1:7" ht="12.75" hidden="1" customHeight="1">
      <c r="A752" s="80" t="s">
        <v>84</v>
      </c>
      <c r="B752" s="93"/>
      <c r="C752" s="94"/>
      <c r="D752" s="94"/>
      <c r="E752" s="94"/>
      <c r="F752" s="94"/>
      <c r="G752" s="40"/>
    </row>
    <row r="753" spans="1:7" ht="12.75" hidden="1" customHeight="1">
      <c r="A753" s="80" t="s">
        <v>371</v>
      </c>
      <c r="B753" s="93"/>
      <c r="C753" s="94"/>
      <c r="D753" s="94"/>
      <c r="E753" s="94"/>
      <c r="F753" s="94"/>
      <c r="G753" s="40"/>
    </row>
    <row r="754" spans="1:7" ht="12.75" hidden="1" customHeight="1">
      <c r="A754" s="77" t="s">
        <v>346</v>
      </c>
      <c r="B754" s="95"/>
      <c r="C754" s="96">
        <v>8277.1200000000008</v>
      </c>
      <c r="D754" s="96">
        <v>0</v>
      </c>
      <c r="E754" s="96">
        <v>57389.49</v>
      </c>
      <c r="F754" s="97">
        <f>SUM(C754:E754)</f>
        <v>65666.61</v>
      </c>
      <c r="G754" s="40"/>
    </row>
    <row r="755" spans="1:7" ht="12.75" hidden="1" customHeight="1">
      <c r="A755" s="140" t="s">
        <v>459</v>
      </c>
      <c r="B755" s="99"/>
      <c r="C755" s="100"/>
      <c r="D755" s="100"/>
      <c r="E755" s="100"/>
      <c r="F755" s="100"/>
      <c r="G755" s="40"/>
    </row>
    <row r="756" spans="1:7" ht="12.75" hidden="1" customHeight="1">
      <c r="A756" s="98"/>
      <c r="B756" s="99"/>
      <c r="C756" s="100"/>
      <c r="D756" s="100"/>
      <c r="E756" s="100"/>
      <c r="F756" s="100"/>
      <c r="G756" s="40"/>
    </row>
    <row r="757" spans="1:7" ht="12.75" hidden="1" customHeight="1">
      <c r="A757" s="98"/>
      <c r="B757" s="99"/>
      <c r="C757" s="100"/>
      <c r="D757" s="115"/>
      <c r="E757" s="115"/>
      <c r="F757" s="100"/>
      <c r="G757" s="40"/>
    </row>
    <row r="758" spans="1:7" ht="12.75" hidden="1" customHeight="1">
      <c r="A758" s="101"/>
      <c r="B758" s="92"/>
      <c r="C758" s="92"/>
      <c r="D758" s="115"/>
      <c r="E758" s="116"/>
      <c r="F758" s="92"/>
      <c r="G758" s="40"/>
    </row>
    <row r="759" spans="1:7" ht="12.75" hidden="1" customHeight="1">
      <c r="A759" s="101"/>
      <c r="B759" s="92"/>
      <c r="C759" s="92"/>
      <c r="D759" s="92"/>
      <c r="E759" s="92"/>
      <c r="F759" s="92"/>
      <c r="G759" s="40"/>
    </row>
    <row r="760" spans="1:7" ht="12.75" hidden="1" customHeight="1">
      <c r="A760" s="101"/>
      <c r="B760" s="92"/>
      <c r="C760" s="92"/>
      <c r="D760" s="92"/>
      <c r="E760" s="92"/>
      <c r="F760" s="92"/>
      <c r="G760" s="40"/>
    </row>
    <row r="761" spans="1:7" ht="12.75" hidden="1" customHeight="1">
      <c r="A761" s="241" t="s">
        <v>416</v>
      </c>
      <c r="B761" s="242" t="s">
        <v>87</v>
      </c>
      <c r="C761" s="243" t="s">
        <v>360</v>
      </c>
      <c r="D761" s="243" t="s">
        <v>339</v>
      </c>
      <c r="E761" s="243" t="s">
        <v>340</v>
      </c>
      <c r="F761" s="243" t="s">
        <v>341</v>
      </c>
      <c r="G761" s="40"/>
    </row>
    <row r="762" spans="1:7" ht="12.75" hidden="1" customHeight="1">
      <c r="A762" s="244" t="s">
        <v>382</v>
      </c>
      <c r="B762" s="245"/>
      <c r="C762" s="246"/>
      <c r="D762" s="246"/>
      <c r="E762" s="246"/>
      <c r="F762" s="246"/>
      <c r="G762" s="40"/>
    </row>
    <row r="763" spans="1:7" ht="12.75" hidden="1" customHeight="1">
      <c r="A763" s="244" t="s">
        <v>383</v>
      </c>
      <c r="B763" s="245"/>
      <c r="C763" s="246"/>
      <c r="D763" s="246"/>
      <c r="E763" s="246"/>
      <c r="F763" s="246"/>
      <c r="G763" s="40"/>
    </row>
    <row r="764" spans="1:7" ht="12.75" hidden="1" customHeight="1">
      <c r="A764" s="247" t="s">
        <v>384</v>
      </c>
      <c r="B764" s="248">
        <v>1</v>
      </c>
      <c r="C764" s="246">
        <f>B764/B768*C768</f>
        <v>1709.226451612903</v>
      </c>
      <c r="D764" s="246">
        <f>B764/B768*D768</f>
        <v>3153.0493548387094</v>
      </c>
      <c r="E764" s="246">
        <f>B764/B768*E768</f>
        <v>2396.9967741935479</v>
      </c>
      <c r="F764" s="246">
        <f>SUM(C764:E764)+0.01</f>
        <v>7259.282580645161</v>
      </c>
      <c r="G764" s="40"/>
    </row>
    <row r="765" spans="1:7" ht="12.75" hidden="1" customHeight="1">
      <c r="A765" s="249" t="s">
        <v>387</v>
      </c>
      <c r="B765" s="248">
        <v>30</v>
      </c>
      <c r="C765" s="252">
        <f>B765/B768*C768</f>
        <v>51276.793548387097</v>
      </c>
      <c r="D765" s="252">
        <f>B765/B768*D768</f>
        <v>94591.480645161297</v>
      </c>
      <c r="E765" s="252">
        <f>B765/B768*E768</f>
        <v>71909.903225806454</v>
      </c>
      <c r="F765" s="246">
        <f>SUM(C765:E765)</f>
        <v>217778.17741935485</v>
      </c>
      <c r="G765" s="40"/>
    </row>
    <row r="766" spans="1:7" ht="12.75" hidden="1" customHeight="1">
      <c r="A766" s="249" t="s">
        <v>388</v>
      </c>
      <c r="B766" s="248"/>
      <c r="C766" s="246"/>
      <c r="D766" s="246"/>
      <c r="E766" s="246"/>
      <c r="F766" s="246"/>
      <c r="G766" s="40"/>
    </row>
    <row r="767" spans="1:7" ht="12.75" hidden="1" customHeight="1">
      <c r="A767" s="249" t="s">
        <v>389</v>
      </c>
      <c r="B767" s="248"/>
      <c r="C767" s="246"/>
      <c r="D767" s="246"/>
      <c r="E767" s="246"/>
      <c r="F767" s="246"/>
      <c r="G767" s="40"/>
    </row>
    <row r="768" spans="1:7" ht="12.75" hidden="1" customHeight="1">
      <c r="A768" s="241" t="s">
        <v>346</v>
      </c>
      <c r="B768" s="250">
        <v>31</v>
      </c>
      <c r="C768" s="251">
        <v>52986.02</v>
      </c>
      <c r="D768" s="251">
        <f>43828.2+30870.8+3564.6+19480.93</f>
        <v>97744.53</v>
      </c>
      <c r="E768" s="251">
        <f>74306.9</f>
        <v>74306.899999999994</v>
      </c>
      <c r="F768" s="251">
        <f>SUM(C768:E768)</f>
        <v>225037.44999999998</v>
      </c>
      <c r="G768" s="40"/>
    </row>
    <row r="769" spans="1:7" ht="12.75" hidden="1" customHeight="1">
      <c r="A769" s="114" t="s">
        <v>448</v>
      </c>
      <c r="B769" s="103"/>
      <c r="C769" s="104"/>
      <c r="D769" s="104"/>
      <c r="E769" s="104"/>
      <c r="F769" s="104"/>
      <c r="G769" s="40"/>
    </row>
    <row r="770" spans="1:7" ht="12.75" hidden="1" customHeight="1">
      <c r="A770" s="114"/>
      <c r="B770" s="103"/>
      <c r="C770" s="104"/>
      <c r="D770" s="104"/>
      <c r="E770" s="104"/>
      <c r="F770" s="104"/>
      <c r="G770" s="40"/>
    </row>
    <row r="771" spans="1:7" ht="12.75" hidden="1" customHeight="1">
      <c r="A771" s="139"/>
      <c r="B771" s="95"/>
      <c r="C771" s="78" t="s">
        <v>338</v>
      </c>
      <c r="D771" s="78" t="s">
        <v>339</v>
      </c>
      <c r="E771" s="78" t="s">
        <v>340</v>
      </c>
      <c r="F771" s="78" t="s">
        <v>341</v>
      </c>
      <c r="G771" s="40"/>
    </row>
    <row r="772" spans="1:7" ht="12.75" hidden="1" customHeight="1">
      <c r="A772" s="139" t="s">
        <v>449</v>
      </c>
      <c r="B772" s="95">
        <v>82</v>
      </c>
      <c r="C772" s="96">
        <f>B772/B$782*C$782</f>
        <v>6488.7300477897252</v>
      </c>
      <c r="D772" s="96">
        <f>C772/C$782*D$782</f>
        <v>11969.909587813621</v>
      </c>
      <c r="E772" s="96">
        <f>D772/D$782*E$782</f>
        <v>9099.7099761051377</v>
      </c>
      <c r="F772" s="96">
        <f>SUM(C772:E772)</f>
        <v>27558.349611708487</v>
      </c>
      <c r="G772" s="40"/>
    </row>
    <row r="773" spans="1:7" ht="12.75" hidden="1" customHeight="1">
      <c r="A773" s="139" t="s">
        <v>450</v>
      </c>
      <c r="B773" s="95">
        <v>37</v>
      </c>
      <c r="C773" s="96">
        <f t="shared" ref="C773:E781" si="28">B773/B$782*C$782</f>
        <v>2927.8416069295099</v>
      </c>
      <c r="D773" s="96">
        <f t="shared" si="28"/>
        <v>5401.0567652329746</v>
      </c>
      <c r="E773" s="96">
        <f t="shared" si="28"/>
        <v>4105.9666965352444</v>
      </c>
      <c r="F773" s="96">
        <f t="shared" ref="F773:F781" si="29">SUM(C773:E773)</f>
        <v>12434.865068697729</v>
      </c>
      <c r="G773" s="40"/>
    </row>
    <row r="774" spans="1:7" ht="12.75" hidden="1" customHeight="1">
      <c r="A774" s="139" t="s">
        <v>451</v>
      </c>
      <c r="B774" s="95">
        <v>32</v>
      </c>
      <c r="C774" s="96">
        <f t="shared" si="28"/>
        <v>2532.1873357228196</v>
      </c>
      <c r="D774" s="96">
        <f t="shared" si="28"/>
        <v>4671.1842293906811</v>
      </c>
      <c r="E774" s="96">
        <f t="shared" si="28"/>
        <v>3551.10633213859</v>
      </c>
      <c r="F774" s="96">
        <f t="shared" si="29"/>
        <v>10754.477897252091</v>
      </c>
      <c r="G774" s="40"/>
    </row>
    <row r="775" spans="1:7" ht="12.75" hidden="1" customHeight="1">
      <c r="A775" s="139" t="s">
        <v>452</v>
      </c>
      <c r="B775" s="95">
        <v>76</v>
      </c>
      <c r="C775" s="96">
        <f t="shared" si="28"/>
        <v>6013.9449223416959</v>
      </c>
      <c r="D775" s="96">
        <f t="shared" si="28"/>
        <v>11094.062544802868</v>
      </c>
      <c r="E775" s="96">
        <f t="shared" si="28"/>
        <v>8433.8775388291524</v>
      </c>
      <c r="F775" s="96">
        <f t="shared" si="29"/>
        <v>25541.885005973716</v>
      </c>
      <c r="G775" s="40"/>
    </row>
    <row r="776" spans="1:7" ht="12.75" hidden="1" customHeight="1">
      <c r="A776" s="139" t="s">
        <v>453</v>
      </c>
      <c r="B776" s="95">
        <v>105</v>
      </c>
      <c r="C776" s="96">
        <f>B776/B$782*C$782-0.01</f>
        <v>8308.7296953405021</v>
      </c>
      <c r="D776" s="96">
        <f t="shared" si="28"/>
        <v>15327.30480545813</v>
      </c>
      <c r="E776" s="96">
        <f t="shared" si="28"/>
        <v>11652.053628460813</v>
      </c>
      <c r="F776" s="96">
        <f t="shared" si="29"/>
        <v>35288.088129259442</v>
      </c>
      <c r="G776" s="40"/>
    </row>
    <row r="777" spans="1:7" ht="12.75" hidden="1" customHeight="1">
      <c r="A777" s="139" t="s">
        <v>454</v>
      </c>
      <c r="B777" s="95">
        <v>91</v>
      </c>
      <c r="C777" s="96">
        <f t="shared" si="28"/>
        <v>7200.9077359617686</v>
      </c>
      <c r="D777" s="96">
        <f t="shared" si="28"/>
        <v>13283.680152329751</v>
      </c>
      <c r="E777" s="96">
        <f t="shared" si="28"/>
        <v>10098.458632019117</v>
      </c>
      <c r="F777" s="96">
        <f t="shared" si="29"/>
        <v>30583.046520310636</v>
      </c>
      <c r="G777" s="40"/>
    </row>
    <row r="778" spans="1:7" ht="12.75" hidden="1" customHeight="1">
      <c r="A778" s="139" t="s">
        <v>455</v>
      </c>
      <c r="B778" s="95">
        <v>42</v>
      </c>
      <c r="C778" s="96">
        <f t="shared" si="28"/>
        <v>3323.4958781362006</v>
      </c>
      <c r="D778" s="96">
        <f t="shared" si="28"/>
        <v>6130.929301075269</v>
      </c>
      <c r="E778" s="96">
        <f t="shared" si="28"/>
        <v>4660.8270609318997</v>
      </c>
      <c r="F778" s="96">
        <f t="shared" si="29"/>
        <v>14115.252240143371</v>
      </c>
      <c r="G778" s="40"/>
    </row>
    <row r="779" spans="1:7" ht="12.75" hidden="1" customHeight="1">
      <c r="A779" s="139" t="s">
        <v>456</v>
      </c>
      <c r="B779" s="95">
        <v>89</v>
      </c>
      <c r="C779" s="96">
        <f t="shared" si="28"/>
        <v>7042.6460274790916</v>
      </c>
      <c r="D779" s="96">
        <f t="shared" si="28"/>
        <v>12991.731137992832</v>
      </c>
      <c r="E779" s="96">
        <f t="shared" si="28"/>
        <v>9876.5144862604539</v>
      </c>
      <c r="F779" s="96">
        <f t="shared" si="29"/>
        <v>29910.891651732378</v>
      </c>
      <c r="G779" s="40"/>
    </row>
    <row r="780" spans="1:7" ht="12.75" hidden="1" customHeight="1">
      <c r="A780" s="139" t="s">
        <v>457</v>
      </c>
      <c r="B780" s="95">
        <v>21</v>
      </c>
      <c r="C780" s="96">
        <f t="shared" si="28"/>
        <v>1661.7479390681003</v>
      </c>
      <c r="D780" s="96">
        <f t="shared" si="28"/>
        <v>3065.4646505376345</v>
      </c>
      <c r="E780" s="96">
        <f t="shared" si="28"/>
        <v>2330.4135304659499</v>
      </c>
      <c r="F780" s="96">
        <f>SUM(C780:E780)-0.01</f>
        <v>7057.6161200716851</v>
      </c>
      <c r="G780" s="40"/>
    </row>
    <row r="781" spans="1:7" ht="12.75" hidden="1" customHeight="1">
      <c r="A781" s="139" t="s">
        <v>458</v>
      </c>
      <c r="B781" s="95">
        <v>73</v>
      </c>
      <c r="C781" s="96">
        <f t="shared" si="28"/>
        <v>5776.5523596176827</v>
      </c>
      <c r="D781" s="96">
        <f t="shared" si="28"/>
        <v>10656.139023297494</v>
      </c>
      <c r="E781" s="96">
        <f t="shared" si="28"/>
        <v>8100.9613201911607</v>
      </c>
      <c r="F781" s="96">
        <f t="shared" si="29"/>
        <v>24533.652703106334</v>
      </c>
      <c r="G781" s="40"/>
    </row>
    <row r="782" spans="1:7" ht="12.75" hidden="1" customHeight="1">
      <c r="A782" s="87"/>
      <c r="B782" s="95">
        <f>SUM(B772:B781)</f>
        <v>648</v>
      </c>
      <c r="C782" s="96">
        <v>51276.793548387097</v>
      </c>
      <c r="D782" s="96">
        <v>94591.480645161297</v>
      </c>
      <c r="E782" s="96">
        <v>71909.903225806454</v>
      </c>
      <c r="F782" s="96">
        <f>217778.177419355-0.01</f>
        <v>217778.16741935498</v>
      </c>
      <c r="G782" s="40"/>
    </row>
    <row r="783" spans="1:7" ht="12.75" hidden="1" customHeight="1">
      <c r="A783" s="105"/>
      <c r="B783" s="103"/>
      <c r="C783" s="104"/>
      <c r="D783" s="104"/>
      <c r="E783" s="104"/>
      <c r="F783" s="104"/>
      <c r="G783" s="40"/>
    </row>
    <row r="784" spans="1:7" ht="12.75" hidden="1" customHeight="1">
      <c r="A784" s="105"/>
      <c r="B784" s="103"/>
      <c r="C784" s="104"/>
      <c r="D784" s="104"/>
      <c r="E784" s="104"/>
      <c r="F784" s="104"/>
      <c r="G784" s="40"/>
    </row>
    <row r="785" spans="1:7" ht="12.75" hidden="1" customHeight="1">
      <c r="A785" s="269" t="s">
        <v>417</v>
      </c>
      <c r="B785" s="269"/>
      <c r="C785" s="269"/>
      <c r="D785" s="269"/>
      <c r="E785" s="269"/>
      <c r="F785" s="269"/>
      <c r="G785" s="40"/>
    </row>
    <row r="786" spans="1:7" ht="12.75" hidden="1" customHeight="1">
      <c r="A786" s="42" t="s">
        <v>86</v>
      </c>
      <c r="B786" s="43" t="s">
        <v>87</v>
      </c>
      <c r="C786" s="43" t="s">
        <v>88</v>
      </c>
      <c r="D786" s="43" t="s">
        <v>89</v>
      </c>
      <c r="E786" s="43" t="s">
        <v>90</v>
      </c>
      <c r="F786" s="43" t="s">
        <v>91</v>
      </c>
      <c r="G786" s="40"/>
    </row>
    <row r="787" spans="1:7" ht="12.75" hidden="1" customHeight="1">
      <c r="A787" s="39" t="s">
        <v>1</v>
      </c>
      <c r="B787" s="43"/>
      <c r="C787" s="44"/>
      <c r="D787" s="44"/>
      <c r="E787" s="44"/>
      <c r="F787" s="44"/>
      <c r="G787" s="40"/>
    </row>
    <row r="788" spans="1:7" ht="12.75" hidden="1" customHeight="1">
      <c r="A788" s="39" t="s">
        <v>2</v>
      </c>
      <c r="B788" s="43"/>
      <c r="C788" s="44"/>
      <c r="D788" s="44"/>
      <c r="E788" s="44"/>
      <c r="F788" s="44"/>
      <c r="G788" s="40"/>
    </row>
    <row r="789" spans="1:7" ht="12.75" hidden="1" customHeight="1">
      <c r="A789" s="39" t="s">
        <v>92</v>
      </c>
      <c r="B789" s="43"/>
      <c r="C789" s="44"/>
      <c r="D789" s="44"/>
      <c r="E789" s="44"/>
      <c r="F789" s="44"/>
      <c r="G789" s="40"/>
    </row>
    <row r="790" spans="1:7" ht="12.75" hidden="1" customHeight="1">
      <c r="A790" s="39" t="s">
        <v>93</v>
      </c>
      <c r="B790" s="43"/>
      <c r="C790" s="44"/>
      <c r="D790" s="44"/>
      <c r="E790" s="44"/>
      <c r="F790" s="44"/>
      <c r="G790" s="40"/>
    </row>
    <row r="791" spans="1:7" ht="12.75" hidden="1" customHeight="1">
      <c r="A791" s="39" t="s">
        <v>94</v>
      </c>
      <c r="B791" s="43"/>
      <c r="C791" s="44"/>
      <c r="D791" s="44"/>
      <c r="E791" s="44"/>
      <c r="F791" s="44"/>
      <c r="G791" s="40"/>
    </row>
    <row r="792" spans="1:7" ht="12.75" hidden="1" customHeight="1">
      <c r="A792" s="39" t="s">
        <v>95</v>
      </c>
      <c r="B792" s="43"/>
      <c r="C792" s="44"/>
      <c r="D792" s="44"/>
      <c r="E792" s="44"/>
      <c r="F792" s="44"/>
      <c r="G792" s="40"/>
    </row>
    <row r="793" spans="1:7" ht="12.75" hidden="1" customHeight="1">
      <c r="A793" s="39" t="s">
        <v>96</v>
      </c>
      <c r="B793" s="43"/>
      <c r="C793" s="44"/>
      <c r="D793" s="44"/>
      <c r="E793" s="44"/>
      <c r="F793" s="44"/>
      <c r="G793" s="40"/>
    </row>
    <row r="794" spans="1:7" ht="12.75" hidden="1" customHeight="1">
      <c r="A794" s="39" t="s">
        <v>97</v>
      </c>
      <c r="B794" s="43"/>
      <c r="C794" s="44"/>
      <c r="D794" s="44"/>
      <c r="E794" s="44"/>
      <c r="F794" s="44"/>
      <c r="G794" s="40"/>
    </row>
    <row r="795" spans="1:7" ht="12.75" hidden="1" customHeight="1">
      <c r="A795" s="39" t="s">
        <v>98</v>
      </c>
      <c r="B795" s="43"/>
      <c r="C795" s="44"/>
      <c r="D795" s="44"/>
      <c r="E795" s="44"/>
      <c r="F795" s="44"/>
      <c r="G795" s="40"/>
    </row>
    <row r="796" spans="1:7" ht="12.75" hidden="1" customHeight="1">
      <c r="A796" s="39" t="s">
        <v>99</v>
      </c>
      <c r="B796" s="43"/>
      <c r="C796" s="44"/>
      <c r="D796" s="44"/>
      <c r="E796" s="44"/>
      <c r="F796" s="44"/>
      <c r="G796" s="40"/>
    </row>
    <row r="797" spans="1:7" ht="12.75" hidden="1" customHeight="1">
      <c r="A797" s="39" t="s">
        <v>100</v>
      </c>
      <c r="B797" s="45"/>
      <c r="C797" s="44"/>
      <c r="D797" s="44"/>
      <c r="E797" s="44"/>
      <c r="F797" s="44"/>
      <c r="G797" s="40"/>
    </row>
    <row r="798" spans="1:7" ht="12.75" hidden="1" customHeight="1">
      <c r="A798" s="39" t="s">
        <v>101</v>
      </c>
      <c r="B798" s="43"/>
      <c r="C798" s="44"/>
      <c r="D798" s="44"/>
      <c r="E798" s="44"/>
      <c r="F798" s="44"/>
      <c r="G798" s="40"/>
    </row>
    <row r="799" spans="1:7" ht="12.75" hidden="1" customHeight="1">
      <c r="A799" s="39" t="s">
        <v>102</v>
      </c>
      <c r="B799" s="43"/>
      <c r="C799" s="44"/>
      <c r="D799" s="44"/>
      <c r="E799" s="44"/>
      <c r="F799" s="44"/>
      <c r="G799" s="40"/>
    </row>
    <row r="800" spans="1:7" ht="12.75" hidden="1" customHeight="1">
      <c r="A800" s="39" t="s">
        <v>103</v>
      </c>
      <c r="B800" s="43"/>
      <c r="C800" s="44"/>
      <c r="D800" s="44"/>
      <c r="E800" s="44"/>
      <c r="F800" s="44"/>
      <c r="G800" s="40"/>
    </row>
    <row r="801" spans="1:7" ht="12.75" hidden="1" customHeight="1">
      <c r="A801" s="39" t="s">
        <v>104</v>
      </c>
      <c r="B801" s="41"/>
      <c r="C801" s="44"/>
      <c r="D801" s="44"/>
      <c r="E801" s="44"/>
      <c r="F801" s="44"/>
      <c r="G801" s="40"/>
    </row>
    <row r="802" spans="1:7" ht="12.75" hidden="1" customHeight="1">
      <c r="A802" s="39" t="s">
        <v>105</v>
      </c>
      <c r="B802" s="43"/>
      <c r="C802" s="44"/>
      <c r="D802" s="44"/>
      <c r="E802" s="44"/>
      <c r="F802" s="44"/>
      <c r="G802" s="40"/>
    </row>
    <row r="803" spans="1:7" ht="12.75" hidden="1" customHeight="1">
      <c r="A803" s="39" t="s">
        <v>106</v>
      </c>
      <c r="B803" s="43">
        <v>9.5</v>
      </c>
      <c r="C803" s="66">
        <f>B803/B$848*C$848</f>
        <v>16184.1525</v>
      </c>
      <c r="D803" s="66">
        <f>C803/C$848*D$848</f>
        <v>23811.312411504427</v>
      </c>
      <c r="E803" s="66">
        <f>D803/D$848*E$848</f>
        <v>9791.2863938053106</v>
      </c>
      <c r="F803" s="44">
        <f>SUM(C803:E803)</f>
        <v>49786.751305309743</v>
      </c>
      <c r="G803" s="40"/>
    </row>
    <row r="804" spans="1:7" ht="12.75" hidden="1" customHeight="1">
      <c r="A804" s="39" t="s">
        <v>107</v>
      </c>
      <c r="B804" s="43">
        <v>20</v>
      </c>
      <c r="C804" s="66">
        <f t="shared" ref="C804:E831" si="30">B804/B$848*C$848</f>
        <v>34071.899999999994</v>
      </c>
      <c r="D804" s="66">
        <f t="shared" si="30"/>
        <v>50129.078761061937</v>
      </c>
      <c r="E804" s="66">
        <f t="shared" si="30"/>
        <v>20613.234513274332</v>
      </c>
      <c r="F804" s="44">
        <f t="shared" ref="F804:F847" si="31">SUM(C804:E804)</f>
        <v>104814.21327433627</v>
      </c>
      <c r="G804" s="40"/>
    </row>
    <row r="805" spans="1:7" ht="12.75" hidden="1" customHeight="1">
      <c r="A805" s="39" t="s">
        <v>108</v>
      </c>
      <c r="B805" s="45"/>
      <c r="C805" s="44">
        <f t="shared" si="30"/>
        <v>0</v>
      </c>
      <c r="D805" s="44">
        <f t="shared" si="30"/>
        <v>0</v>
      </c>
      <c r="E805" s="44">
        <f t="shared" si="30"/>
        <v>0</v>
      </c>
      <c r="F805" s="44">
        <f t="shared" si="31"/>
        <v>0</v>
      </c>
      <c r="G805" s="40"/>
    </row>
    <row r="806" spans="1:7" ht="12.75" hidden="1" customHeight="1">
      <c r="A806" s="39" t="s">
        <v>109</v>
      </c>
      <c r="B806" s="43">
        <v>10.5</v>
      </c>
      <c r="C806" s="66">
        <f t="shared" si="30"/>
        <v>17887.747500000001</v>
      </c>
      <c r="D806" s="66">
        <f t="shared" si="30"/>
        <v>26317.766349557525</v>
      </c>
      <c r="E806" s="66">
        <f t="shared" si="30"/>
        <v>10821.948119469029</v>
      </c>
      <c r="F806" s="44">
        <f t="shared" si="31"/>
        <v>55027.461969026554</v>
      </c>
      <c r="G806" s="40"/>
    </row>
    <row r="807" spans="1:7" ht="12.75" hidden="1" customHeight="1">
      <c r="A807" s="39" t="s">
        <v>110</v>
      </c>
      <c r="B807" s="43">
        <v>10.5</v>
      </c>
      <c r="C807" s="66">
        <f t="shared" si="30"/>
        <v>17887.747500000001</v>
      </c>
      <c r="D807" s="66">
        <f t="shared" si="30"/>
        <v>26317.766349557525</v>
      </c>
      <c r="E807" s="66">
        <f t="shared" si="30"/>
        <v>10821.948119469029</v>
      </c>
      <c r="F807" s="44">
        <f t="shared" si="31"/>
        <v>55027.461969026554</v>
      </c>
      <c r="G807" s="40"/>
    </row>
    <row r="808" spans="1:7" ht="12.75" hidden="1" customHeight="1">
      <c r="A808" s="39" t="s">
        <v>407</v>
      </c>
      <c r="B808" s="45">
        <v>6.5</v>
      </c>
      <c r="C808" s="66">
        <f t="shared" si="30"/>
        <v>11073.367499999998</v>
      </c>
      <c r="D808" s="66">
        <f t="shared" si="30"/>
        <v>16291.950597345132</v>
      </c>
      <c r="E808" s="66">
        <f t="shared" si="30"/>
        <v>6699.3012168141586</v>
      </c>
      <c r="F808" s="44">
        <f t="shared" si="31"/>
        <v>34064.619314159288</v>
      </c>
      <c r="G808" s="40"/>
    </row>
    <row r="809" spans="1:7" ht="12.75" hidden="1" customHeight="1">
      <c r="A809" s="39" t="s">
        <v>408</v>
      </c>
      <c r="B809" s="45">
        <v>3</v>
      </c>
      <c r="C809" s="66">
        <f t="shared" si="30"/>
        <v>5110.7849999999999</v>
      </c>
      <c r="D809" s="66">
        <f t="shared" si="30"/>
        <v>7519.3618141592915</v>
      </c>
      <c r="E809" s="66">
        <f t="shared" si="30"/>
        <v>3091.9851769911502</v>
      </c>
      <c r="F809" s="44">
        <f t="shared" si="31"/>
        <v>15722.131991150443</v>
      </c>
      <c r="G809" s="40"/>
    </row>
    <row r="810" spans="1:7" ht="12.75" hidden="1" customHeight="1">
      <c r="A810" s="39" t="s">
        <v>409</v>
      </c>
      <c r="B810" s="43">
        <v>4</v>
      </c>
      <c r="C810" s="66">
        <f t="shared" si="30"/>
        <v>6814.3799999999992</v>
      </c>
      <c r="D810" s="66">
        <f t="shared" si="30"/>
        <v>10025.815752212389</v>
      </c>
      <c r="E810" s="66">
        <f t="shared" si="30"/>
        <v>4122.6469026548666</v>
      </c>
      <c r="F810" s="44">
        <f t="shared" si="31"/>
        <v>20962.842654867254</v>
      </c>
      <c r="G810" s="40"/>
    </row>
    <row r="811" spans="1:7" ht="12.75" hidden="1" customHeight="1">
      <c r="A811" s="39" t="s">
        <v>114</v>
      </c>
      <c r="B811" s="43"/>
      <c r="C811" s="44">
        <f t="shared" si="30"/>
        <v>0</v>
      </c>
      <c r="D811" s="44">
        <f t="shared" si="30"/>
        <v>0</v>
      </c>
      <c r="E811" s="44">
        <f t="shared" si="30"/>
        <v>0</v>
      </c>
      <c r="F811" s="44">
        <f t="shared" si="31"/>
        <v>0</v>
      </c>
      <c r="G811" s="40"/>
    </row>
    <row r="812" spans="1:7" ht="12.75" hidden="1" customHeight="1">
      <c r="A812" s="39" t="s">
        <v>115</v>
      </c>
      <c r="B812" s="43"/>
      <c r="C812" s="44">
        <f t="shared" si="30"/>
        <v>0</v>
      </c>
      <c r="D812" s="44">
        <f t="shared" si="30"/>
        <v>0</v>
      </c>
      <c r="E812" s="44">
        <f t="shared" si="30"/>
        <v>0</v>
      </c>
      <c r="F812" s="44">
        <f t="shared" si="31"/>
        <v>0</v>
      </c>
      <c r="G812" s="40"/>
    </row>
    <row r="813" spans="1:7" ht="12.75" hidden="1" customHeight="1">
      <c r="A813" s="39" t="s">
        <v>116</v>
      </c>
      <c r="B813" s="43"/>
      <c r="C813" s="44">
        <f t="shared" si="30"/>
        <v>0</v>
      </c>
      <c r="D813" s="44">
        <f t="shared" si="30"/>
        <v>0</v>
      </c>
      <c r="E813" s="44">
        <f t="shared" si="30"/>
        <v>0</v>
      </c>
      <c r="F813" s="44">
        <f t="shared" si="31"/>
        <v>0</v>
      </c>
      <c r="G813" s="40"/>
    </row>
    <row r="814" spans="1:7" ht="12.75" hidden="1" customHeight="1">
      <c r="A814" s="39" t="s">
        <v>117</v>
      </c>
      <c r="B814" s="43"/>
      <c r="C814" s="44">
        <f t="shared" si="30"/>
        <v>0</v>
      </c>
      <c r="D814" s="44">
        <f t="shared" si="30"/>
        <v>0</v>
      </c>
      <c r="E814" s="44">
        <f t="shared" si="30"/>
        <v>0</v>
      </c>
      <c r="F814" s="44">
        <f t="shared" si="31"/>
        <v>0</v>
      </c>
      <c r="G814" s="40"/>
    </row>
    <row r="815" spans="1:7" ht="12.75" hidden="1" customHeight="1">
      <c r="A815" s="39" t="s">
        <v>118</v>
      </c>
      <c r="B815" s="45">
        <v>6.5</v>
      </c>
      <c r="C815" s="66">
        <f t="shared" si="30"/>
        <v>11073.367499999998</v>
      </c>
      <c r="D815" s="66">
        <f t="shared" si="30"/>
        <v>16291.950597345132</v>
      </c>
      <c r="E815" s="66">
        <f t="shared" si="30"/>
        <v>6699.3012168141586</v>
      </c>
      <c r="F815" s="44">
        <f t="shared" si="31"/>
        <v>34064.619314159288</v>
      </c>
      <c r="G815" s="40"/>
    </row>
    <row r="816" spans="1:7" ht="12.75" hidden="1" customHeight="1">
      <c r="A816" s="39" t="s">
        <v>119</v>
      </c>
      <c r="B816" s="43">
        <v>34.5</v>
      </c>
      <c r="C816" s="66">
        <f t="shared" si="30"/>
        <v>58774.027499999989</v>
      </c>
      <c r="D816" s="66">
        <f t="shared" si="30"/>
        <v>86472.66086283185</v>
      </c>
      <c r="E816" s="66">
        <f t="shared" si="30"/>
        <v>35557.829535398225</v>
      </c>
      <c r="F816" s="44">
        <f t="shared" si="31"/>
        <v>180804.51789823006</v>
      </c>
      <c r="G816" s="40"/>
    </row>
    <row r="817" spans="1:7" ht="12.75" hidden="1" customHeight="1">
      <c r="A817" s="39" t="s">
        <v>120</v>
      </c>
      <c r="B817" s="45"/>
      <c r="C817" s="44">
        <f t="shared" si="30"/>
        <v>0</v>
      </c>
      <c r="D817" s="44">
        <f t="shared" si="30"/>
        <v>0</v>
      </c>
      <c r="E817" s="44">
        <f t="shared" si="30"/>
        <v>0</v>
      </c>
      <c r="F817" s="44">
        <f t="shared" si="31"/>
        <v>0</v>
      </c>
      <c r="G817" s="40"/>
    </row>
    <row r="818" spans="1:7" ht="12.75" hidden="1" customHeight="1">
      <c r="A818" s="39" t="s">
        <v>121</v>
      </c>
      <c r="B818" s="45"/>
      <c r="C818" s="44">
        <f t="shared" si="30"/>
        <v>0</v>
      </c>
      <c r="D818" s="44">
        <f t="shared" si="30"/>
        <v>0</v>
      </c>
      <c r="E818" s="44">
        <f t="shared" si="30"/>
        <v>0</v>
      </c>
      <c r="F818" s="44">
        <f t="shared" si="31"/>
        <v>0</v>
      </c>
      <c r="G818" s="40"/>
    </row>
    <row r="819" spans="1:7" ht="12.75" hidden="1" customHeight="1">
      <c r="A819" s="39" t="s">
        <v>122</v>
      </c>
      <c r="B819" s="43"/>
      <c r="C819" s="44">
        <f t="shared" si="30"/>
        <v>0</v>
      </c>
      <c r="D819" s="44">
        <f t="shared" si="30"/>
        <v>0</v>
      </c>
      <c r="E819" s="44">
        <f t="shared" si="30"/>
        <v>0</v>
      </c>
      <c r="F819" s="44">
        <f t="shared" si="31"/>
        <v>0</v>
      </c>
      <c r="G819" s="40"/>
    </row>
    <row r="820" spans="1:7" ht="12.75" hidden="1" customHeight="1">
      <c r="A820" s="39" t="s">
        <v>123</v>
      </c>
      <c r="B820" s="43"/>
      <c r="C820" s="44">
        <f t="shared" si="30"/>
        <v>0</v>
      </c>
      <c r="D820" s="44">
        <f t="shared" si="30"/>
        <v>0</v>
      </c>
      <c r="E820" s="44">
        <f t="shared" si="30"/>
        <v>0</v>
      </c>
      <c r="F820" s="44">
        <f t="shared" si="31"/>
        <v>0</v>
      </c>
      <c r="G820" s="40"/>
    </row>
    <row r="821" spans="1:7" ht="12.75" hidden="1" customHeight="1">
      <c r="A821" s="39" t="s">
        <v>124</v>
      </c>
      <c r="B821" s="43"/>
      <c r="C821" s="44">
        <f t="shared" si="30"/>
        <v>0</v>
      </c>
      <c r="D821" s="44">
        <f t="shared" si="30"/>
        <v>0</v>
      </c>
      <c r="E821" s="44">
        <f t="shared" si="30"/>
        <v>0</v>
      </c>
      <c r="F821" s="44">
        <f t="shared" si="31"/>
        <v>0</v>
      </c>
      <c r="G821" s="40"/>
    </row>
    <row r="822" spans="1:7" ht="12.75" hidden="1" customHeight="1">
      <c r="A822" s="39" t="s">
        <v>125</v>
      </c>
      <c r="B822" s="43"/>
      <c r="C822" s="44">
        <f t="shared" si="30"/>
        <v>0</v>
      </c>
      <c r="D822" s="44">
        <f t="shared" si="30"/>
        <v>0</v>
      </c>
      <c r="E822" s="44">
        <f t="shared" si="30"/>
        <v>0</v>
      </c>
      <c r="F822" s="44">
        <f t="shared" si="31"/>
        <v>0</v>
      </c>
      <c r="G822" s="40"/>
    </row>
    <row r="823" spans="1:7" ht="12.75" hidden="1" customHeight="1">
      <c r="A823" s="39" t="s">
        <v>126</v>
      </c>
      <c r="B823" s="45"/>
      <c r="C823" s="44">
        <f t="shared" si="30"/>
        <v>0</v>
      </c>
      <c r="D823" s="44">
        <f t="shared" si="30"/>
        <v>0</v>
      </c>
      <c r="E823" s="44">
        <f t="shared" si="30"/>
        <v>0</v>
      </c>
      <c r="F823" s="44">
        <f t="shared" si="31"/>
        <v>0</v>
      </c>
      <c r="G823" s="40"/>
    </row>
    <row r="824" spans="1:7" ht="12.75" hidden="1" customHeight="1">
      <c r="A824" s="39" t="s">
        <v>127</v>
      </c>
      <c r="B824" s="43">
        <v>9.5</v>
      </c>
      <c r="C824" s="66">
        <f t="shared" si="30"/>
        <v>16184.1525</v>
      </c>
      <c r="D824" s="66">
        <f t="shared" si="30"/>
        <v>23811.312411504427</v>
      </c>
      <c r="E824" s="66">
        <f t="shared" si="30"/>
        <v>9791.2863938053106</v>
      </c>
      <c r="F824" s="44">
        <f t="shared" si="31"/>
        <v>49786.751305309743</v>
      </c>
      <c r="G824" s="40"/>
    </row>
    <row r="825" spans="1:7" ht="12.75" hidden="1" customHeight="1">
      <c r="A825" s="39" t="s">
        <v>128</v>
      </c>
      <c r="B825" s="43"/>
      <c r="C825" s="44">
        <f t="shared" si="30"/>
        <v>0</v>
      </c>
      <c r="D825" s="44">
        <f t="shared" si="30"/>
        <v>0</v>
      </c>
      <c r="E825" s="44">
        <f t="shared" si="30"/>
        <v>0</v>
      </c>
      <c r="F825" s="44">
        <f t="shared" si="31"/>
        <v>0</v>
      </c>
      <c r="G825" s="40"/>
    </row>
    <row r="826" spans="1:7" ht="12.75" hidden="1" customHeight="1">
      <c r="A826" s="39" t="s">
        <v>129</v>
      </c>
      <c r="B826" s="45">
        <v>55.5</v>
      </c>
      <c r="C826" s="66">
        <f t="shared" si="30"/>
        <v>94549.522499999992</v>
      </c>
      <c r="D826" s="66">
        <f t="shared" si="30"/>
        <v>139108.19356194689</v>
      </c>
      <c r="E826" s="66">
        <f t="shared" si="30"/>
        <v>57201.725774336279</v>
      </c>
      <c r="F826" s="44">
        <f t="shared" si="31"/>
        <v>290859.44183628313</v>
      </c>
      <c r="G826" s="40"/>
    </row>
    <row r="827" spans="1:7" ht="12.75" hidden="1" customHeight="1">
      <c r="A827" s="39" t="s">
        <v>130</v>
      </c>
      <c r="B827" s="45"/>
      <c r="C827" s="44">
        <f t="shared" si="30"/>
        <v>0</v>
      </c>
      <c r="D827" s="44">
        <f t="shared" si="30"/>
        <v>0</v>
      </c>
      <c r="E827" s="44">
        <f t="shared" si="30"/>
        <v>0</v>
      </c>
      <c r="F827" s="44">
        <f t="shared" si="31"/>
        <v>0</v>
      </c>
      <c r="G827" s="40"/>
    </row>
    <row r="828" spans="1:7" ht="12.75" hidden="1" customHeight="1">
      <c r="A828" s="39" t="s">
        <v>131</v>
      </c>
      <c r="B828" s="45">
        <v>34</v>
      </c>
      <c r="C828" s="66">
        <f t="shared" si="30"/>
        <v>57922.23</v>
      </c>
      <c r="D828" s="66">
        <f t="shared" si="30"/>
        <v>85219.433893805312</v>
      </c>
      <c r="E828" s="66">
        <f t="shared" si="30"/>
        <v>35042.498672566369</v>
      </c>
      <c r="F828" s="44">
        <f t="shared" si="31"/>
        <v>178184.1625663717</v>
      </c>
      <c r="G828" s="40"/>
    </row>
    <row r="829" spans="1:7" ht="12.75" hidden="1" customHeight="1">
      <c r="A829" s="39" t="s">
        <v>132</v>
      </c>
      <c r="B829" s="43"/>
      <c r="C829" s="44">
        <f t="shared" si="30"/>
        <v>0</v>
      </c>
      <c r="D829" s="44">
        <f t="shared" si="30"/>
        <v>0</v>
      </c>
      <c r="E829" s="44">
        <f t="shared" si="30"/>
        <v>0</v>
      </c>
      <c r="F829" s="44">
        <f t="shared" si="31"/>
        <v>0</v>
      </c>
      <c r="G829" s="40"/>
    </row>
    <row r="830" spans="1:7" ht="12.75" hidden="1" customHeight="1">
      <c r="A830" s="39" t="s">
        <v>133</v>
      </c>
      <c r="B830" s="43"/>
      <c r="C830" s="44">
        <f t="shared" si="30"/>
        <v>0</v>
      </c>
      <c r="D830" s="44">
        <f t="shared" si="30"/>
        <v>0</v>
      </c>
      <c r="E830" s="44">
        <f t="shared" si="30"/>
        <v>0</v>
      </c>
      <c r="F830" s="44">
        <f t="shared" si="31"/>
        <v>0</v>
      </c>
      <c r="G830" s="40"/>
    </row>
    <row r="831" spans="1:7" ht="12.75" hidden="1" customHeight="1">
      <c r="A831" s="39" t="s">
        <v>134</v>
      </c>
      <c r="B831" s="45">
        <v>22</v>
      </c>
      <c r="C831" s="66">
        <f t="shared" si="30"/>
        <v>37479.089999999997</v>
      </c>
      <c r="D831" s="66">
        <f t="shared" si="30"/>
        <v>55141.986637168135</v>
      </c>
      <c r="E831" s="66">
        <f t="shared" si="30"/>
        <v>22674.557964601769</v>
      </c>
      <c r="F831" s="44">
        <f t="shared" si="31"/>
        <v>115295.6346017699</v>
      </c>
      <c r="G831" s="40"/>
    </row>
    <row r="832" spans="1:7" ht="12.75" hidden="1" customHeight="1">
      <c r="A832" s="39" t="s">
        <v>135</v>
      </c>
      <c r="B832" s="45"/>
      <c r="C832" s="44"/>
      <c r="D832" s="44">
        <f t="shared" ref="D832:D847" si="32">C832/C$848*D$848</f>
        <v>0</v>
      </c>
      <c r="E832" s="44"/>
      <c r="F832" s="44">
        <f t="shared" si="31"/>
        <v>0</v>
      </c>
      <c r="G832" s="40"/>
    </row>
    <row r="833" spans="1:7" ht="12.75" hidden="1" customHeight="1">
      <c r="A833" s="39" t="s">
        <v>136</v>
      </c>
      <c r="B833" s="43"/>
      <c r="C833" s="44"/>
      <c r="D833" s="44">
        <f t="shared" si="32"/>
        <v>0</v>
      </c>
      <c r="E833" s="44"/>
      <c r="F833" s="44">
        <f t="shared" si="31"/>
        <v>0</v>
      </c>
      <c r="G833" s="40"/>
    </row>
    <row r="834" spans="1:7" ht="12.75" hidden="1" customHeight="1">
      <c r="A834" s="39" t="s">
        <v>137</v>
      </c>
      <c r="B834" s="45"/>
      <c r="C834" s="44"/>
      <c r="D834" s="44">
        <f t="shared" si="32"/>
        <v>0</v>
      </c>
      <c r="E834" s="44"/>
      <c r="F834" s="44">
        <f t="shared" si="31"/>
        <v>0</v>
      </c>
      <c r="G834" s="40"/>
    </row>
    <row r="835" spans="1:7" ht="12.75" hidden="1" customHeight="1">
      <c r="A835" s="39" t="s">
        <v>138</v>
      </c>
      <c r="B835" s="45"/>
      <c r="C835" s="44"/>
      <c r="D835" s="44">
        <f t="shared" si="32"/>
        <v>0</v>
      </c>
      <c r="E835" s="44"/>
      <c r="F835" s="44">
        <f t="shared" si="31"/>
        <v>0</v>
      </c>
      <c r="G835" s="40"/>
    </row>
    <row r="836" spans="1:7" ht="12.75" hidden="1" customHeight="1">
      <c r="A836" s="39" t="s">
        <v>139</v>
      </c>
      <c r="B836" s="45"/>
      <c r="C836" s="44"/>
      <c r="D836" s="44">
        <f t="shared" si="32"/>
        <v>0</v>
      </c>
      <c r="E836" s="44"/>
      <c r="F836" s="44">
        <f t="shared" si="31"/>
        <v>0</v>
      </c>
      <c r="G836" s="40"/>
    </row>
    <row r="837" spans="1:7" ht="12.75" hidden="1" customHeight="1">
      <c r="A837" s="46" t="s">
        <v>140</v>
      </c>
      <c r="B837" s="45"/>
      <c r="C837" s="44"/>
      <c r="D837" s="44">
        <f t="shared" si="32"/>
        <v>0</v>
      </c>
      <c r="E837" s="44"/>
      <c r="F837" s="44">
        <f t="shared" si="31"/>
        <v>0</v>
      </c>
      <c r="G837" s="40"/>
    </row>
    <row r="838" spans="1:7" ht="12.75" hidden="1" customHeight="1">
      <c r="A838" s="46" t="s">
        <v>141</v>
      </c>
      <c r="B838" s="45"/>
      <c r="C838" s="44"/>
      <c r="D838" s="44">
        <f t="shared" si="32"/>
        <v>0</v>
      </c>
      <c r="E838" s="44"/>
      <c r="F838" s="44">
        <f t="shared" si="31"/>
        <v>0</v>
      </c>
      <c r="G838" s="40"/>
    </row>
    <row r="839" spans="1:7" ht="12.75" hidden="1" customHeight="1">
      <c r="A839" s="46" t="s">
        <v>142</v>
      </c>
      <c r="B839" s="45"/>
      <c r="C839" s="44"/>
      <c r="D839" s="44">
        <f t="shared" si="32"/>
        <v>0</v>
      </c>
      <c r="E839" s="44"/>
      <c r="F839" s="44">
        <f t="shared" si="31"/>
        <v>0</v>
      </c>
      <c r="G839" s="40"/>
    </row>
    <row r="840" spans="1:7" ht="12.75" hidden="1" customHeight="1">
      <c r="A840" s="46" t="s">
        <v>143</v>
      </c>
      <c r="B840" s="45"/>
      <c r="C840" s="44"/>
      <c r="D840" s="44">
        <f t="shared" si="32"/>
        <v>0</v>
      </c>
      <c r="E840" s="44"/>
      <c r="F840" s="44">
        <f t="shared" si="31"/>
        <v>0</v>
      </c>
      <c r="G840" s="40"/>
    </row>
    <row r="841" spans="1:7" ht="12.75" hidden="1" customHeight="1">
      <c r="A841" s="46" t="s">
        <v>144</v>
      </c>
      <c r="B841" s="45"/>
      <c r="C841" s="44"/>
      <c r="D841" s="44">
        <f t="shared" si="32"/>
        <v>0</v>
      </c>
      <c r="E841" s="44"/>
      <c r="F841" s="44">
        <f t="shared" si="31"/>
        <v>0</v>
      </c>
      <c r="G841" s="40"/>
    </row>
    <row r="842" spans="1:7" ht="12.75" hidden="1" customHeight="1">
      <c r="A842" s="46" t="s">
        <v>145</v>
      </c>
      <c r="B842" s="45"/>
      <c r="C842" s="44"/>
      <c r="D842" s="44">
        <f t="shared" si="32"/>
        <v>0</v>
      </c>
      <c r="E842" s="44"/>
      <c r="F842" s="44">
        <f t="shared" si="31"/>
        <v>0</v>
      </c>
      <c r="G842" s="40"/>
    </row>
    <row r="843" spans="1:7" ht="12.75" hidden="1" customHeight="1">
      <c r="A843" s="46" t="s">
        <v>146</v>
      </c>
      <c r="B843" s="45"/>
      <c r="C843" s="44"/>
      <c r="D843" s="44">
        <f t="shared" si="32"/>
        <v>0</v>
      </c>
      <c r="E843" s="44"/>
      <c r="F843" s="44">
        <f t="shared" si="31"/>
        <v>0</v>
      </c>
      <c r="G843" s="40"/>
    </row>
    <row r="844" spans="1:7" ht="12.75" hidden="1" customHeight="1">
      <c r="A844" s="46" t="s">
        <v>147</v>
      </c>
      <c r="B844" s="45"/>
      <c r="C844" s="44"/>
      <c r="D844" s="44">
        <f t="shared" si="32"/>
        <v>0</v>
      </c>
      <c r="E844" s="44"/>
      <c r="F844" s="44">
        <f t="shared" si="31"/>
        <v>0</v>
      </c>
      <c r="G844" s="40"/>
    </row>
    <row r="845" spans="1:7" ht="12.75" hidden="1" customHeight="1">
      <c r="A845" s="46" t="s">
        <v>148</v>
      </c>
      <c r="B845" s="45"/>
      <c r="C845" s="44"/>
      <c r="D845" s="44">
        <f t="shared" si="32"/>
        <v>0</v>
      </c>
      <c r="E845" s="44"/>
      <c r="F845" s="44">
        <f t="shared" si="31"/>
        <v>0</v>
      </c>
      <c r="G845" s="40"/>
    </row>
    <row r="846" spans="1:7" ht="12.75" hidden="1" customHeight="1">
      <c r="A846" s="46" t="s">
        <v>149</v>
      </c>
      <c r="B846" s="47"/>
      <c r="C846" s="44"/>
      <c r="D846" s="44">
        <f t="shared" si="32"/>
        <v>0</v>
      </c>
      <c r="E846" s="44"/>
      <c r="F846" s="44">
        <f t="shared" si="31"/>
        <v>0</v>
      </c>
      <c r="G846" s="40"/>
    </row>
    <row r="847" spans="1:7" ht="12.75" hidden="1" customHeight="1">
      <c r="A847" s="126" t="s">
        <v>406</v>
      </c>
      <c r="B847" s="47"/>
      <c r="C847" s="44"/>
      <c r="D847" s="44">
        <f t="shared" si="32"/>
        <v>0</v>
      </c>
      <c r="E847" s="44"/>
      <c r="F847" s="44">
        <f t="shared" si="31"/>
        <v>0</v>
      </c>
      <c r="G847" s="40"/>
    </row>
    <row r="848" spans="1:7" ht="12.75" hidden="1" customHeight="1">
      <c r="A848" s="48" t="s">
        <v>150</v>
      </c>
      <c r="B848" s="48">
        <f>SUM(B787:B847)</f>
        <v>226</v>
      </c>
      <c r="C848" s="49">
        <f>385012.47</f>
        <v>385012.47</v>
      </c>
      <c r="D848" s="50">
        <f>17042.4+108729.6+7056.4+368576.24+65053.95</f>
        <v>566458.59</v>
      </c>
      <c r="E848" s="50">
        <f>232929.55</f>
        <v>232929.55</v>
      </c>
      <c r="F848" s="50">
        <f>SUM(C848:E848)</f>
        <v>1184400.6099999999</v>
      </c>
      <c r="G848" s="40"/>
    </row>
    <row r="849" spans="1:7" ht="12.75" hidden="1" customHeight="1">
      <c r="A849" s="63"/>
      <c r="B849" s="106"/>
      <c r="C849" s="106"/>
      <c r="D849" s="106"/>
      <c r="E849" s="106"/>
      <c r="F849" s="106"/>
      <c r="G849" s="107"/>
    </row>
    <row r="850" spans="1:7" ht="12.75" hidden="1" customHeight="1">
      <c r="A850" s="51"/>
      <c r="B850" s="52"/>
      <c r="C850" s="51"/>
      <c r="D850" s="51"/>
      <c r="E850" s="52"/>
      <c r="F850" s="51"/>
      <c r="G850" s="40"/>
    </row>
    <row r="851" spans="1:7" ht="12.75" hidden="1" customHeight="1">
      <c r="A851" s="51"/>
      <c r="B851" s="52"/>
      <c r="C851" s="51"/>
      <c r="D851" s="51"/>
      <c r="E851" s="52"/>
      <c r="F851" s="51"/>
      <c r="G851" s="40"/>
    </row>
    <row r="852" spans="1:7" ht="12.75" hidden="1" customHeight="1">
      <c r="A852" s="51"/>
      <c r="B852" s="52"/>
      <c r="C852" s="51"/>
      <c r="D852" s="51"/>
      <c r="E852" s="52"/>
      <c r="F852" s="51"/>
      <c r="G852" s="40"/>
    </row>
    <row r="853" spans="1:7" ht="12.75" hidden="1" customHeight="1">
      <c r="A853" s="269" t="s">
        <v>418</v>
      </c>
      <c r="B853" s="269"/>
      <c r="C853" s="269"/>
      <c r="D853" s="269"/>
      <c r="E853" s="269"/>
      <c r="F853" s="269"/>
      <c r="G853" s="40"/>
    </row>
    <row r="854" spans="1:7" ht="12.75" hidden="1" customHeight="1">
      <c r="A854" s="43" t="s">
        <v>86</v>
      </c>
      <c r="B854" s="43" t="s">
        <v>87</v>
      </c>
      <c r="C854" s="43" t="s">
        <v>88</v>
      </c>
      <c r="D854" s="43" t="s">
        <v>89</v>
      </c>
      <c r="E854" s="43" t="s">
        <v>90</v>
      </c>
      <c r="F854" s="45" t="s">
        <v>152</v>
      </c>
      <c r="G854" s="43" t="s">
        <v>91</v>
      </c>
    </row>
    <row r="855" spans="1:7" ht="12.75" hidden="1" customHeight="1">
      <c r="A855" s="39" t="s">
        <v>153</v>
      </c>
      <c r="B855" s="43"/>
      <c r="C855" s="42"/>
      <c r="D855" s="42"/>
      <c r="E855" s="42"/>
      <c r="F855" s="45"/>
      <c r="G855" s="42"/>
    </row>
    <row r="856" spans="1:7" ht="12.75" hidden="1" customHeight="1">
      <c r="A856" s="39" t="s">
        <v>154</v>
      </c>
      <c r="B856" s="43"/>
      <c r="C856" s="42"/>
      <c r="D856" s="42"/>
      <c r="E856" s="42"/>
      <c r="F856" s="45"/>
      <c r="G856" s="42"/>
    </row>
    <row r="857" spans="1:7" ht="12.75" hidden="1" customHeight="1">
      <c r="A857" s="39" t="s">
        <v>155</v>
      </c>
      <c r="B857" s="43"/>
      <c r="C857" s="42"/>
      <c r="D857" s="42"/>
      <c r="E857" s="42"/>
      <c r="F857" s="45"/>
      <c r="G857" s="42"/>
    </row>
    <row r="858" spans="1:7" ht="12.75" hidden="1" customHeight="1">
      <c r="A858" s="39" t="s">
        <v>156</v>
      </c>
      <c r="B858" s="43"/>
      <c r="C858" s="42"/>
      <c r="D858" s="42"/>
      <c r="E858" s="42"/>
      <c r="F858" s="45"/>
      <c r="G858" s="42"/>
    </row>
    <row r="859" spans="1:7" ht="12.75" hidden="1" customHeight="1">
      <c r="A859" s="39" t="s">
        <v>3</v>
      </c>
      <c r="B859" s="43"/>
      <c r="C859" s="42"/>
      <c r="D859" s="42"/>
      <c r="E859" s="42"/>
      <c r="F859" s="45"/>
      <c r="G859" s="42"/>
    </row>
    <row r="860" spans="1:7" ht="12.75" hidden="1" customHeight="1">
      <c r="A860" s="39" t="s">
        <v>4</v>
      </c>
      <c r="B860" s="43"/>
      <c r="C860" s="42"/>
      <c r="D860" s="42"/>
      <c r="E860" s="42"/>
      <c r="F860" s="45"/>
      <c r="G860" s="42"/>
    </row>
    <row r="861" spans="1:7" ht="12.75" hidden="1" customHeight="1">
      <c r="A861" s="39" t="s">
        <v>5</v>
      </c>
      <c r="B861" s="43"/>
      <c r="C861" s="42"/>
      <c r="D861" s="42"/>
      <c r="E861" s="42"/>
      <c r="F861" s="45"/>
      <c r="G861" s="42"/>
    </row>
    <row r="862" spans="1:7" ht="12.75" hidden="1" customHeight="1">
      <c r="A862" s="39" t="s">
        <v>157</v>
      </c>
      <c r="B862" s="43">
        <v>20</v>
      </c>
      <c r="C862" s="53">
        <f>B862/B$930*C$930</f>
        <v>34337.762445414846</v>
      </c>
      <c r="D862" s="53">
        <f>C862/C$930*D$930</f>
        <v>41113.972925764196</v>
      </c>
      <c r="E862" s="53">
        <f>D862/D$930*E$930</f>
        <v>15171.060262008734</v>
      </c>
      <c r="F862" s="57"/>
      <c r="G862" s="42">
        <f>SUM(C862:F862)</f>
        <v>90622.795633187765</v>
      </c>
    </row>
    <row r="863" spans="1:7" ht="12.75" hidden="1" customHeight="1">
      <c r="A863" s="39" t="s">
        <v>158</v>
      </c>
      <c r="B863" s="43">
        <v>10.5</v>
      </c>
      <c r="C863" s="53">
        <f t="shared" ref="C863:E909" si="33">B863/B$930*C$930</f>
        <v>18027.325283842794</v>
      </c>
      <c r="D863" s="53">
        <f t="shared" si="33"/>
        <v>21584.8357860262</v>
      </c>
      <c r="E863" s="53">
        <f t="shared" si="33"/>
        <v>7964.806637554585</v>
      </c>
      <c r="F863" s="57"/>
      <c r="G863" s="42">
        <f t="shared" ref="G863:G909" si="34">SUM(C863:F863)</f>
        <v>47576.967707423573</v>
      </c>
    </row>
    <row r="864" spans="1:7" ht="12.75" hidden="1" customHeight="1">
      <c r="A864" s="39" t="s">
        <v>159</v>
      </c>
      <c r="B864" s="43"/>
      <c r="C864" s="42">
        <f t="shared" si="33"/>
        <v>0</v>
      </c>
      <c r="D864" s="42">
        <f t="shared" si="33"/>
        <v>0</v>
      </c>
      <c r="E864" s="42">
        <f t="shared" si="33"/>
        <v>0</v>
      </c>
      <c r="F864" s="57"/>
      <c r="G864" s="42">
        <f t="shared" si="34"/>
        <v>0</v>
      </c>
    </row>
    <row r="865" spans="1:7" ht="12.75" hidden="1" customHeight="1">
      <c r="A865" s="39" t="s">
        <v>160</v>
      </c>
      <c r="B865" s="43"/>
      <c r="C865" s="42">
        <f t="shared" si="33"/>
        <v>0</v>
      </c>
      <c r="D865" s="42">
        <f t="shared" si="33"/>
        <v>0</v>
      </c>
      <c r="E865" s="42">
        <f t="shared" si="33"/>
        <v>0</v>
      </c>
      <c r="F865" s="57"/>
      <c r="G865" s="42">
        <f t="shared" si="34"/>
        <v>0</v>
      </c>
    </row>
    <row r="866" spans="1:7" ht="12.75" hidden="1" customHeight="1">
      <c r="A866" s="39" t="s">
        <v>161</v>
      </c>
      <c r="B866" s="43"/>
      <c r="C866" s="42">
        <f t="shared" si="33"/>
        <v>0</v>
      </c>
      <c r="D866" s="42">
        <f t="shared" si="33"/>
        <v>0</v>
      </c>
      <c r="E866" s="42">
        <f t="shared" si="33"/>
        <v>0</v>
      </c>
      <c r="F866" s="57"/>
      <c r="G866" s="42">
        <f t="shared" si="34"/>
        <v>0</v>
      </c>
    </row>
    <row r="867" spans="1:7" ht="12.75" hidden="1" customHeight="1">
      <c r="A867" s="39" t="s">
        <v>6</v>
      </c>
      <c r="B867" s="43">
        <v>5.5</v>
      </c>
      <c r="C867" s="53">
        <f t="shared" si="33"/>
        <v>9442.8846724890827</v>
      </c>
      <c r="D867" s="53">
        <f t="shared" si="33"/>
        <v>11306.342554585155</v>
      </c>
      <c r="E867" s="53">
        <f t="shared" si="33"/>
        <v>4172.0415720524024</v>
      </c>
      <c r="F867" s="57"/>
      <c r="G867" s="42">
        <f t="shared" si="34"/>
        <v>24921.268799126643</v>
      </c>
    </row>
    <row r="868" spans="1:7" ht="12.75" hidden="1" customHeight="1">
      <c r="A868" s="39" t="s">
        <v>7</v>
      </c>
      <c r="B868" s="43"/>
      <c r="C868" s="42">
        <f t="shared" si="33"/>
        <v>0</v>
      </c>
      <c r="D868" s="42">
        <f t="shared" si="33"/>
        <v>0</v>
      </c>
      <c r="E868" s="42">
        <f t="shared" si="33"/>
        <v>0</v>
      </c>
      <c r="F868" s="57"/>
      <c r="G868" s="42">
        <f t="shared" si="34"/>
        <v>0</v>
      </c>
    </row>
    <row r="869" spans="1:7" ht="12.75" hidden="1" customHeight="1">
      <c r="A869" s="39" t="s">
        <v>162</v>
      </c>
      <c r="B869" s="43"/>
      <c r="C869" s="42">
        <f t="shared" si="33"/>
        <v>0</v>
      </c>
      <c r="D869" s="42">
        <f t="shared" si="33"/>
        <v>0</v>
      </c>
      <c r="E869" s="42">
        <f t="shared" si="33"/>
        <v>0</v>
      </c>
      <c r="F869" s="57"/>
      <c r="G869" s="42">
        <f t="shared" si="34"/>
        <v>0</v>
      </c>
    </row>
    <row r="870" spans="1:7" ht="12.75" hidden="1" customHeight="1">
      <c r="A870" s="39" t="s">
        <v>401</v>
      </c>
      <c r="B870" s="45"/>
      <c r="C870" s="42">
        <f t="shared" si="33"/>
        <v>0</v>
      </c>
      <c r="D870" s="42">
        <f t="shared" si="33"/>
        <v>0</v>
      </c>
      <c r="E870" s="42">
        <f t="shared" si="33"/>
        <v>0</v>
      </c>
      <c r="F870" s="57"/>
      <c r="G870" s="42">
        <f t="shared" si="34"/>
        <v>0</v>
      </c>
    </row>
    <row r="871" spans="1:7" ht="12.75" hidden="1" customHeight="1">
      <c r="A871" s="145" t="s">
        <v>402</v>
      </c>
      <c r="B871" s="146">
        <v>2.5</v>
      </c>
      <c r="C871" s="53">
        <f t="shared" si="33"/>
        <v>4292.2203056768558</v>
      </c>
      <c r="D871" s="53">
        <f t="shared" si="33"/>
        <v>5139.2466157205245</v>
      </c>
      <c r="E871" s="53">
        <f t="shared" si="33"/>
        <v>1896.3825327510917</v>
      </c>
      <c r="F871" s="147">
        <f>2.5/25*F930</f>
        <v>1395.42</v>
      </c>
      <c r="G871" s="42">
        <f t="shared" si="34"/>
        <v>12723.269454148471</v>
      </c>
    </row>
    <row r="872" spans="1:7" ht="12.75" hidden="1" customHeight="1">
      <c r="A872" s="39" t="s">
        <v>8</v>
      </c>
      <c r="B872" s="43">
        <v>10.5</v>
      </c>
      <c r="C872" s="53">
        <f t="shared" si="33"/>
        <v>18027.325283842794</v>
      </c>
      <c r="D872" s="53">
        <f t="shared" si="33"/>
        <v>21584.8357860262</v>
      </c>
      <c r="E872" s="53">
        <f t="shared" si="33"/>
        <v>7964.806637554585</v>
      </c>
      <c r="F872" s="57"/>
      <c r="G872" s="42">
        <f t="shared" si="34"/>
        <v>47576.967707423573</v>
      </c>
    </row>
    <row r="873" spans="1:7" ht="12.75" hidden="1" customHeight="1">
      <c r="A873" s="39" t="s">
        <v>9</v>
      </c>
      <c r="B873" s="43"/>
      <c r="C873" s="42">
        <f t="shared" si="33"/>
        <v>0</v>
      </c>
      <c r="D873" s="42">
        <f t="shared" si="33"/>
        <v>0</v>
      </c>
      <c r="E873" s="42">
        <f t="shared" si="33"/>
        <v>0</v>
      </c>
      <c r="F873" s="57"/>
      <c r="G873" s="42">
        <f t="shared" si="34"/>
        <v>0</v>
      </c>
    </row>
    <row r="874" spans="1:7" ht="12.75" hidden="1" customHeight="1">
      <c r="A874" s="39" t="s">
        <v>10</v>
      </c>
      <c r="B874" s="43">
        <v>4.5</v>
      </c>
      <c r="C874" s="53">
        <f t="shared" si="33"/>
        <v>7725.9965502183413</v>
      </c>
      <c r="D874" s="53">
        <f t="shared" si="33"/>
        <v>9250.6439082969446</v>
      </c>
      <c r="E874" s="53">
        <f t="shared" si="33"/>
        <v>3413.4885589519654</v>
      </c>
      <c r="F874" s="57"/>
      <c r="G874" s="42">
        <f t="shared" si="34"/>
        <v>20390.12901746725</v>
      </c>
    </row>
    <row r="875" spans="1:7" ht="12.75" hidden="1" customHeight="1">
      <c r="A875" s="39" t="s">
        <v>11</v>
      </c>
      <c r="B875" s="43"/>
      <c r="C875" s="42">
        <f t="shared" si="33"/>
        <v>0</v>
      </c>
      <c r="D875" s="42">
        <f t="shared" si="33"/>
        <v>0</v>
      </c>
      <c r="E875" s="42">
        <f t="shared" si="33"/>
        <v>0</v>
      </c>
      <c r="F875" s="57"/>
      <c r="G875" s="42">
        <f t="shared" si="34"/>
        <v>0</v>
      </c>
    </row>
    <row r="876" spans="1:7" ht="12.75" hidden="1" customHeight="1">
      <c r="A876" s="39" t="s">
        <v>164</v>
      </c>
      <c r="B876" s="43"/>
      <c r="C876" s="42">
        <f t="shared" si="33"/>
        <v>0</v>
      </c>
      <c r="D876" s="42">
        <f t="shared" si="33"/>
        <v>0</v>
      </c>
      <c r="E876" s="42">
        <f t="shared" si="33"/>
        <v>0</v>
      </c>
      <c r="F876" s="57"/>
      <c r="G876" s="42">
        <f t="shared" si="34"/>
        <v>0</v>
      </c>
    </row>
    <row r="877" spans="1:7" ht="12.75" hidden="1" customHeight="1">
      <c r="A877" s="39" t="s">
        <v>165</v>
      </c>
      <c r="B877" s="43">
        <v>10.5</v>
      </c>
      <c r="C877" s="53">
        <f t="shared" si="33"/>
        <v>18027.325283842794</v>
      </c>
      <c r="D877" s="53">
        <f t="shared" si="33"/>
        <v>21584.8357860262</v>
      </c>
      <c r="E877" s="53">
        <f t="shared" si="33"/>
        <v>7964.806637554585</v>
      </c>
      <c r="F877" s="57"/>
      <c r="G877" s="42">
        <f t="shared" si="34"/>
        <v>47576.967707423573</v>
      </c>
    </row>
    <row r="878" spans="1:7" ht="12.75" hidden="1" customHeight="1">
      <c r="A878" s="39" t="s">
        <v>166</v>
      </c>
      <c r="B878" s="43"/>
      <c r="C878" s="42">
        <f t="shared" si="33"/>
        <v>0</v>
      </c>
      <c r="D878" s="42">
        <f t="shared" si="33"/>
        <v>0</v>
      </c>
      <c r="E878" s="42">
        <f t="shared" si="33"/>
        <v>0</v>
      </c>
      <c r="F878" s="57"/>
      <c r="G878" s="42">
        <f t="shared" si="34"/>
        <v>0</v>
      </c>
    </row>
    <row r="879" spans="1:7" ht="12.75" hidden="1" customHeight="1">
      <c r="A879" s="39" t="s">
        <v>167</v>
      </c>
      <c r="B879" s="43"/>
      <c r="C879" s="42">
        <f t="shared" si="33"/>
        <v>0</v>
      </c>
      <c r="D879" s="42">
        <f t="shared" si="33"/>
        <v>0</v>
      </c>
      <c r="E879" s="42">
        <f t="shared" si="33"/>
        <v>0</v>
      </c>
      <c r="F879" s="57"/>
      <c r="G879" s="42">
        <f t="shared" si="34"/>
        <v>0</v>
      </c>
    </row>
    <row r="880" spans="1:7" ht="12.75" hidden="1" customHeight="1">
      <c r="A880" s="39" t="s">
        <v>168</v>
      </c>
      <c r="B880" s="43"/>
      <c r="C880" s="42">
        <f t="shared" si="33"/>
        <v>0</v>
      </c>
      <c r="D880" s="42">
        <f t="shared" si="33"/>
        <v>0</v>
      </c>
      <c r="E880" s="42">
        <f t="shared" si="33"/>
        <v>0</v>
      </c>
      <c r="F880" s="57"/>
      <c r="G880" s="42">
        <f t="shared" si="34"/>
        <v>0</v>
      </c>
    </row>
    <row r="881" spans="1:7" ht="12.75" hidden="1" customHeight="1">
      <c r="A881" s="39" t="s">
        <v>169</v>
      </c>
      <c r="B881" s="43"/>
      <c r="C881" s="42">
        <f t="shared" si="33"/>
        <v>0</v>
      </c>
      <c r="D881" s="42">
        <f t="shared" si="33"/>
        <v>0</v>
      </c>
      <c r="E881" s="42">
        <f t="shared" si="33"/>
        <v>0</v>
      </c>
      <c r="F881" s="57"/>
      <c r="G881" s="42">
        <f t="shared" si="34"/>
        <v>0</v>
      </c>
    </row>
    <row r="882" spans="1:7" ht="12.75" hidden="1" customHeight="1">
      <c r="A882" s="39" t="s">
        <v>170</v>
      </c>
      <c r="B882" s="43"/>
      <c r="C882" s="42">
        <f t="shared" si="33"/>
        <v>0</v>
      </c>
      <c r="D882" s="42">
        <f t="shared" si="33"/>
        <v>0</v>
      </c>
      <c r="E882" s="42">
        <f t="shared" si="33"/>
        <v>0</v>
      </c>
      <c r="F882" s="57"/>
      <c r="G882" s="42">
        <f t="shared" si="34"/>
        <v>0</v>
      </c>
    </row>
    <row r="883" spans="1:7" ht="12.75" hidden="1" customHeight="1">
      <c r="A883" s="39" t="s">
        <v>171</v>
      </c>
      <c r="B883" s="43"/>
      <c r="C883" s="42">
        <f t="shared" si="33"/>
        <v>0</v>
      </c>
      <c r="D883" s="42">
        <f t="shared" si="33"/>
        <v>0</v>
      </c>
      <c r="E883" s="42">
        <f t="shared" si="33"/>
        <v>0</v>
      </c>
      <c r="F883" s="57"/>
      <c r="G883" s="42">
        <f t="shared" si="34"/>
        <v>0</v>
      </c>
    </row>
    <row r="884" spans="1:7" ht="12.75" hidden="1" customHeight="1">
      <c r="A884" s="39" t="s">
        <v>172</v>
      </c>
      <c r="B884" s="41"/>
      <c r="C884" s="42">
        <f t="shared" si="33"/>
        <v>0</v>
      </c>
      <c r="D884" s="42">
        <f t="shared" si="33"/>
        <v>0</v>
      </c>
      <c r="E884" s="42">
        <f t="shared" si="33"/>
        <v>0</v>
      </c>
      <c r="F884" s="57"/>
      <c r="G884" s="42">
        <f t="shared" si="34"/>
        <v>0</v>
      </c>
    </row>
    <row r="885" spans="1:7" ht="12.75" hidden="1" customHeight="1">
      <c r="A885" s="39" t="s">
        <v>12</v>
      </c>
      <c r="B885" s="43"/>
      <c r="C885" s="42">
        <f t="shared" si="33"/>
        <v>0</v>
      </c>
      <c r="D885" s="42">
        <f t="shared" si="33"/>
        <v>0</v>
      </c>
      <c r="E885" s="42">
        <f t="shared" si="33"/>
        <v>0</v>
      </c>
      <c r="F885" s="57"/>
      <c r="G885" s="42">
        <f t="shared" si="34"/>
        <v>0</v>
      </c>
    </row>
    <row r="886" spans="1:7" ht="12.75" hidden="1" customHeight="1">
      <c r="A886" s="39" t="s">
        <v>13</v>
      </c>
      <c r="B886" s="43">
        <v>10.5</v>
      </c>
      <c r="C886" s="53">
        <f t="shared" si="33"/>
        <v>18027.325283842794</v>
      </c>
      <c r="D886" s="53">
        <f t="shared" si="33"/>
        <v>21584.8357860262</v>
      </c>
      <c r="E886" s="53">
        <f t="shared" si="33"/>
        <v>7964.806637554585</v>
      </c>
      <c r="F886" s="57"/>
      <c r="G886" s="42">
        <f t="shared" si="34"/>
        <v>47576.967707423573</v>
      </c>
    </row>
    <row r="887" spans="1:7" ht="12.75" hidden="1" customHeight="1">
      <c r="A887" s="39" t="s">
        <v>14</v>
      </c>
      <c r="B887" s="43">
        <v>22</v>
      </c>
      <c r="C887" s="53">
        <f t="shared" si="33"/>
        <v>37771.538689956331</v>
      </c>
      <c r="D887" s="53">
        <f t="shared" si="33"/>
        <v>45225.37021834062</v>
      </c>
      <c r="E887" s="53">
        <f t="shared" si="33"/>
        <v>16688.16628820961</v>
      </c>
      <c r="F887" s="57"/>
      <c r="G887" s="42">
        <f t="shared" si="34"/>
        <v>99685.075196506572</v>
      </c>
    </row>
    <row r="888" spans="1:7" ht="12.75" hidden="1" customHeight="1">
      <c r="A888" s="39" t="s">
        <v>15</v>
      </c>
      <c r="B888" s="43"/>
      <c r="C888" s="42">
        <f t="shared" si="33"/>
        <v>0</v>
      </c>
      <c r="D888" s="42">
        <f t="shared" si="33"/>
        <v>0</v>
      </c>
      <c r="E888" s="42">
        <f t="shared" si="33"/>
        <v>0</v>
      </c>
      <c r="F888" s="57"/>
      <c r="G888" s="42">
        <f t="shared" si="34"/>
        <v>0</v>
      </c>
    </row>
    <row r="889" spans="1:7" ht="12.75" hidden="1" customHeight="1">
      <c r="A889" s="39" t="s">
        <v>16</v>
      </c>
      <c r="B889" s="43">
        <v>4.5</v>
      </c>
      <c r="C889" s="53">
        <f t="shared" si="33"/>
        <v>7725.9965502183413</v>
      </c>
      <c r="D889" s="53">
        <f t="shared" si="33"/>
        <v>9250.6439082969446</v>
      </c>
      <c r="E889" s="53">
        <f t="shared" si="33"/>
        <v>3413.4885589519654</v>
      </c>
      <c r="F889" s="57"/>
      <c r="G889" s="42">
        <f t="shared" si="34"/>
        <v>20390.12901746725</v>
      </c>
    </row>
    <row r="890" spans="1:7" ht="12.75" hidden="1" customHeight="1">
      <c r="A890" s="39" t="s">
        <v>173</v>
      </c>
      <c r="B890" s="43"/>
      <c r="C890" s="42">
        <f t="shared" si="33"/>
        <v>0</v>
      </c>
      <c r="D890" s="42">
        <f t="shared" si="33"/>
        <v>0</v>
      </c>
      <c r="E890" s="42">
        <f t="shared" si="33"/>
        <v>0</v>
      </c>
      <c r="F890" s="57"/>
      <c r="G890" s="42">
        <f t="shared" si="34"/>
        <v>0</v>
      </c>
    </row>
    <row r="891" spans="1:7" ht="12.75" hidden="1" customHeight="1">
      <c r="A891" s="39" t="s">
        <v>174</v>
      </c>
      <c r="B891" s="45">
        <v>10</v>
      </c>
      <c r="C891" s="53">
        <f t="shared" si="33"/>
        <v>17168.881222707423</v>
      </c>
      <c r="D891" s="53">
        <f t="shared" si="33"/>
        <v>20556.986462882098</v>
      </c>
      <c r="E891" s="53">
        <f t="shared" si="33"/>
        <v>7585.5301310043669</v>
      </c>
      <c r="F891" s="57"/>
      <c r="G891" s="42">
        <f t="shared" si="34"/>
        <v>45311.397816593882</v>
      </c>
    </row>
    <row r="892" spans="1:7" ht="12.75" hidden="1" customHeight="1">
      <c r="A892" s="39" t="s">
        <v>175</v>
      </c>
      <c r="B892" s="45"/>
      <c r="C892" s="42">
        <f t="shared" si="33"/>
        <v>0</v>
      </c>
      <c r="D892" s="42">
        <f t="shared" si="33"/>
        <v>0</v>
      </c>
      <c r="E892" s="42">
        <f t="shared" si="33"/>
        <v>0</v>
      </c>
      <c r="F892" s="57"/>
      <c r="G892" s="42">
        <f t="shared" si="34"/>
        <v>0</v>
      </c>
    </row>
    <row r="893" spans="1:7" ht="12.75" hidden="1" customHeight="1">
      <c r="A893" s="39" t="s">
        <v>176</v>
      </c>
      <c r="B893" s="43"/>
      <c r="C893" s="42">
        <f t="shared" si="33"/>
        <v>0</v>
      </c>
      <c r="D893" s="42">
        <f t="shared" si="33"/>
        <v>0</v>
      </c>
      <c r="E893" s="42">
        <f t="shared" si="33"/>
        <v>0</v>
      </c>
      <c r="F893" s="57"/>
      <c r="G893" s="42">
        <f t="shared" si="34"/>
        <v>0</v>
      </c>
    </row>
    <row r="894" spans="1:7" ht="12.75" hidden="1" customHeight="1">
      <c r="A894" s="39" t="s">
        <v>466</v>
      </c>
      <c r="B894" s="43">
        <v>5.5</v>
      </c>
      <c r="C894" s="53">
        <f t="shared" si="33"/>
        <v>9442.8846724890827</v>
      </c>
      <c r="D894" s="53">
        <f t="shared" si="33"/>
        <v>11306.342554585155</v>
      </c>
      <c r="E894" s="53">
        <f t="shared" si="33"/>
        <v>4172.0415720524024</v>
      </c>
      <c r="F894" s="57"/>
      <c r="G894" s="42">
        <f t="shared" si="34"/>
        <v>24921.268799126643</v>
      </c>
    </row>
    <row r="895" spans="1:7" ht="12.75" hidden="1" customHeight="1">
      <c r="A895" s="58" t="s">
        <v>178</v>
      </c>
      <c r="B895" s="59">
        <v>2.5</v>
      </c>
      <c r="C895" s="60">
        <f t="shared" si="33"/>
        <v>4292.2203056768558</v>
      </c>
      <c r="D895" s="60">
        <f t="shared" si="33"/>
        <v>5139.2466157205245</v>
      </c>
      <c r="E895" s="60">
        <f t="shared" si="33"/>
        <v>1896.3825327510917</v>
      </c>
      <c r="F895" s="61">
        <f>2.5/25*F930</f>
        <v>1395.42</v>
      </c>
      <c r="G895" s="42">
        <f t="shared" si="34"/>
        <v>12723.269454148471</v>
      </c>
    </row>
    <row r="896" spans="1:7" ht="12.75" hidden="1" customHeight="1">
      <c r="A896" s="39" t="s">
        <v>179</v>
      </c>
      <c r="B896" s="43">
        <v>38.5</v>
      </c>
      <c r="C896" s="53">
        <f t="shared" si="33"/>
        <v>66100.192707423586</v>
      </c>
      <c r="D896" s="53">
        <f t="shared" si="33"/>
        <v>79144.397882096077</v>
      </c>
      <c r="E896" s="53">
        <f t="shared" si="33"/>
        <v>29204.291004366816</v>
      </c>
      <c r="F896" s="57"/>
      <c r="G896" s="42">
        <f t="shared" si="34"/>
        <v>174448.88159388647</v>
      </c>
    </row>
    <row r="897" spans="1:7" ht="12.75" hidden="1" customHeight="1">
      <c r="A897" s="39" t="s">
        <v>180</v>
      </c>
      <c r="B897" s="43"/>
      <c r="C897" s="42">
        <f t="shared" si="33"/>
        <v>0</v>
      </c>
      <c r="D897" s="42">
        <f t="shared" si="33"/>
        <v>0</v>
      </c>
      <c r="E897" s="42">
        <f t="shared" si="33"/>
        <v>0</v>
      </c>
      <c r="F897" s="57"/>
      <c r="G897" s="42">
        <f t="shared" si="34"/>
        <v>0</v>
      </c>
    </row>
    <row r="898" spans="1:7" ht="12.75" hidden="1" customHeight="1">
      <c r="A898" s="39" t="s">
        <v>181</v>
      </c>
      <c r="B898" s="43"/>
      <c r="C898" s="42">
        <f t="shared" si="33"/>
        <v>0</v>
      </c>
      <c r="D898" s="42">
        <f t="shared" si="33"/>
        <v>0</v>
      </c>
      <c r="E898" s="42">
        <f t="shared" si="33"/>
        <v>0</v>
      </c>
      <c r="F898" s="57"/>
      <c r="G898" s="42">
        <f t="shared" si="34"/>
        <v>0</v>
      </c>
    </row>
    <row r="899" spans="1:7" ht="12.75" hidden="1" customHeight="1">
      <c r="A899" s="39" t="s">
        <v>182</v>
      </c>
      <c r="B899" s="41">
        <v>5.5</v>
      </c>
      <c r="C899" s="53">
        <f t="shared" si="33"/>
        <v>9442.8846724890827</v>
      </c>
      <c r="D899" s="53">
        <f t="shared" si="33"/>
        <v>11306.342554585155</v>
      </c>
      <c r="E899" s="53">
        <f t="shared" si="33"/>
        <v>4172.0415720524024</v>
      </c>
      <c r="F899" s="57"/>
      <c r="G899" s="42">
        <f t="shared" si="34"/>
        <v>24921.268799126643</v>
      </c>
    </row>
    <row r="900" spans="1:7" ht="12.75" hidden="1" customHeight="1">
      <c r="A900" s="58" t="s">
        <v>183</v>
      </c>
      <c r="B900" s="59">
        <v>1.5</v>
      </c>
      <c r="C900" s="60">
        <f t="shared" si="33"/>
        <v>2575.3321834061135</v>
      </c>
      <c r="D900" s="60">
        <f t="shared" si="33"/>
        <v>3083.5479694323144</v>
      </c>
      <c r="E900" s="60">
        <f t="shared" si="33"/>
        <v>1137.8295196506551</v>
      </c>
      <c r="F900" s="61">
        <f>1.5/25*F930</f>
        <v>837.25200000000007</v>
      </c>
      <c r="G900" s="42">
        <f t="shared" si="34"/>
        <v>7633.9616724890839</v>
      </c>
    </row>
    <row r="901" spans="1:7" ht="12.75" hidden="1" customHeight="1">
      <c r="A901" s="39" t="s">
        <v>184</v>
      </c>
      <c r="B901" s="43">
        <v>3</v>
      </c>
      <c r="C901" s="53">
        <f t="shared" si="33"/>
        <v>5150.6643668122269</v>
      </c>
      <c r="D901" s="53">
        <f t="shared" si="33"/>
        <v>6167.0959388646288</v>
      </c>
      <c r="E901" s="53">
        <f t="shared" si="33"/>
        <v>2275.6590393013103</v>
      </c>
      <c r="F901" s="57"/>
      <c r="G901" s="42">
        <f t="shared" si="34"/>
        <v>13593.419344978167</v>
      </c>
    </row>
    <row r="902" spans="1:7" ht="12.75" hidden="1" customHeight="1">
      <c r="A902" s="39" t="s">
        <v>185</v>
      </c>
      <c r="B902" s="43">
        <v>11</v>
      </c>
      <c r="C902" s="53">
        <f t="shared" si="33"/>
        <v>18885.769344978165</v>
      </c>
      <c r="D902" s="53">
        <f t="shared" si="33"/>
        <v>22612.68510917031</v>
      </c>
      <c r="E902" s="53">
        <f t="shared" si="33"/>
        <v>8344.0831441048049</v>
      </c>
      <c r="F902" s="57"/>
      <c r="G902" s="42">
        <f t="shared" si="34"/>
        <v>49842.537598253286</v>
      </c>
    </row>
    <row r="903" spans="1:7" ht="12.75" hidden="1" customHeight="1">
      <c r="A903" s="39" t="s">
        <v>186</v>
      </c>
      <c r="B903" s="43">
        <v>20.5</v>
      </c>
      <c r="C903" s="53">
        <f t="shared" si="33"/>
        <v>35196.206506550217</v>
      </c>
      <c r="D903" s="53">
        <f t="shared" si="33"/>
        <v>42141.822248908298</v>
      </c>
      <c r="E903" s="53">
        <f t="shared" si="33"/>
        <v>15550.336768558951</v>
      </c>
      <c r="F903" s="57"/>
      <c r="G903" s="42">
        <f t="shared" si="34"/>
        <v>92888.365524017456</v>
      </c>
    </row>
    <row r="904" spans="1:7" ht="12.75" hidden="1" customHeight="1">
      <c r="A904" s="39" t="s">
        <v>187</v>
      </c>
      <c r="B904" s="43"/>
      <c r="C904" s="42">
        <f t="shared" si="33"/>
        <v>0</v>
      </c>
      <c r="D904" s="42">
        <f t="shared" si="33"/>
        <v>0</v>
      </c>
      <c r="E904" s="42">
        <f t="shared" si="33"/>
        <v>0</v>
      </c>
      <c r="F904" s="57"/>
      <c r="G904" s="42">
        <f t="shared" si="34"/>
        <v>0</v>
      </c>
    </row>
    <row r="905" spans="1:7" ht="12.75" hidden="1" customHeight="1">
      <c r="A905" s="39" t="s">
        <v>188</v>
      </c>
      <c r="B905" s="43"/>
      <c r="C905" s="42">
        <f t="shared" si="33"/>
        <v>0</v>
      </c>
      <c r="D905" s="42">
        <f t="shared" si="33"/>
        <v>0</v>
      </c>
      <c r="E905" s="42">
        <f t="shared" si="33"/>
        <v>0</v>
      </c>
      <c r="F905" s="57"/>
      <c r="G905" s="42">
        <f t="shared" si="34"/>
        <v>0</v>
      </c>
    </row>
    <row r="906" spans="1:7" ht="12.75" hidden="1" customHeight="1">
      <c r="A906" s="39" t="s">
        <v>189</v>
      </c>
      <c r="B906" s="43"/>
      <c r="C906" s="42">
        <f t="shared" si="33"/>
        <v>0</v>
      </c>
      <c r="D906" s="42">
        <f t="shared" si="33"/>
        <v>0</v>
      </c>
      <c r="E906" s="42">
        <f t="shared" si="33"/>
        <v>0</v>
      </c>
      <c r="F906" s="57"/>
      <c r="G906" s="42">
        <f t="shared" si="34"/>
        <v>0</v>
      </c>
    </row>
    <row r="907" spans="1:7" ht="12.75" hidden="1" customHeight="1">
      <c r="A907" s="143" t="s">
        <v>190</v>
      </c>
      <c r="B907" s="144">
        <v>8</v>
      </c>
      <c r="C907" s="53">
        <f t="shared" si="33"/>
        <v>13735.104978165939</v>
      </c>
      <c r="D907" s="53">
        <f t="shared" si="33"/>
        <v>16445.589170305677</v>
      </c>
      <c r="E907" s="53">
        <f t="shared" si="33"/>
        <v>6068.4241048034937</v>
      </c>
      <c r="F907" s="147">
        <f>8/25*F930</f>
        <v>4465.3440000000001</v>
      </c>
      <c r="G907" s="42">
        <f t="shared" si="34"/>
        <v>40714.462253275109</v>
      </c>
    </row>
    <row r="908" spans="1:7" ht="12.75" hidden="1" customHeight="1">
      <c r="A908" s="58" t="s">
        <v>190</v>
      </c>
      <c r="B908" s="59">
        <v>10.5</v>
      </c>
      <c r="C908" s="60">
        <f t="shared" si="33"/>
        <v>18027.325283842794</v>
      </c>
      <c r="D908" s="60">
        <f t="shared" si="33"/>
        <v>21584.8357860262</v>
      </c>
      <c r="E908" s="60">
        <f t="shared" si="33"/>
        <v>7964.806637554585</v>
      </c>
      <c r="F908" s="61">
        <f>B908/25*F930</f>
        <v>5860.7640000000001</v>
      </c>
      <c r="G908" s="42">
        <f t="shared" si="34"/>
        <v>53437.731707423576</v>
      </c>
    </row>
    <row r="909" spans="1:7" ht="12.75" hidden="1" customHeight="1">
      <c r="A909" s="39" t="s">
        <v>191</v>
      </c>
      <c r="B909" s="45">
        <v>11.5</v>
      </c>
      <c r="C909" s="53">
        <f t="shared" si="33"/>
        <v>19744.213406113537</v>
      </c>
      <c r="D909" s="53">
        <f t="shared" si="33"/>
        <v>23640.534432314413</v>
      </c>
      <c r="E909" s="53">
        <f t="shared" si="33"/>
        <v>8723.3596506550221</v>
      </c>
      <c r="F909" s="57"/>
      <c r="G909" s="42">
        <f t="shared" si="34"/>
        <v>52108.107489082977</v>
      </c>
    </row>
    <row r="910" spans="1:7" ht="12.75" hidden="1" customHeight="1">
      <c r="A910" s="39" t="s">
        <v>17</v>
      </c>
      <c r="B910" s="41"/>
      <c r="C910" s="42"/>
      <c r="D910" s="42"/>
      <c r="E910" s="42"/>
      <c r="F910" s="45"/>
      <c r="G910" s="42"/>
    </row>
    <row r="911" spans="1:7" ht="12.75" hidden="1" customHeight="1">
      <c r="A911" s="39" t="s">
        <v>18</v>
      </c>
      <c r="B911" s="43"/>
      <c r="C911" s="42"/>
      <c r="D911" s="42"/>
      <c r="E911" s="42"/>
      <c r="F911" s="45"/>
      <c r="G911" s="42"/>
    </row>
    <row r="912" spans="1:7" ht="12.75" hidden="1" customHeight="1">
      <c r="A912" s="39" t="s">
        <v>192</v>
      </c>
      <c r="B912" s="43"/>
      <c r="C912" s="42"/>
      <c r="D912" s="42"/>
      <c r="E912" s="42"/>
      <c r="F912" s="45"/>
      <c r="G912" s="42"/>
    </row>
    <row r="913" spans="1:7" ht="12.75" hidden="1" customHeight="1">
      <c r="A913" s="39" t="s">
        <v>19</v>
      </c>
      <c r="B913" s="43"/>
      <c r="C913" s="42"/>
      <c r="D913" s="42"/>
      <c r="E913" s="42"/>
      <c r="F913" s="45"/>
      <c r="G913" s="42"/>
    </row>
    <row r="914" spans="1:7" ht="12.75" hidden="1" customHeight="1">
      <c r="A914" s="39" t="s">
        <v>193</v>
      </c>
      <c r="B914" s="43"/>
      <c r="C914" s="42"/>
      <c r="D914" s="42"/>
      <c r="E914" s="42"/>
      <c r="F914" s="45"/>
      <c r="G914" s="42"/>
    </row>
    <row r="915" spans="1:7" ht="12.75" hidden="1" customHeight="1">
      <c r="A915" s="39" t="s">
        <v>194</v>
      </c>
      <c r="B915" s="43"/>
      <c r="C915" s="42"/>
      <c r="D915" s="42"/>
      <c r="E915" s="42"/>
      <c r="F915" s="45"/>
      <c r="G915" s="42"/>
    </row>
    <row r="916" spans="1:7" ht="12.75" hidden="1" customHeight="1">
      <c r="A916" s="39" t="s">
        <v>195</v>
      </c>
      <c r="B916" s="43"/>
      <c r="C916" s="42"/>
      <c r="D916" s="42"/>
      <c r="E916" s="42"/>
      <c r="F916" s="45"/>
      <c r="G916" s="42"/>
    </row>
    <row r="917" spans="1:7" ht="12.75" hidden="1" customHeight="1">
      <c r="A917" s="39" t="s">
        <v>196</v>
      </c>
      <c r="B917" s="43"/>
      <c r="C917" s="42"/>
      <c r="D917" s="42"/>
      <c r="E917" s="42"/>
      <c r="F917" s="45"/>
      <c r="G917" s="42"/>
    </row>
    <row r="918" spans="1:7" ht="12.75" hidden="1" customHeight="1">
      <c r="A918" s="39" t="s">
        <v>197</v>
      </c>
      <c r="B918" s="43"/>
      <c r="C918" s="42"/>
      <c r="D918" s="42"/>
      <c r="E918" s="42"/>
      <c r="F918" s="45"/>
      <c r="G918" s="42"/>
    </row>
    <row r="919" spans="1:7" ht="12.75" hidden="1" customHeight="1">
      <c r="A919" s="39" t="s">
        <v>198</v>
      </c>
      <c r="B919" s="43"/>
      <c r="C919" s="42"/>
      <c r="D919" s="42"/>
      <c r="E919" s="42"/>
      <c r="F919" s="45"/>
      <c r="G919" s="42"/>
    </row>
    <row r="920" spans="1:7" ht="12.75" hidden="1" customHeight="1">
      <c r="A920" s="39" t="s">
        <v>199</v>
      </c>
      <c r="B920" s="43"/>
      <c r="C920" s="42"/>
      <c r="D920" s="42"/>
      <c r="E920" s="42"/>
      <c r="F920" s="45"/>
      <c r="G920" s="42"/>
    </row>
    <row r="921" spans="1:7" ht="12.75" hidden="1" customHeight="1">
      <c r="A921" s="39" t="s">
        <v>200</v>
      </c>
      <c r="B921" s="43"/>
      <c r="C921" s="42"/>
      <c r="D921" s="42"/>
      <c r="E921" s="42"/>
      <c r="F921" s="45"/>
      <c r="G921" s="42"/>
    </row>
    <row r="922" spans="1:7" ht="12.75" hidden="1" customHeight="1">
      <c r="A922" s="39" t="s">
        <v>201</v>
      </c>
      <c r="B922" s="43"/>
      <c r="C922" s="42"/>
      <c r="D922" s="42"/>
      <c r="E922" s="42"/>
      <c r="F922" s="45"/>
      <c r="G922" s="42"/>
    </row>
    <row r="923" spans="1:7" ht="12.75" hidden="1" customHeight="1">
      <c r="A923" s="122" t="s">
        <v>202</v>
      </c>
      <c r="B923" s="43"/>
      <c r="C923" s="42"/>
      <c r="D923" s="42"/>
      <c r="E923" s="42"/>
      <c r="F923" s="42"/>
      <c r="G923" s="42"/>
    </row>
    <row r="924" spans="1:7" ht="12.75" hidden="1" customHeight="1">
      <c r="A924" s="46" t="s">
        <v>203</v>
      </c>
      <c r="B924" s="43"/>
      <c r="C924" s="42"/>
      <c r="D924" s="42"/>
      <c r="E924" s="42"/>
      <c r="F924" s="45"/>
      <c r="G924" s="42"/>
    </row>
    <row r="925" spans="1:7" ht="12.75" hidden="1" customHeight="1">
      <c r="A925" s="46" t="s">
        <v>204</v>
      </c>
      <c r="B925" s="43"/>
      <c r="C925" s="42"/>
      <c r="D925" s="42"/>
      <c r="E925" s="42"/>
      <c r="F925" s="45"/>
      <c r="G925" s="42"/>
    </row>
    <row r="926" spans="1:7" ht="12.75" hidden="1" customHeight="1">
      <c r="A926" s="46" t="s">
        <v>205</v>
      </c>
      <c r="B926" s="43"/>
      <c r="C926" s="42"/>
      <c r="D926" s="42"/>
      <c r="E926" s="42"/>
      <c r="F926" s="45"/>
      <c r="G926" s="42"/>
    </row>
    <row r="927" spans="1:7" ht="12.75" hidden="1" customHeight="1">
      <c r="A927" s="39" t="s">
        <v>206</v>
      </c>
      <c r="B927" s="43"/>
      <c r="C927" s="42"/>
      <c r="D927" s="42"/>
      <c r="E927" s="42"/>
      <c r="F927" s="45"/>
      <c r="G927" s="42"/>
    </row>
    <row r="928" spans="1:7" ht="12.75" hidden="1" customHeight="1">
      <c r="A928" s="49" t="s">
        <v>207</v>
      </c>
      <c r="B928" s="48"/>
      <c r="C928" s="42"/>
      <c r="D928" s="42"/>
      <c r="E928" s="42"/>
      <c r="F928" s="62"/>
      <c r="G928" s="42"/>
    </row>
    <row r="929" spans="1:7" ht="12.75" hidden="1" customHeight="1">
      <c r="A929" s="39" t="s">
        <v>208</v>
      </c>
      <c r="B929" s="48"/>
      <c r="C929" s="42"/>
      <c r="D929" s="42"/>
      <c r="E929" s="42"/>
      <c r="F929" s="57"/>
      <c r="G929" s="42"/>
    </row>
    <row r="930" spans="1:7" ht="12.75" hidden="1" customHeight="1">
      <c r="A930" s="48" t="s">
        <v>209</v>
      </c>
      <c r="B930" s="43">
        <f>SUM(B855:B929)</f>
        <v>229</v>
      </c>
      <c r="C930" s="42">
        <f>393167.38</f>
        <v>393167.38</v>
      </c>
      <c r="D930" s="42">
        <f>25548.8+40169.8+17238.3+65053.95+336698.34-13954.2</f>
        <v>470754.99000000005</v>
      </c>
      <c r="E930" s="42">
        <f>173708.64</f>
        <v>173708.64</v>
      </c>
      <c r="F930" s="39">
        <v>13954.2</v>
      </c>
      <c r="G930" s="42">
        <f>SUM(C930:F930)</f>
        <v>1051585.2100000002</v>
      </c>
    </row>
    <row r="931" spans="1:7" ht="12.75" hidden="1" customHeight="1">
      <c r="A931" s="63"/>
      <c r="B931" s="52"/>
      <c r="C931" s="51"/>
      <c r="D931" s="51"/>
      <c r="E931" s="64"/>
      <c r="F931" s="65"/>
      <c r="G931" s="40"/>
    </row>
    <row r="932" spans="1:7" ht="12.75" hidden="1" customHeight="1">
      <c r="A932" s="63"/>
      <c r="B932" s="52"/>
      <c r="C932" s="51"/>
      <c r="D932" s="51"/>
      <c r="E932" s="51"/>
      <c r="F932" s="65"/>
      <c r="G932" s="40"/>
    </row>
    <row r="933" spans="1:7" ht="12.75" hidden="1" customHeight="1">
      <c r="A933" s="51"/>
      <c r="B933" s="52"/>
      <c r="C933" s="51"/>
      <c r="D933" s="51"/>
      <c r="E933" s="64"/>
      <c r="F933" s="65"/>
      <c r="G933" s="40"/>
    </row>
    <row r="934" spans="1:7" ht="12.75" hidden="1" customHeight="1">
      <c r="A934" s="269" t="s">
        <v>419</v>
      </c>
      <c r="B934" s="269"/>
      <c r="C934" s="269"/>
      <c r="D934" s="269"/>
      <c r="E934" s="269"/>
      <c r="F934" s="269"/>
      <c r="G934" s="40"/>
    </row>
    <row r="935" spans="1:7" ht="12.75" hidden="1" customHeight="1">
      <c r="A935" s="42" t="s">
        <v>86</v>
      </c>
      <c r="B935" s="43" t="s">
        <v>211</v>
      </c>
      <c r="C935" s="43" t="s">
        <v>212</v>
      </c>
      <c r="D935" s="43" t="s">
        <v>88</v>
      </c>
      <c r="E935" s="43" t="s">
        <v>89</v>
      </c>
      <c r="F935" s="43" t="s">
        <v>90</v>
      </c>
      <c r="G935" s="45" t="s">
        <v>213</v>
      </c>
    </row>
    <row r="936" spans="1:7" ht="12.75" hidden="1" customHeight="1">
      <c r="A936" s="42" t="s">
        <v>20</v>
      </c>
      <c r="B936" s="43"/>
      <c r="C936" s="43"/>
      <c r="D936" s="44"/>
      <c r="E936" s="44"/>
      <c r="F936" s="44"/>
      <c r="G936" s="39"/>
    </row>
    <row r="937" spans="1:7" ht="12.75" hidden="1" customHeight="1">
      <c r="A937" s="42" t="s">
        <v>214</v>
      </c>
      <c r="B937" s="43"/>
      <c r="C937" s="43"/>
      <c r="D937" s="44"/>
      <c r="E937" s="44"/>
      <c r="F937" s="44"/>
      <c r="G937" s="44"/>
    </row>
    <row r="938" spans="1:7" ht="12.75" hidden="1" customHeight="1">
      <c r="A938" s="42" t="s">
        <v>215</v>
      </c>
      <c r="B938" s="43"/>
      <c r="C938" s="43"/>
      <c r="D938" s="44"/>
      <c r="E938" s="44"/>
      <c r="F938" s="44"/>
      <c r="G938" s="44"/>
    </row>
    <row r="939" spans="1:7" ht="12.75" hidden="1" customHeight="1">
      <c r="A939" s="42" t="s">
        <v>216</v>
      </c>
      <c r="B939" s="43"/>
      <c r="C939" s="43"/>
      <c r="D939" s="44"/>
      <c r="E939" s="44"/>
      <c r="F939" s="44"/>
      <c r="G939" s="44"/>
    </row>
    <row r="940" spans="1:7" ht="12.75" hidden="1" customHeight="1">
      <c r="A940" s="42" t="s">
        <v>217</v>
      </c>
      <c r="B940" s="43"/>
      <c r="C940" s="43"/>
      <c r="D940" s="44"/>
      <c r="E940" s="44"/>
      <c r="F940" s="44"/>
      <c r="G940" s="44"/>
    </row>
    <row r="941" spans="1:7" ht="12.75" hidden="1" customHeight="1">
      <c r="A941" s="42" t="s">
        <v>218</v>
      </c>
      <c r="B941" s="45"/>
      <c r="C941" s="45"/>
      <c r="D941" s="44"/>
      <c r="E941" s="44"/>
      <c r="F941" s="44"/>
      <c r="G941" s="44"/>
    </row>
    <row r="942" spans="1:7" ht="12.75" hidden="1" customHeight="1">
      <c r="A942" s="42" t="s">
        <v>219</v>
      </c>
      <c r="B942" s="45"/>
      <c r="C942" s="45"/>
      <c r="D942" s="44"/>
      <c r="E942" s="44"/>
      <c r="F942" s="44"/>
      <c r="G942" s="44"/>
    </row>
    <row r="943" spans="1:7" ht="12.75" hidden="1" customHeight="1">
      <c r="A943" s="42" t="s">
        <v>21</v>
      </c>
      <c r="B943" s="43"/>
      <c r="C943" s="43"/>
      <c r="D943" s="44"/>
      <c r="E943" s="44"/>
      <c r="F943" s="44"/>
      <c r="G943" s="44"/>
    </row>
    <row r="944" spans="1:7" ht="12.75" hidden="1" customHeight="1">
      <c r="A944" s="42" t="s">
        <v>220</v>
      </c>
      <c r="B944" s="43"/>
      <c r="C944" s="43"/>
      <c r="D944" s="44"/>
      <c r="E944" s="44"/>
      <c r="F944" s="44"/>
      <c r="G944" s="44"/>
    </row>
    <row r="945" spans="1:7" ht="12.75" hidden="1" customHeight="1">
      <c r="A945" s="42" t="s">
        <v>221</v>
      </c>
      <c r="B945" s="43"/>
      <c r="C945" s="43"/>
      <c r="D945" s="44"/>
      <c r="E945" s="44"/>
      <c r="F945" s="44"/>
      <c r="G945" s="44"/>
    </row>
    <row r="946" spans="1:7" ht="12.75" hidden="1" customHeight="1">
      <c r="A946" s="42" t="s">
        <v>22</v>
      </c>
      <c r="B946" s="43"/>
      <c r="C946" s="43"/>
      <c r="D946" s="44"/>
      <c r="E946" s="44"/>
      <c r="F946" s="44"/>
      <c r="G946" s="44"/>
    </row>
    <row r="947" spans="1:7" ht="12.75" hidden="1" customHeight="1">
      <c r="A947" s="42" t="s">
        <v>23</v>
      </c>
      <c r="B947" s="43"/>
      <c r="C947" s="43"/>
      <c r="D947" s="44"/>
      <c r="E947" s="44"/>
      <c r="F947" s="44"/>
      <c r="G947" s="44"/>
    </row>
    <row r="948" spans="1:7" ht="12.75" hidden="1" customHeight="1">
      <c r="A948" s="42" t="s">
        <v>24</v>
      </c>
      <c r="B948" s="43"/>
      <c r="C948" s="43"/>
      <c r="D948" s="44"/>
      <c r="E948" s="44"/>
      <c r="F948" s="44"/>
      <c r="G948" s="44"/>
    </row>
    <row r="949" spans="1:7" ht="12.75" hidden="1" customHeight="1">
      <c r="A949" s="42" t="s">
        <v>222</v>
      </c>
      <c r="B949" s="43"/>
      <c r="C949" s="43"/>
      <c r="D949" s="44"/>
      <c r="E949" s="44"/>
      <c r="F949" s="44"/>
      <c r="G949" s="44"/>
    </row>
    <row r="950" spans="1:7" ht="12.75" hidden="1" customHeight="1">
      <c r="A950" s="42" t="s">
        <v>223</v>
      </c>
      <c r="B950" s="43"/>
      <c r="C950" s="43"/>
      <c r="D950" s="44"/>
      <c r="E950" s="44"/>
      <c r="F950" s="44"/>
      <c r="G950" s="44"/>
    </row>
    <row r="951" spans="1:7" ht="12.75" hidden="1" customHeight="1">
      <c r="A951" s="42" t="s">
        <v>224</v>
      </c>
      <c r="B951" s="43"/>
      <c r="C951" s="43"/>
      <c r="D951" s="44"/>
      <c r="E951" s="44"/>
      <c r="F951" s="44"/>
      <c r="G951" s="44"/>
    </row>
    <row r="952" spans="1:7" ht="12.75" hidden="1" customHeight="1">
      <c r="A952" s="42" t="s">
        <v>225</v>
      </c>
      <c r="B952" s="43"/>
      <c r="C952" s="43"/>
      <c r="D952" s="44"/>
      <c r="E952" s="44"/>
      <c r="F952" s="44"/>
      <c r="G952" s="44"/>
    </row>
    <row r="953" spans="1:7" ht="12.75" hidden="1" customHeight="1">
      <c r="A953" s="42" t="s">
        <v>226</v>
      </c>
      <c r="B953" s="43"/>
      <c r="C953" s="43"/>
      <c r="D953" s="44"/>
      <c r="E953" s="44"/>
      <c r="F953" s="44"/>
      <c r="G953" s="44"/>
    </row>
    <row r="954" spans="1:7" ht="12.75" hidden="1" customHeight="1">
      <c r="A954" s="42" t="s">
        <v>227</v>
      </c>
      <c r="B954" s="43"/>
      <c r="C954" s="43"/>
      <c r="D954" s="44"/>
      <c r="E954" s="44"/>
      <c r="F954" s="44"/>
      <c r="G954" s="44"/>
    </row>
    <row r="955" spans="1:7" ht="12.75" hidden="1" customHeight="1">
      <c r="A955" s="46" t="s">
        <v>228</v>
      </c>
      <c r="B955" s="43"/>
      <c r="C955" s="43"/>
      <c r="D955" s="44"/>
      <c r="E955" s="44"/>
      <c r="F955" s="44"/>
      <c r="G955" s="44"/>
    </row>
    <row r="956" spans="1:7" ht="12.75" hidden="1" customHeight="1">
      <c r="A956" s="42" t="s">
        <v>25</v>
      </c>
      <c r="B956" s="43"/>
      <c r="C956" s="43"/>
      <c r="D956" s="44"/>
      <c r="E956" s="44"/>
      <c r="F956" s="44"/>
      <c r="G956" s="44"/>
    </row>
    <row r="957" spans="1:7" ht="12.75" hidden="1" customHeight="1">
      <c r="A957" s="46" t="s">
        <v>463</v>
      </c>
      <c r="B957" s="43">
        <v>158</v>
      </c>
      <c r="C957" s="43">
        <v>384</v>
      </c>
      <c r="D957" s="44">
        <f>C957/C$977*D$977</f>
        <v>50921.696410256409</v>
      </c>
      <c r="E957" s="44">
        <f>B957/B$977*E$977</f>
        <v>61872.939119496856</v>
      </c>
      <c r="F957" s="44">
        <f>C957/C$977*F$977</f>
        <v>47340.972307692304</v>
      </c>
      <c r="G957" s="44">
        <f>SUM(D957:F957)</f>
        <v>160135.60783744557</v>
      </c>
    </row>
    <row r="958" spans="1:7" ht="12.75" hidden="1" customHeight="1">
      <c r="A958" s="142" t="s">
        <v>464</v>
      </c>
      <c r="B958" s="59">
        <v>52</v>
      </c>
      <c r="C958" s="59">
        <v>128</v>
      </c>
      <c r="D958" s="44">
        <f t="shared" ref="D958:D969" si="35">C958/C$977*D$977</f>
        <v>16973.898803418804</v>
      </c>
      <c r="E958" s="44">
        <f t="shared" ref="E958:E969" si="36">B958/B$977*E$977</f>
        <v>20363.245786163523</v>
      </c>
      <c r="F958" s="44">
        <f t="shared" ref="F958:F969" si="37">C958/C$977*F$977</f>
        <v>15780.324102564104</v>
      </c>
      <c r="G958" s="44">
        <f t="shared" ref="G958:G969" si="38">SUM(D958:F958)</f>
        <v>53117.468692146431</v>
      </c>
    </row>
    <row r="959" spans="1:7" ht="12.75" hidden="1" customHeight="1">
      <c r="A959" s="60" t="s">
        <v>461</v>
      </c>
      <c r="B959" s="59">
        <v>36</v>
      </c>
      <c r="C959" s="59">
        <v>0</v>
      </c>
      <c r="D959" s="44">
        <f t="shared" si="35"/>
        <v>0</v>
      </c>
      <c r="E959" s="44">
        <f t="shared" si="36"/>
        <v>14097.631698113208</v>
      </c>
      <c r="F959" s="44">
        <f t="shared" si="37"/>
        <v>0</v>
      </c>
      <c r="G959" s="44">
        <f t="shared" si="38"/>
        <v>14097.631698113208</v>
      </c>
    </row>
    <row r="960" spans="1:7" ht="12.75" hidden="1" customHeight="1">
      <c r="A960" s="42" t="s">
        <v>462</v>
      </c>
      <c r="B960" s="43">
        <v>342</v>
      </c>
      <c r="C960" s="43">
        <v>1232</v>
      </c>
      <c r="D960" s="44">
        <f t="shared" si="35"/>
        <v>163373.77598290597</v>
      </c>
      <c r="E960" s="44">
        <f t="shared" si="36"/>
        <v>133927.50113207547</v>
      </c>
      <c r="F960" s="44">
        <f t="shared" si="37"/>
        <v>151885.61948717947</v>
      </c>
      <c r="G960" s="44">
        <f t="shared" si="38"/>
        <v>449186.89660216088</v>
      </c>
    </row>
    <row r="961" spans="1:7" ht="12.75" hidden="1" customHeight="1">
      <c r="A961" s="42" t="s">
        <v>231</v>
      </c>
      <c r="B961" s="43"/>
      <c r="C961" s="43"/>
      <c r="D961" s="44">
        <f t="shared" si="35"/>
        <v>0</v>
      </c>
      <c r="E961" s="44">
        <f t="shared" si="36"/>
        <v>0</v>
      </c>
      <c r="F961" s="44">
        <f t="shared" si="37"/>
        <v>0</v>
      </c>
      <c r="G961" s="44">
        <f t="shared" si="38"/>
        <v>0</v>
      </c>
    </row>
    <row r="962" spans="1:7" ht="12.75" hidden="1" customHeight="1">
      <c r="A962" s="42" t="s">
        <v>232</v>
      </c>
      <c r="B962" s="43"/>
      <c r="C962" s="43"/>
      <c r="D962" s="44">
        <f t="shared" si="35"/>
        <v>0</v>
      </c>
      <c r="E962" s="44">
        <f t="shared" si="36"/>
        <v>0</v>
      </c>
      <c r="F962" s="44">
        <f t="shared" si="37"/>
        <v>0</v>
      </c>
      <c r="G962" s="44">
        <f t="shared" si="38"/>
        <v>0</v>
      </c>
    </row>
    <row r="963" spans="1:7" ht="12.75" hidden="1" customHeight="1">
      <c r="A963" s="42" t="s">
        <v>26</v>
      </c>
      <c r="B963" s="43"/>
      <c r="C963" s="43"/>
      <c r="D963" s="44">
        <f t="shared" si="35"/>
        <v>0</v>
      </c>
      <c r="E963" s="44">
        <f t="shared" si="36"/>
        <v>0</v>
      </c>
      <c r="F963" s="44">
        <f t="shared" si="37"/>
        <v>0</v>
      </c>
      <c r="G963" s="44">
        <f t="shared" si="38"/>
        <v>0</v>
      </c>
    </row>
    <row r="964" spans="1:7" ht="12.75" hidden="1" customHeight="1">
      <c r="A964" s="42" t="s">
        <v>27</v>
      </c>
      <c r="B964" s="43"/>
      <c r="C964" s="43"/>
      <c r="D964" s="44">
        <f t="shared" si="35"/>
        <v>0</v>
      </c>
      <c r="E964" s="44">
        <f t="shared" si="36"/>
        <v>0</v>
      </c>
      <c r="F964" s="44">
        <f t="shared" si="37"/>
        <v>0</v>
      </c>
      <c r="G964" s="44">
        <f t="shared" si="38"/>
        <v>0</v>
      </c>
    </row>
    <row r="965" spans="1:7" ht="12.75" hidden="1" customHeight="1">
      <c r="A965" s="42" t="s">
        <v>28</v>
      </c>
      <c r="B965" s="43"/>
      <c r="C965" s="43"/>
      <c r="D965" s="44">
        <f t="shared" si="35"/>
        <v>0</v>
      </c>
      <c r="E965" s="44">
        <f t="shared" si="36"/>
        <v>0</v>
      </c>
      <c r="F965" s="44">
        <f t="shared" si="37"/>
        <v>0</v>
      </c>
      <c r="G965" s="44">
        <f t="shared" si="38"/>
        <v>0</v>
      </c>
    </row>
    <row r="966" spans="1:7" ht="12.75" hidden="1" customHeight="1">
      <c r="A966" s="46" t="s">
        <v>233</v>
      </c>
      <c r="B966" s="43"/>
      <c r="C966" s="43"/>
      <c r="D966" s="44">
        <f t="shared" si="35"/>
        <v>0</v>
      </c>
      <c r="E966" s="44">
        <f t="shared" si="36"/>
        <v>0</v>
      </c>
      <c r="F966" s="44">
        <f t="shared" si="37"/>
        <v>0</v>
      </c>
      <c r="G966" s="44">
        <f t="shared" si="38"/>
        <v>0</v>
      </c>
    </row>
    <row r="967" spans="1:7" ht="12.75" hidden="1" customHeight="1">
      <c r="A967" s="46" t="s">
        <v>234</v>
      </c>
      <c r="B967" s="43"/>
      <c r="C967" s="43"/>
      <c r="D967" s="44">
        <f t="shared" si="35"/>
        <v>0</v>
      </c>
      <c r="E967" s="44">
        <f t="shared" si="36"/>
        <v>0</v>
      </c>
      <c r="F967" s="44">
        <f t="shared" si="37"/>
        <v>0</v>
      </c>
      <c r="G967" s="44">
        <f t="shared" si="38"/>
        <v>0</v>
      </c>
    </row>
    <row r="968" spans="1:7" ht="12.75" hidden="1" customHeight="1">
      <c r="A968" s="46" t="s">
        <v>235</v>
      </c>
      <c r="B968" s="43">
        <v>24</v>
      </c>
      <c r="C968" s="43">
        <v>64</v>
      </c>
      <c r="D968" s="44">
        <f t="shared" si="35"/>
        <v>8486.9494017094021</v>
      </c>
      <c r="E968" s="44">
        <f t="shared" si="36"/>
        <v>9398.4211320754712</v>
      </c>
      <c r="F968" s="44">
        <f t="shared" si="37"/>
        <v>7890.1620512820518</v>
      </c>
      <c r="G968" s="44">
        <f t="shared" si="38"/>
        <v>25775.532585066925</v>
      </c>
    </row>
    <row r="969" spans="1:7" ht="12.75" hidden="1" customHeight="1">
      <c r="A969" s="46" t="s">
        <v>236</v>
      </c>
      <c r="B969" s="43">
        <v>24</v>
      </c>
      <c r="C969" s="43">
        <v>64</v>
      </c>
      <c r="D969" s="44">
        <f t="shared" si="35"/>
        <v>8486.9494017094021</v>
      </c>
      <c r="E969" s="44">
        <f t="shared" si="36"/>
        <v>9398.4211320754712</v>
      </c>
      <c r="F969" s="44">
        <f t="shared" si="37"/>
        <v>7890.1620512820518</v>
      </c>
      <c r="G969" s="44">
        <f t="shared" si="38"/>
        <v>25775.532585066925</v>
      </c>
    </row>
    <row r="970" spans="1:7" ht="12.75" hidden="1" customHeight="1">
      <c r="A970" s="46" t="s">
        <v>411</v>
      </c>
      <c r="B970" s="43"/>
      <c r="C970" s="43"/>
      <c r="D970" s="44"/>
      <c r="E970" s="44"/>
      <c r="F970" s="44"/>
      <c r="G970" s="44"/>
    </row>
    <row r="971" spans="1:7" ht="12.75" hidden="1" customHeight="1">
      <c r="A971" s="49" t="s">
        <v>238</v>
      </c>
      <c r="B971" s="48"/>
      <c r="C971" s="48"/>
      <c r="D971" s="44"/>
      <c r="E971" s="44"/>
      <c r="F971" s="44"/>
      <c r="G971" s="44"/>
    </row>
    <row r="972" spans="1:7" ht="12.75" hidden="1" customHeight="1">
      <c r="A972" s="39" t="s">
        <v>239</v>
      </c>
      <c r="B972" s="43"/>
      <c r="C972" s="45"/>
      <c r="E972" s="44"/>
      <c r="F972" s="44"/>
      <c r="G972" s="44"/>
    </row>
    <row r="973" spans="1:7" ht="12.75" hidden="1" customHeight="1">
      <c r="A973" s="39" t="s">
        <v>240</v>
      </c>
      <c r="B973" s="43"/>
      <c r="C973" s="45"/>
      <c r="D973" s="44"/>
      <c r="E973" s="44"/>
      <c r="F973" s="44"/>
      <c r="G973" s="44"/>
    </row>
    <row r="974" spans="1:7" ht="12.75" hidden="1" customHeight="1">
      <c r="A974" s="39" t="s">
        <v>241</v>
      </c>
      <c r="B974" s="43"/>
      <c r="C974" s="45"/>
      <c r="D974" s="44"/>
      <c r="E974" s="44"/>
      <c r="F974" s="44"/>
      <c r="G974" s="44"/>
    </row>
    <row r="975" spans="1:7" ht="12.75" hidden="1" customHeight="1">
      <c r="A975" s="39" t="s">
        <v>242</v>
      </c>
      <c r="B975" s="43"/>
      <c r="C975" s="45"/>
      <c r="D975" s="44"/>
      <c r="E975" s="44"/>
      <c r="F975" s="44"/>
      <c r="G975" s="44"/>
    </row>
    <row r="976" spans="1:7" ht="12.75" hidden="1" customHeight="1">
      <c r="A976" s="110" t="s">
        <v>386</v>
      </c>
      <c r="B976" s="43"/>
      <c r="C976" s="39"/>
      <c r="D976" s="44"/>
      <c r="E976" s="44"/>
      <c r="F976" s="44"/>
      <c r="G976" s="44"/>
    </row>
    <row r="977" spans="1:7" ht="12.75" hidden="1" customHeight="1">
      <c r="A977" s="42" t="s">
        <v>244</v>
      </c>
      <c r="B977" s="45">
        <f>SUM(B936:B976)</f>
        <v>636</v>
      </c>
      <c r="C977" s="45">
        <f>SUM(C936:C976)</f>
        <v>1872</v>
      </c>
      <c r="D977" s="44">
        <f>248243.27</f>
        <v>248243.27</v>
      </c>
      <c r="E977" s="44">
        <f>9925+108724.8+18594.6+93099.61+18714.15</f>
        <v>249058.16</v>
      </c>
      <c r="F977" s="44">
        <f>230787.24</f>
        <v>230787.24</v>
      </c>
      <c r="G977" s="44">
        <f>SUM(D977:F977)</f>
        <v>728088.66999999993</v>
      </c>
    </row>
    <row r="978" spans="1:7" ht="12.75" hidden="1" customHeight="1">
      <c r="A978" s="268" t="s">
        <v>465</v>
      </c>
      <c r="B978" s="268"/>
      <c r="C978" s="268"/>
      <c r="D978" s="268"/>
      <c r="E978" s="268"/>
      <c r="F978" s="268"/>
      <c r="G978" s="268"/>
    </row>
    <row r="979" spans="1:7" ht="12.75" hidden="1" customHeight="1">
      <c r="A979" s="113"/>
      <c r="B979" s="64"/>
      <c r="C979" s="65"/>
      <c r="D979" s="65"/>
      <c r="E979" s="64"/>
      <c r="F979" s="65"/>
      <c r="G979" s="40"/>
    </row>
    <row r="980" spans="1:7" ht="12.75" hidden="1" customHeight="1">
      <c r="A980" s="65"/>
      <c r="B980" s="64"/>
      <c r="C980" s="65"/>
      <c r="D980" s="65"/>
      <c r="E980" s="64"/>
      <c r="F980" s="65"/>
      <c r="G980" s="40"/>
    </row>
    <row r="981" spans="1:7" ht="12.75" hidden="1" customHeight="1">
      <c r="A981" s="65"/>
      <c r="B981" s="64"/>
      <c r="C981" s="65"/>
      <c r="D981" s="65"/>
      <c r="E981" s="64"/>
      <c r="F981" s="65"/>
      <c r="G981" s="40"/>
    </row>
    <row r="982" spans="1:7" ht="12.75" hidden="1" customHeight="1">
      <c r="A982" s="65"/>
      <c r="B982" s="64"/>
      <c r="C982" s="65"/>
      <c r="D982" s="65"/>
      <c r="E982" s="64"/>
      <c r="F982" s="65"/>
      <c r="G982" s="40"/>
    </row>
    <row r="983" spans="1:7" ht="12.75" hidden="1" customHeight="1">
      <c r="A983" s="269" t="s">
        <v>420</v>
      </c>
      <c r="B983" s="269"/>
      <c r="C983" s="269"/>
      <c r="D983" s="269"/>
      <c r="E983" s="269"/>
      <c r="F983" s="269"/>
      <c r="G983" s="40"/>
    </row>
    <row r="984" spans="1:7" ht="12.75" hidden="1" customHeight="1">
      <c r="A984" s="42" t="s">
        <v>86</v>
      </c>
      <c r="B984" s="43" t="s">
        <v>246</v>
      </c>
      <c r="C984" s="43" t="s">
        <v>88</v>
      </c>
      <c r="D984" s="43" t="s">
        <v>89</v>
      </c>
      <c r="E984" s="43" t="s">
        <v>90</v>
      </c>
      <c r="F984" s="43" t="s">
        <v>91</v>
      </c>
      <c r="G984" s="40"/>
    </row>
    <row r="985" spans="1:7" ht="12.75" hidden="1" customHeight="1">
      <c r="A985" s="67" t="s">
        <v>247</v>
      </c>
      <c r="B985" s="43"/>
      <c r="C985" s="42"/>
      <c r="D985" s="42"/>
      <c r="E985" s="42"/>
      <c r="F985" s="42"/>
      <c r="G985" s="40"/>
    </row>
    <row r="986" spans="1:7" ht="12.75" hidden="1" customHeight="1">
      <c r="A986" s="67" t="s">
        <v>248</v>
      </c>
      <c r="B986" s="43"/>
      <c r="C986" s="42"/>
      <c r="D986" s="42"/>
      <c r="E986" s="42"/>
      <c r="F986" s="42"/>
      <c r="G986" s="40"/>
    </row>
    <row r="987" spans="1:7" ht="12.75" hidden="1" customHeight="1">
      <c r="A987" s="67" t="s">
        <v>249</v>
      </c>
      <c r="B987" s="45"/>
      <c r="C987" s="42"/>
      <c r="D987" s="42"/>
      <c r="E987" s="42"/>
      <c r="F987" s="42"/>
      <c r="G987" s="40"/>
    </row>
    <row r="988" spans="1:7" ht="12.75" hidden="1" customHeight="1">
      <c r="A988" s="67" t="s">
        <v>250</v>
      </c>
      <c r="B988" s="43"/>
      <c r="C988" s="42"/>
      <c r="D988" s="42"/>
      <c r="E988" s="42"/>
      <c r="F988" s="42"/>
      <c r="G988" s="40"/>
    </row>
    <row r="989" spans="1:7" ht="12.75" hidden="1" customHeight="1">
      <c r="A989" s="67" t="s">
        <v>251</v>
      </c>
      <c r="B989" s="43"/>
      <c r="C989" s="42"/>
      <c r="D989" s="42"/>
      <c r="E989" s="42"/>
      <c r="F989" s="42"/>
      <c r="G989" s="40"/>
    </row>
    <row r="990" spans="1:7" ht="12.75" hidden="1" customHeight="1">
      <c r="A990" s="68" t="s">
        <v>252</v>
      </c>
      <c r="B990" s="69"/>
      <c r="C990" s="42"/>
      <c r="D990" s="42"/>
      <c r="E990" s="42"/>
      <c r="F990" s="42"/>
      <c r="G990" s="40"/>
    </row>
    <row r="991" spans="1:7" ht="12.75" hidden="1" customHeight="1">
      <c r="A991" s="68" t="s">
        <v>253</v>
      </c>
      <c r="B991" s="69"/>
      <c r="C991" s="42"/>
      <c r="D991" s="42"/>
      <c r="E991" s="42"/>
      <c r="F991" s="42"/>
      <c r="G991" s="40"/>
    </row>
    <row r="992" spans="1:7" ht="12.75" hidden="1" customHeight="1">
      <c r="A992" s="67" t="s">
        <v>254</v>
      </c>
      <c r="B992" s="70"/>
      <c r="C992" s="42"/>
      <c r="D992" s="42"/>
      <c r="E992" s="42"/>
      <c r="F992" s="42"/>
      <c r="G992" s="40"/>
    </row>
    <row r="993" spans="1:7" ht="12.75" hidden="1" customHeight="1">
      <c r="A993" s="67" t="s">
        <v>255</v>
      </c>
      <c r="B993" s="70"/>
      <c r="C993" s="42"/>
      <c r="D993" s="42"/>
      <c r="E993" s="42"/>
      <c r="F993" s="42"/>
      <c r="G993" s="40"/>
    </row>
    <row r="994" spans="1:7" ht="12.75" hidden="1" customHeight="1">
      <c r="A994" s="67" t="s">
        <v>256</v>
      </c>
      <c r="B994" s="70"/>
      <c r="C994" s="42"/>
      <c r="D994" s="42"/>
      <c r="E994" s="42"/>
      <c r="F994" s="42"/>
      <c r="G994" s="40"/>
    </row>
    <row r="995" spans="1:7" ht="12.75" hidden="1" customHeight="1">
      <c r="A995" s="67" t="s">
        <v>257</v>
      </c>
      <c r="B995" s="70">
        <v>69</v>
      </c>
      <c r="C995" s="53">
        <f>B995/B$1021*C$1021</f>
        <v>53231.163409090914</v>
      </c>
      <c r="D995" s="53">
        <f>C995/C$1021*D$1021</f>
        <v>52710.150681818173</v>
      </c>
      <c r="E995" s="53">
        <f>D995/D$1021*E$1021</f>
        <v>29305.993636363637</v>
      </c>
      <c r="F995" s="42">
        <f>SUM(C995:E995)</f>
        <v>135247.30772727274</v>
      </c>
      <c r="G995" s="40"/>
    </row>
    <row r="996" spans="1:7" ht="12.75" hidden="1" customHeight="1">
      <c r="A996" s="71" t="s">
        <v>258</v>
      </c>
      <c r="B996" s="72"/>
      <c r="C996" s="42">
        <f t="shared" ref="C996:E1020" si="39">B996/B$1021*C$1021</f>
        <v>0</v>
      </c>
      <c r="D996" s="42">
        <f t="shared" si="39"/>
        <v>0</v>
      </c>
      <c r="E996" s="42">
        <f t="shared" si="39"/>
        <v>0</v>
      </c>
      <c r="F996" s="42">
        <f t="shared" ref="F996:F1002" si="40">SUM(C996:E996)</f>
        <v>0</v>
      </c>
      <c r="G996" s="40"/>
    </row>
    <row r="997" spans="1:7" ht="12.75" hidden="1" customHeight="1">
      <c r="A997" s="67" t="s">
        <v>259</v>
      </c>
      <c r="B997" s="43"/>
      <c r="C997" s="42">
        <f t="shared" si="39"/>
        <v>0</v>
      </c>
      <c r="D997" s="42">
        <f t="shared" si="39"/>
        <v>0</v>
      </c>
      <c r="E997" s="42">
        <f t="shared" si="39"/>
        <v>0</v>
      </c>
      <c r="F997" s="42">
        <f t="shared" si="40"/>
        <v>0</v>
      </c>
      <c r="G997" s="40"/>
    </row>
    <row r="998" spans="1:7" ht="12.75" hidden="1" customHeight="1">
      <c r="A998" s="73" t="s">
        <v>260</v>
      </c>
      <c r="B998" s="43"/>
      <c r="C998" s="42">
        <f t="shared" si="39"/>
        <v>0</v>
      </c>
      <c r="D998" s="42">
        <f t="shared" si="39"/>
        <v>0</v>
      </c>
      <c r="E998" s="42">
        <f t="shared" si="39"/>
        <v>0</v>
      </c>
      <c r="F998" s="42">
        <f t="shared" si="40"/>
        <v>0</v>
      </c>
      <c r="G998" s="40"/>
    </row>
    <row r="999" spans="1:7" ht="12.75" hidden="1" customHeight="1">
      <c r="A999" s="73" t="s">
        <v>261</v>
      </c>
      <c r="B999" s="43"/>
      <c r="C999" s="42">
        <f t="shared" si="39"/>
        <v>0</v>
      </c>
      <c r="D999" s="42">
        <f t="shared" si="39"/>
        <v>0</v>
      </c>
      <c r="E999" s="42">
        <f t="shared" si="39"/>
        <v>0</v>
      </c>
      <c r="F999" s="42">
        <f t="shared" si="40"/>
        <v>0</v>
      </c>
      <c r="G999" s="40"/>
    </row>
    <row r="1000" spans="1:7" ht="12.75" hidden="1" customHeight="1">
      <c r="A1000" s="73" t="s">
        <v>262</v>
      </c>
      <c r="B1000" s="43">
        <v>72</v>
      </c>
      <c r="C1000" s="53">
        <f t="shared" si="39"/>
        <v>55545.561818181828</v>
      </c>
      <c r="D1000" s="53">
        <f t="shared" si="39"/>
        <v>55001.896363636362</v>
      </c>
      <c r="E1000" s="53">
        <f t="shared" si="39"/>
        <v>30580.167272727278</v>
      </c>
      <c r="F1000" s="42">
        <f t="shared" si="40"/>
        <v>141127.62545454546</v>
      </c>
      <c r="G1000" s="40"/>
    </row>
    <row r="1001" spans="1:7" ht="12.75" hidden="1" customHeight="1">
      <c r="A1001" s="74" t="s">
        <v>263</v>
      </c>
      <c r="B1001" s="43">
        <v>20</v>
      </c>
      <c r="C1001" s="53">
        <f t="shared" si="39"/>
        <v>15429.322727272727</v>
      </c>
      <c r="D1001" s="53">
        <f t="shared" si="39"/>
        <v>15278.304545454543</v>
      </c>
      <c r="E1001" s="53">
        <f t="shared" si="39"/>
        <v>8494.4909090909096</v>
      </c>
      <c r="F1001" s="42">
        <f t="shared" si="40"/>
        <v>39202.118181818179</v>
      </c>
      <c r="G1001" s="40"/>
    </row>
    <row r="1002" spans="1:7" ht="12.75" hidden="1" customHeight="1">
      <c r="A1002" s="74" t="s">
        <v>264</v>
      </c>
      <c r="B1002" s="43">
        <v>15</v>
      </c>
      <c r="C1002" s="53">
        <f t="shared" si="39"/>
        <v>11571.992045454544</v>
      </c>
      <c r="D1002" s="53">
        <f t="shared" si="39"/>
        <v>11458.728409090907</v>
      </c>
      <c r="E1002" s="53">
        <f t="shared" si="39"/>
        <v>6370.8681818181813</v>
      </c>
      <c r="F1002" s="42">
        <f t="shared" si="40"/>
        <v>29401.588636363631</v>
      </c>
      <c r="G1002" s="40"/>
    </row>
    <row r="1003" spans="1:7" ht="12.75" hidden="1" customHeight="1">
      <c r="A1003" s="74" t="s">
        <v>265</v>
      </c>
      <c r="B1003" s="43"/>
      <c r="C1003" s="42">
        <f t="shared" si="39"/>
        <v>0</v>
      </c>
      <c r="D1003" s="42"/>
      <c r="E1003" s="42"/>
      <c r="F1003" s="42"/>
      <c r="G1003" s="40"/>
    </row>
    <row r="1004" spans="1:7" ht="12.75" hidden="1" customHeight="1">
      <c r="A1004" s="74" t="s">
        <v>266</v>
      </c>
      <c r="B1004" s="43"/>
      <c r="C1004" s="42">
        <f t="shared" si="39"/>
        <v>0</v>
      </c>
      <c r="D1004" s="42"/>
      <c r="E1004" s="42"/>
      <c r="F1004" s="42"/>
      <c r="G1004" s="40"/>
    </row>
    <row r="1005" spans="1:7" ht="12.75" hidden="1" customHeight="1">
      <c r="A1005" s="74" t="s">
        <v>267</v>
      </c>
      <c r="B1005" s="43"/>
      <c r="C1005" s="42">
        <f t="shared" si="39"/>
        <v>0</v>
      </c>
      <c r="D1005" s="42"/>
      <c r="E1005" s="42"/>
      <c r="F1005" s="42"/>
      <c r="G1005" s="40"/>
    </row>
    <row r="1006" spans="1:7" ht="12.75" hidden="1" customHeight="1">
      <c r="A1006" s="74" t="s">
        <v>268</v>
      </c>
      <c r="B1006" s="43"/>
      <c r="C1006" s="42">
        <f t="shared" si="39"/>
        <v>0</v>
      </c>
      <c r="D1006" s="42"/>
      <c r="E1006" s="42"/>
      <c r="F1006" s="42"/>
      <c r="G1006" s="40"/>
    </row>
    <row r="1007" spans="1:7" ht="12.75" hidden="1" customHeight="1">
      <c r="A1007" s="67" t="s">
        <v>269</v>
      </c>
      <c r="B1007" s="43"/>
      <c r="C1007" s="42">
        <f t="shared" si="39"/>
        <v>0</v>
      </c>
      <c r="D1007" s="42"/>
      <c r="E1007" s="42"/>
      <c r="F1007" s="42"/>
      <c r="G1007" s="40"/>
    </row>
    <row r="1008" spans="1:7" ht="12.75" hidden="1" customHeight="1">
      <c r="A1008" s="67" t="s">
        <v>270</v>
      </c>
      <c r="B1008" s="43"/>
      <c r="C1008" s="42">
        <f t="shared" si="39"/>
        <v>0</v>
      </c>
      <c r="D1008" s="42"/>
      <c r="E1008" s="42"/>
      <c r="F1008" s="42"/>
      <c r="G1008" s="40"/>
    </row>
    <row r="1009" spans="1:7" ht="12.75" hidden="1" customHeight="1">
      <c r="A1009" s="67" t="s">
        <v>271</v>
      </c>
      <c r="B1009" s="43"/>
      <c r="C1009" s="42">
        <f t="shared" si="39"/>
        <v>0</v>
      </c>
      <c r="D1009" s="42"/>
      <c r="E1009" s="42"/>
      <c r="F1009" s="42"/>
      <c r="G1009" s="40"/>
    </row>
    <row r="1010" spans="1:7" ht="12.75" hidden="1" customHeight="1">
      <c r="A1010" s="67" t="s">
        <v>272</v>
      </c>
      <c r="B1010" s="43"/>
      <c r="C1010" s="42">
        <f t="shared" si="39"/>
        <v>0</v>
      </c>
      <c r="D1010" s="42"/>
      <c r="E1010" s="42"/>
      <c r="F1010" s="42"/>
      <c r="G1010" s="40"/>
    </row>
    <row r="1011" spans="1:7" ht="12.75" hidden="1" customHeight="1">
      <c r="A1011" s="67" t="s">
        <v>273</v>
      </c>
      <c r="B1011" s="43"/>
      <c r="C1011" s="42">
        <f t="shared" si="39"/>
        <v>0</v>
      </c>
      <c r="D1011" s="42"/>
      <c r="E1011" s="42"/>
      <c r="F1011" s="42"/>
      <c r="G1011" s="40"/>
    </row>
    <row r="1012" spans="1:7" ht="12.75" hidden="1" customHeight="1">
      <c r="A1012" s="67" t="s">
        <v>274</v>
      </c>
      <c r="B1012" s="43"/>
      <c r="C1012" s="42">
        <f t="shared" si="39"/>
        <v>0</v>
      </c>
      <c r="D1012" s="42"/>
      <c r="E1012" s="42"/>
      <c r="F1012" s="42"/>
      <c r="G1012" s="40"/>
    </row>
    <row r="1013" spans="1:7" ht="12.75" hidden="1" customHeight="1">
      <c r="A1013" s="67" t="s">
        <v>275</v>
      </c>
      <c r="B1013" s="43"/>
      <c r="C1013" s="42">
        <f t="shared" si="39"/>
        <v>0</v>
      </c>
      <c r="D1013" s="42"/>
      <c r="E1013" s="42"/>
      <c r="F1013" s="42"/>
      <c r="G1013" s="40"/>
    </row>
    <row r="1014" spans="1:7" ht="12.75" hidden="1" customHeight="1">
      <c r="A1014" s="67" t="s">
        <v>276</v>
      </c>
      <c r="B1014" s="43"/>
      <c r="C1014" s="42">
        <f t="shared" si="39"/>
        <v>0</v>
      </c>
      <c r="D1014" s="42"/>
      <c r="E1014" s="42"/>
      <c r="F1014" s="42"/>
      <c r="G1014" s="40"/>
    </row>
    <row r="1015" spans="1:7" ht="12.75" hidden="1" customHeight="1">
      <c r="A1015" s="67" t="s">
        <v>277</v>
      </c>
      <c r="B1015" s="43"/>
      <c r="C1015" s="42">
        <f t="shared" si="39"/>
        <v>0</v>
      </c>
      <c r="D1015" s="42"/>
      <c r="E1015" s="42"/>
      <c r="F1015" s="42"/>
      <c r="G1015" s="40"/>
    </row>
    <row r="1016" spans="1:7" ht="12.75" hidden="1" customHeight="1">
      <c r="A1016" s="49" t="s">
        <v>278</v>
      </c>
      <c r="B1016" s="43"/>
      <c r="C1016" s="42">
        <f t="shared" si="39"/>
        <v>0</v>
      </c>
      <c r="D1016" s="42"/>
      <c r="E1016" s="42"/>
      <c r="F1016" s="42"/>
      <c r="G1016" s="40"/>
    </row>
    <row r="1017" spans="1:7" ht="12.75" hidden="1" customHeight="1">
      <c r="A1017" s="39" t="s">
        <v>202</v>
      </c>
      <c r="B1017" s="43"/>
      <c r="C1017" s="42">
        <f t="shared" si="39"/>
        <v>0</v>
      </c>
      <c r="D1017" s="42"/>
      <c r="E1017" s="42"/>
      <c r="F1017" s="42"/>
      <c r="G1017" s="40"/>
    </row>
    <row r="1018" spans="1:7" ht="12.75" hidden="1" customHeight="1">
      <c r="A1018" s="39" t="s">
        <v>279</v>
      </c>
      <c r="B1018" s="43"/>
      <c r="C1018" s="42">
        <f t="shared" si="39"/>
        <v>0</v>
      </c>
      <c r="D1018" s="42"/>
      <c r="E1018" s="42"/>
      <c r="F1018" s="42"/>
      <c r="G1018" s="40"/>
    </row>
    <row r="1019" spans="1:7" ht="12.75" hidden="1" customHeight="1">
      <c r="A1019" s="39" t="s">
        <v>280</v>
      </c>
      <c r="B1019" s="43"/>
      <c r="C1019" s="42">
        <f t="shared" si="39"/>
        <v>0</v>
      </c>
      <c r="D1019" s="42"/>
      <c r="E1019" s="42"/>
      <c r="F1019" s="42"/>
      <c r="G1019" s="40"/>
    </row>
    <row r="1020" spans="1:7" ht="12.75" hidden="1" customHeight="1">
      <c r="A1020" s="39"/>
      <c r="B1020" s="43"/>
      <c r="C1020" s="42">
        <f t="shared" si="39"/>
        <v>0</v>
      </c>
      <c r="D1020" s="42"/>
      <c r="E1020" s="42"/>
      <c r="F1020" s="42"/>
      <c r="G1020" s="40"/>
    </row>
    <row r="1021" spans="1:7" ht="12.75" hidden="1" customHeight="1">
      <c r="A1021" s="75" t="s">
        <v>281</v>
      </c>
      <c r="B1021" s="43">
        <f>SUM(B995:B1002)</f>
        <v>176</v>
      </c>
      <c r="C1021" s="42">
        <v>135778.04</v>
      </c>
      <c r="D1021" s="42">
        <f>10867+37305+5291+14258.4+66727.68</f>
        <v>134449.07999999999</v>
      </c>
      <c r="E1021" s="44">
        <v>74751.520000000004</v>
      </c>
      <c r="F1021" s="42">
        <f>SUM(C1021:E1021)</f>
        <v>344978.64</v>
      </c>
      <c r="G1021" s="40"/>
    </row>
    <row r="1022" spans="1:7" ht="12.75" hidden="1" customHeight="1">
      <c r="A1022" s="109"/>
      <c r="B1022" s="41"/>
      <c r="C1022" s="40"/>
      <c r="D1022" s="40"/>
      <c r="E1022" s="41"/>
      <c r="F1022" s="40"/>
      <c r="G1022" s="40"/>
    </row>
    <row r="1023" spans="1:7" ht="12.75" hidden="1" customHeight="1">
      <c r="A1023" s="76"/>
      <c r="B1023" s="41"/>
      <c r="C1023" s="40"/>
      <c r="D1023" s="40"/>
      <c r="E1023" s="41"/>
      <c r="F1023" s="40"/>
      <c r="G1023" s="40"/>
    </row>
    <row r="1024" spans="1:7" ht="12.75" hidden="1" customHeight="1">
      <c r="A1024" s="269" t="s">
        <v>421</v>
      </c>
      <c r="B1024" s="269"/>
      <c r="C1024" s="269"/>
      <c r="D1024" s="269"/>
      <c r="E1024" s="269"/>
      <c r="F1024" s="269"/>
      <c r="G1024" s="40"/>
    </row>
    <row r="1025" spans="1:7" ht="12.75" hidden="1" customHeight="1">
      <c r="A1025" s="42" t="s">
        <v>86</v>
      </c>
      <c r="B1025" s="43" t="s">
        <v>87</v>
      </c>
      <c r="C1025" s="43" t="s">
        <v>88</v>
      </c>
      <c r="D1025" s="43" t="s">
        <v>89</v>
      </c>
      <c r="E1025" s="43" t="s">
        <v>90</v>
      </c>
      <c r="F1025" s="43" t="s">
        <v>91</v>
      </c>
      <c r="G1025" s="40"/>
    </row>
    <row r="1026" spans="1:7" ht="12.75" hidden="1" customHeight="1">
      <c r="A1026" s="39" t="s">
        <v>284</v>
      </c>
      <c r="B1026" s="43"/>
      <c r="C1026" s="44"/>
      <c r="D1026" s="44"/>
      <c r="E1026" s="44"/>
      <c r="F1026" s="44"/>
      <c r="G1026" s="40"/>
    </row>
    <row r="1027" spans="1:7" ht="12.75" hidden="1" customHeight="1">
      <c r="A1027" s="39" t="s">
        <v>285</v>
      </c>
      <c r="B1027" s="43"/>
      <c r="C1027" s="44"/>
      <c r="D1027" s="44"/>
      <c r="E1027" s="44"/>
      <c r="F1027" s="44"/>
      <c r="G1027" s="40"/>
    </row>
    <row r="1028" spans="1:7" ht="12.75" hidden="1" customHeight="1">
      <c r="A1028" s="39" t="s">
        <v>286</v>
      </c>
      <c r="B1028" s="43"/>
      <c r="C1028" s="44"/>
      <c r="D1028" s="44"/>
      <c r="E1028" s="44"/>
      <c r="F1028" s="44"/>
      <c r="G1028" s="40"/>
    </row>
    <row r="1029" spans="1:7" ht="12.75" hidden="1" customHeight="1">
      <c r="A1029" s="39" t="s">
        <v>287</v>
      </c>
      <c r="B1029" s="43"/>
      <c r="C1029" s="44"/>
      <c r="D1029" s="44"/>
      <c r="E1029" s="44"/>
      <c r="F1029" s="44"/>
      <c r="G1029" s="40"/>
    </row>
    <row r="1030" spans="1:7" ht="12.75" hidden="1" customHeight="1">
      <c r="A1030" s="39" t="s">
        <v>288</v>
      </c>
      <c r="B1030" s="43"/>
      <c r="C1030" s="44"/>
      <c r="D1030" s="44"/>
      <c r="E1030" s="44"/>
      <c r="F1030" s="44"/>
      <c r="G1030" s="40"/>
    </row>
    <row r="1031" spans="1:7" ht="12.75" hidden="1" customHeight="1">
      <c r="A1031" s="39" t="s">
        <v>289</v>
      </c>
      <c r="B1031" s="43"/>
      <c r="C1031" s="44"/>
      <c r="D1031" s="44"/>
      <c r="E1031" s="44"/>
      <c r="F1031" s="44"/>
      <c r="G1031" s="40"/>
    </row>
    <row r="1032" spans="1:7" ht="12.75" hidden="1" customHeight="1">
      <c r="A1032" s="39" t="s">
        <v>290</v>
      </c>
      <c r="B1032" s="43"/>
      <c r="C1032" s="44"/>
      <c r="D1032" s="44"/>
      <c r="E1032" s="44"/>
      <c r="F1032" s="44"/>
      <c r="G1032" s="40"/>
    </row>
    <row r="1033" spans="1:7" ht="12.75" hidden="1" customHeight="1">
      <c r="A1033" s="39" t="s">
        <v>291</v>
      </c>
      <c r="B1033" s="43"/>
      <c r="C1033" s="44"/>
      <c r="D1033" s="44"/>
      <c r="E1033" s="44"/>
      <c r="F1033" s="44"/>
      <c r="G1033" s="40"/>
    </row>
    <row r="1034" spans="1:7" ht="12.75" hidden="1" customHeight="1">
      <c r="A1034" s="39" t="s">
        <v>292</v>
      </c>
      <c r="B1034" s="43"/>
      <c r="C1034" s="44"/>
      <c r="D1034" s="44"/>
      <c r="E1034" s="44"/>
      <c r="F1034" s="44"/>
      <c r="G1034" s="40"/>
    </row>
    <row r="1035" spans="1:7" ht="12.75" hidden="1" customHeight="1">
      <c r="A1035" s="39" t="s">
        <v>293</v>
      </c>
      <c r="B1035" s="43"/>
      <c r="C1035" s="44"/>
      <c r="D1035" s="44"/>
      <c r="E1035" s="44"/>
      <c r="F1035" s="44"/>
      <c r="G1035" s="40"/>
    </row>
    <row r="1036" spans="1:7" ht="12.75" hidden="1" customHeight="1">
      <c r="A1036" s="39" t="s">
        <v>30</v>
      </c>
      <c r="B1036" s="45"/>
      <c r="C1036" s="44"/>
      <c r="D1036" s="44"/>
      <c r="E1036" s="44"/>
      <c r="F1036" s="44"/>
      <c r="G1036" s="40"/>
    </row>
    <row r="1037" spans="1:7" ht="12.75" hidden="1" customHeight="1">
      <c r="A1037" s="39" t="s">
        <v>294</v>
      </c>
      <c r="B1037" s="43"/>
      <c r="C1037" s="44"/>
      <c r="D1037" s="44"/>
      <c r="E1037" s="44"/>
      <c r="F1037" s="44"/>
      <c r="G1037" s="40"/>
    </row>
    <row r="1038" spans="1:7" ht="12.75" hidden="1" customHeight="1">
      <c r="A1038" s="39" t="s">
        <v>31</v>
      </c>
      <c r="B1038" s="43"/>
      <c r="C1038" s="44"/>
      <c r="D1038" s="44"/>
      <c r="E1038" s="44"/>
      <c r="F1038" s="44"/>
      <c r="G1038" s="40"/>
    </row>
    <row r="1039" spans="1:7" ht="12.75" hidden="1" customHeight="1">
      <c r="A1039" s="39" t="s">
        <v>295</v>
      </c>
      <c r="B1039" s="43"/>
      <c r="C1039" s="44"/>
      <c r="D1039" s="44"/>
      <c r="E1039" s="44"/>
      <c r="F1039" s="44"/>
      <c r="G1039" s="40"/>
    </row>
    <row r="1040" spans="1:7" ht="12.75" hidden="1" customHeight="1">
      <c r="A1040" s="39" t="s">
        <v>296</v>
      </c>
      <c r="B1040" s="41"/>
      <c r="C1040" s="44"/>
      <c r="D1040" s="44"/>
      <c r="E1040" s="44"/>
      <c r="F1040" s="44"/>
      <c r="G1040" s="40"/>
    </row>
    <row r="1041" spans="1:7" ht="12.75" hidden="1" customHeight="1">
      <c r="A1041" s="39" t="s">
        <v>297</v>
      </c>
      <c r="B1041" s="43"/>
      <c r="C1041" s="44"/>
      <c r="D1041" s="44"/>
      <c r="E1041" s="44"/>
      <c r="F1041" s="44"/>
      <c r="G1041" s="40"/>
    </row>
    <row r="1042" spans="1:7" ht="12.75" hidden="1" customHeight="1">
      <c r="A1042" s="39" t="s">
        <v>298</v>
      </c>
      <c r="B1042" s="43"/>
      <c r="C1042" s="44"/>
      <c r="D1042" s="44"/>
      <c r="E1042" s="44"/>
      <c r="F1042" s="44"/>
      <c r="G1042" s="40"/>
    </row>
    <row r="1043" spans="1:7" ht="12.75" hidden="1" customHeight="1">
      <c r="A1043" s="39" t="s">
        <v>299</v>
      </c>
      <c r="B1043" s="43"/>
      <c r="C1043" s="44"/>
      <c r="D1043" s="44"/>
      <c r="E1043" s="44"/>
      <c r="F1043" s="44"/>
      <c r="G1043" s="40"/>
    </row>
    <row r="1044" spans="1:7" ht="12.75" hidden="1" customHeight="1">
      <c r="A1044" s="39" t="s">
        <v>300</v>
      </c>
      <c r="B1044" s="45"/>
      <c r="C1044" s="44"/>
      <c r="D1044" s="44"/>
      <c r="E1044" s="44"/>
      <c r="F1044" s="44"/>
      <c r="G1044" s="40"/>
    </row>
    <row r="1045" spans="1:7" ht="12.75" hidden="1" customHeight="1">
      <c r="A1045" s="39" t="s">
        <v>301</v>
      </c>
      <c r="B1045" s="43"/>
      <c r="C1045" s="44"/>
      <c r="D1045" s="44"/>
      <c r="E1045" s="44"/>
      <c r="F1045" s="44"/>
      <c r="G1045" s="40"/>
    </row>
    <row r="1046" spans="1:7" ht="12.75" hidden="1" customHeight="1">
      <c r="A1046" s="39" t="s">
        <v>32</v>
      </c>
      <c r="B1046" s="43"/>
      <c r="C1046" s="44"/>
      <c r="D1046" s="44"/>
      <c r="E1046" s="44"/>
      <c r="F1046" s="44"/>
      <c r="G1046" s="40"/>
    </row>
    <row r="1047" spans="1:7" ht="12.75" hidden="1" customHeight="1">
      <c r="A1047" s="39" t="s">
        <v>33</v>
      </c>
      <c r="B1047" s="45"/>
      <c r="C1047" s="44"/>
      <c r="D1047" s="44"/>
      <c r="E1047" s="44"/>
      <c r="F1047" s="44"/>
      <c r="G1047" s="40"/>
    </row>
    <row r="1048" spans="1:7" ht="12.75" hidden="1" customHeight="1">
      <c r="A1048" s="39" t="s">
        <v>302</v>
      </c>
      <c r="B1048" s="45"/>
      <c r="C1048" s="44"/>
      <c r="D1048" s="44"/>
      <c r="E1048" s="44"/>
      <c r="F1048" s="44"/>
      <c r="G1048" s="40"/>
    </row>
    <row r="1049" spans="1:7" ht="12.75" hidden="1" customHeight="1">
      <c r="A1049" s="39" t="s">
        <v>303</v>
      </c>
      <c r="B1049" s="43"/>
      <c r="C1049" s="44"/>
      <c r="D1049" s="44"/>
      <c r="E1049" s="44"/>
      <c r="F1049" s="44"/>
      <c r="G1049" s="40"/>
    </row>
    <row r="1050" spans="1:7" ht="12.75" hidden="1" customHeight="1">
      <c r="A1050" s="39" t="s">
        <v>304</v>
      </c>
      <c r="B1050" s="43"/>
      <c r="C1050" s="44"/>
      <c r="D1050" s="44"/>
      <c r="E1050" s="44"/>
      <c r="F1050" s="44"/>
      <c r="G1050" s="40"/>
    </row>
    <row r="1051" spans="1:7" ht="12.75" hidden="1" customHeight="1">
      <c r="A1051" s="39" t="s">
        <v>34</v>
      </c>
      <c r="B1051" s="43"/>
      <c r="C1051" s="44"/>
      <c r="D1051" s="44"/>
      <c r="E1051" s="44"/>
      <c r="F1051" s="44"/>
      <c r="G1051" s="40"/>
    </row>
    <row r="1052" spans="1:7" ht="12.75" hidden="1" customHeight="1">
      <c r="A1052" s="39" t="s">
        <v>35</v>
      </c>
      <c r="B1052" s="43"/>
      <c r="C1052" s="44"/>
      <c r="D1052" s="44"/>
      <c r="E1052" s="44"/>
      <c r="F1052" s="44"/>
      <c r="G1052" s="40"/>
    </row>
    <row r="1053" spans="1:7" ht="12.75" hidden="1" customHeight="1">
      <c r="A1053" s="39" t="s">
        <v>305</v>
      </c>
      <c r="B1053" s="43"/>
      <c r="C1053" s="44"/>
      <c r="D1053" s="44"/>
      <c r="E1053" s="44"/>
      <c r="F1053" s="44"/>
      <c r="G1053" s="40"/>
    </row>
    <row r="1054" spans="1:7" ht="12.75" hidden="1" customHeight="1">
      <c r="A1054" s="39" t="s">
        <v>306</v>
      </c>
      <c r="B1054" s="45"/>
      <c r="C1054" s="44"/>
      <c r="D1054" s="44"/>
      <c r="E1054" s="44"/>
      <c r="F1054" s="44"/>
      <c r="G1054" s="40"/>
    </row>
    <row r="1055" spans="1:7" ht="12.75" hidden="1" customHeight="1">
      <c r="A1055" s="39" t="s">
        <v>36</v>
      </c>
      <c r="B1055" s="43"/>
      <c r="C1055" s="44"/>
      <c r="D1055" s="44"/>
      <c r="E1055" s="44"/>
      <c r="F1055" s="44"/>
      <c r="G1055" s="40"/>
    </row>
    <row r="1056" spans="1:7" ht="12.75" hidden="1" customHeight="1">
      <c r="A1056" s="39" t="s">
        <v>37</v>
      </c>
      <c r="B1056" s="45"/>
      <c r="C1056" s="44"/>
      <c r="D1056" s="44"/>
      <c r="E1056" s="44"/>
      <c r="F1056" s="44"/>
      <c r="G1056" s="40"/>
    </row>
    <row r="1057" spans="1:7" ht="12.75" hidden="1" customHeight="1">
      <c r="A1057" s="39" t="s">
        <v>38</v>
      </c>
      <c r="B1057" s="43"/>
      <c r="C1057" s="44"/>
      <c r="D1057" s="44"/>
      <c r="E1057" s="44"/>
      <c r="F1057" s="44"/>
      <c r="G1057" s="40"/>
    </row>
    <row r="1058" spans="1:7" ht="12.75" hidden="1" customHeight="1">
      <c r="A1058" s="39" t="s">
        <v>307</v>
      </c>
      <c r="B1058" s="43"/>
      <c r="C1058" s="44"/>
      <c r="D1058" s="44"/>
      <c r="E1058" s="44"/>
      <c r="F1058" s="44"/>
      <c r="G1058" s="40"/>
    </row>
    <row r="1059" spans="1:7" ht="12.75" hidden="1" customHeight="1">
      <c r="A1059" s="39" t="s">
        <v>308</v>
      </c>
      <c r="B1059" s="43"/>
      <c r="C1059" s="44"/>
      <c r="D1059" s="44"/>
      <c r="E1059" s="44"/>
      <c r="F1059" s="44"/>
      <c r="G1059" s="40"/>
    </row>
    <row r="1060" spans="1:7" ht="12.75" hidden="1" customHeight="1">
      <c r="A1060" s="39" t="s">
        <v>39</v>
      </c>
      <c r="B1060" s="45"/>
      <c r="C1060" s="44"/>
      <c r="D1060" s="44"/>
      <c r="E1060" s="44"/>
      <c r="F1060" s="44"/>
      <c r="G1060" s="40"/>
    </row>
    <row r="1061" spans="1:7" ht="12.75" hidden="1" customHeight="1">
      <c r="A1061" s="39" t="s">
        <v>40</v>
      </c>
      <c r="B1061" s="43"/>
      <c r="C1061" s="44"/>
      <c r="D1061" s="44"/>
      <c r="E1061" s="44"/>
      <c r="F1061" s="44"/>
      <c r="G1061" s="40"/>
    </row>
    <row r="1062" spans="1:7" ht="12.75" hidden="1" customHeight="1">
      <c r="A1062" s="39" t="s">
        <v>41</v>
      </c>
      <c r="B1062" s="43"/>
      <c r="C1062" s="44"/>
      <c r="D1062" s="44"/>
      <c r="E1062" s="44"/>
      <c r="F1062" s="44"/>
      <c r="G1062" s="40"/>
    </row>
    <row r="1063" spans="1:7" ht="12.75" hidden="1" customHeight="1">
      <c r="A1063" s="39" t="s">
        <v>309</v>
      </c>
      <c r="B1063" s="45"/>
      <c r="C1063" s="44"/>
      <c r="D1063" s="44"/>
      <c r="E1063" s="44"/>
      <c r="F1063" s="44"/>
      <c r="G1063" s="40"/>
    </row>
    <row r="1064" spans="1:7" ht="12.75" hidden="1" customHeight="1">
      <c r="A1064" s="39" t="s">
        <v>310</v>
      </c>
      <c r="B1064" s="45"/>
      <c r="C1064" s="44"/>
      <c r="D1064" s="44"/>
      <c r="E1064" s="44"/>
      <c r="F1064" s="44"/>
      <c r="G1064" s="40"/>
    </row>
    <row r="1065" spans="1:7" ht="12.75" hidden="1" customHeight="1">
      <c r="A1065" s="39" t="s">
        <v>311</v>
      </c>
      <c r="B1065" s="43"/>
      <c r="C1065" s="44"/>
      <c r="D1065" s="44"/>
      <c r="E1065" s="44"/>
      <c r="F1065" s="44"/>
      <c r="G1065" s="40"/>
    </row>
    <row r="1066" spans="1:7" ht="12.75" hidden="1" customHeight="1">
      <c r="A1066" s="39" t="s">
        <v>312</v>
      </c>
      <c r="B1066" s="43"/>
      <c r="C1066" s="44"/>
      <c r="D1066" s="44"/>
      <c r="E1066" s="44"/>
      <c r="F1066" s="44"/>
      <c r="G1066" s="40"/>
    </row>
    <row r="1067" spans="1:7" ht="12.75" hidden="1" customHeight="1">
      <c r="A1067" s="39" t="s">
        <v>313</v>
      </c>
      <c r="B1067" s="45"/>
      <c r="C1067" s="44"/>
      <c r="D1067" s="44"/>
      <c r="E1067" s="44"/>
      <c r="F1067" s="44"/>
      <c r="G1067" s="40"/>
    </row>
    <row r="1068" spans="1:7" ht="12.75" hidden="1" customHeight="1">
      <c r="A1068" s="39" t="s">
        <v>314</v>
      </c>
      <c r="B1068" s="45"/>
      <c r="C1068" s="44"/>
      <c r="D1068" s="44"/>
      <c r="E1068" s="44"/>
      <c r="F1068" s="44"/>
      <c r="G1068" s="40"/>
    </row>
    <row r="1069" spans="1:7" ht="12.75" hidden="1" customHeight="1">
      <c r="A1069" s="39" t="s">
        <v>315</v>
      </c>
      <c r="B1069" s="43"/>
      <c r="C1069" s="44"/>
      <c r="D1069" s="44"/>
      <c r="E1069" s="44"/>
      <c r="F1069" s="44"/>
      <c r="G1069" s="40"/>
    </row>
    <row r="1070" spans="1:7" ht="12.75" hidden="1" customHeight="1">
      <c r="A1070" s="39" t="s">
        <v>316</v>
      </c>
      <c r="B1070" s="45"/>
      <c r="C1070" s="44"/>
      <c r="D1070" s="44"/>
      <c r="E1070" s="44"/>
      <c r="F1070" s="44"/>
      <c r="G1070" s="40"/>
    </row>
    <row r="1071" spans="1:7" ht="12.75" hidden="1" customHeight="1">
      <c r="A1071" s="39" t="s">
        <v>317</v>
      </c>
      <c r="B1071" s="45"/>
      <c r="C1071" s="44"/>
      <c r="D1071" s="44"/>
      <c r="E1071" s="44"/>
      <c r="F1071" s="44"/>
      <c r="G1071" s="40"/>
    </row>
    <row r="1072" spans="1:7" ht="12.75" hidden="1" customHeight="1">
      <c r="A1072" s="39" t="s">
        <v>318</v>
      </c>
      <c r="B1072" s="45"/>
      <c r="C1072" s="44"/>
      <c r="D1072" s="44"/>
      <c r="E1072" s="44"/>
      <c r="F1072" s="44"/>
      <c r="G1072" s="40"/>
    </row>
    <row r="1073" spans="1:7" ht="12.75" hidden="1" customHeight="1">
      <c r="A1073" s="46" t="s">
        <v>319</v>
      </c>
      <c r="B1073" s="45"/>
      <c r="C1073" s="44"/>
      <c r="D1073" s="44"/>
      <c r="E1073" s="44"/>
      <c r="F1073" s="44"/>
      <c r="G1073" s="40"/>
    </row>
    <row r="1074" spans="1:7" ht="12.75" hidden="1" customHeight="1">
      <c r="A1074" s="46" t="s">
        <v>320</v>
      </c>
      <c r="B1074" s="45"/>
      <c r="C1074" s="44"/>
      <c r="D1074" s="44"/>
      <c r="E1074" s="44"/>
      <c r="F1074" s="44"/>
      <c r="G1074" s="40"/>
    </row>
    <row r="1075" spans="1:7" ht="12.75" hidden="1" customHeight="1">
      <c r="A1075" s="46" t="s">
        <v>321</v>
      </c>
      <c r="B1075" s="45"/>
      <c r="C1075" s="44"/>
      <c r="D1075" s="44"/>
      <c r="E1075" s="44"/>
      <c r="F1075" s="44"/>
      <c r="G1075" s="40"/>
    </row>
    <row r="1076" spans="1:7" ht="12.75" hidden="1" customHeight="1">
      <c r="A1076" s="46" t="s">
        <v>322</v>
      </c>
      <c r="B1076" s="45"/>
      <c r="C1076" s="44"/>
      <c r="D1076" s="44"/>
      <c r="E1076" s="44"/>
      <c r="F1076" s="44"/>
      <c r="G1076" s="40"/>
    </row>
    <row r="1077" spans="1:7" ht="12.75" hidden="1" customHeight="1">
      <c r="A1077" s="46" t="s">
        <v>323</v>
      </c>
      <c r="B1077" s="45"/>
      <c r="C1077" s="44"/>
      <c r="D1077" s="44"/>
      <c r="E1077" s="44"/>
      <c r="F1077" s="44"/>
      <c r="G1077" s="40"/>
    </row>
    <row r="1078" spans="1:7" ht="12.75" hidden="1" customHeight="1">
      <c r="A1078" s="46" t="s">
        <v>324</v>
      </c>
      <c r="B1078" s="45"/>
      <c r="C1078" s="44"/>
      <c r="D1078" s="44"/>
      <c r="E1078" s="44"/>
      <c r="F1078" s="44"/>
      <c r="G1078" s="40"/>
    </row>
    <row r="1079" spans="1:7" ht="12.75" hidden="1" customHeight="1">
      <c r="A1079" s="46" t="s">
        <v>325</v>
      </c>
      <c r="B1079" s="45"/>
      <c r="C1079" s="44"/>
      <c r="D1079" s="44"/>
      <c r="E1079" s="44"/>
      <c r="F1079" s="44"/>
      <c r="G1079" s="40"/>
    </row>
    <row r="1080" spans="1:7" ht="12.75" hidden="1" customHeight="1">
      <c r="A1080" s="46" t="s">
        <v>326</v>
      </c>
      <c r="B1080" s="45"/>
      <c r="C1080" s="44"/>
      <c r="D1080" s="44"/>
      <c r="E1080" s="44"/>
      <c r="F1080" s="44"/>
      <c r="G1080" s="40"/>
    </row>
    <row r="1081" spans="1:7" ht="12.75" hidden="1" customHeight="1">
      <c r="A1081" s="46" t="s">
        <v>327</v>
      </c>
      <c r="B1081" s="45"/>
      <c r="C1081" s="44"/>
      <c r="D1081" s="44"/>
      <c r="E1081" s="44"/>
      <c r="F1081" s="44"/>
      <c r="G1081" s="40"/>
    </row>
    <row r="1082" spans="1:7" ht="12.75" hidden="1" customHeight="1">
      <c r="A1082" s="46" t="s">
        <v>328</v>
      </c>
      <c r="B1082" s="45"/>
      <c r="C1082" s="44"/>
      <c r="D1082" s="44"/>
      <c r="E1082" s="44"/>
      <c r="F1082" s="44"/>
      <c r="G1082" s="40"/>
    </row>
    <row r="1083" spans="1:7" ht="12.75" hidden="1" customHeight="1">
      <c r="A1083" s="46" t="s">
        <v>329</v>
      </c>
      <c r="B1083" s="47"/>
      <c r="C1083" s="44"/>
      <c r="D1083" s="44"/>
      <c r="E1083" s="44"/>
      <c r="F1083" s="44"/>
      <c r="G1083" s="40"/>
    </row>
    <row r="1084" spans="1:7" ht="12.75" hidden="1" customHeight="1">
      <c r="A1084" s="46" t="s">
        <v>330</v>
      </c>
      <c r="B1084" s="47"/>
      <c r="C1084" s="44">
        <v>10152.27</v>
      </c>
      <c r="D1084" s="44">
        <v>0</v>
      </c>
      <c r="E1084" s="44">
        <v>138505.73000000001</v>
      </c>
      <c r="F1084" s="44">
        <f>SUM(C1084:E1084)</f>
        <v>148658</v>
      </c>
      <c r="G1084" s="40"/>
    </row>
    <row r="1085" spans="1:7" ht="12.75" hidden="1" customHeight="1">
      <c r="A1085" s="48" t="s">
        <v>150</v>
      </c>
      <c r="B1085" s="48"/>
      <c r="C1085" s="49">
        <v>10152.27</v>
      </c>
      <c r="D1085" s="50">
        <v>0</v>
      </c>
      <c r="E1085" s="50">
        <v>138505.73000000001</v>
      </c>
      <c r="F1085" s="50">
        <v>148658</v>
      </c>
      <c r="G1085" s="40"/>
    </row>
    <row r="1086" spans="1:7" ht="12.75" hidden="1" customHeight="1">
      <c r="A1086" s="141" t="s">
        <v>460</v>
      </c>
    </row>
    <row r="1087" spans="1:7" s="150" customFormat="1" ht="12.75" hidden="1" customHeight="1"/>
    <row r="1088" spans="1:7" ht="12.75" hidden="1" customHeight="1"/>
    <row r="1089" spans="1:7" ht="12.75" hidden="1" customHeight="1">
      <c r="A1089" s="77" t="s">
        <v>469</v>
      </c>
      <c r="B1089" s="39"/>
      <c r="C1089" s="78"/>
      <c r="D1089" s="78"/>
      <c r="E1089" s="78"/>
      <c r="F1089" s="78"/>
      <c r="G1089" s="40"/>
    </row>
    <row r="1090" spans="1:7" ht="12.75" hidden="1" customHeight="1">
      <c r="A1090" s="80" t="s">
        <v>337</v>
      </c>
      <c r="B1090" s="43" t="s">
        <v>87</v>
      </c>
      <c r="C1090" s="78" t="s">
        <v>360</v>
      </c>
      <c r="D1090" s="78" t="s">
        <v>339</v>
      </c>
      <c r="E1090" s="78" t="s">
        <v>340</v>
      </c>
      <c r="F1090" s="78" t="s">
        <v>341</v>
      </c>
      <c r="G1090" s="40"/>
    </row>
    <row r="1091" spans="1:7" ht="12.75" hidden="1" customHeight="1">
      <c r="A1091" s="80" t="s">
        <v>0</v>
      </c>
      <c r="B1091" s="81">
        <f>40*20</f>
        <v>800</v>
      </c>
      <c r="C1091" s="81">
        <f t="shared" ref="C1091:E1092" si="41">B1091/B$1096*C$1096</f>
        <v>193291.11874999999</v>
      </c>
      <c r="D1091" s="81">
        <f t="shared" si="41"/>
        <v>99674.074999999997</v>
      </c>
      <c r="E1091" s="81">
        <f t="shared" si="41"/>
        <v>106801.41250000001</v>
      </c>
      <c r="F1091" s="81">
        <f>SUM(C1091:E1091)</f>
        <v>399766.60624999995</v>
      </c>
      <c r="G1091" s="40"/>
    </row>
    <row r="1092" spans="1:7" ht="12.75" hidden="1" customHeight="1">
      <c r="A1092" s="80" t="s">
        <v>342</v>
      </c>
      <c r="B1092" s="81">
        <f>24*20</f>
        <v>480</v>
      </c>
      <c r="C1092" s="81">
        <f t="shared" si="41"/>
        <v>115974.67124999998</v>
      </c>
      <c r="D1092" s="81">
        <f t="shared" si="41"/>
        <v>59804.444999999992</v>
      </c>
      <c r="E1092" s="81">
        <f t="shared" si="41"/>
        <v>64080.847500000003</v>
      </c>
      <c r="F1092" s="81">
        <f>SUM(C1092:E1092)</f>
        <v>239859.96374999997</v>
      </c>
      <c r="G1092" s="40"/>
    </row>
    <row r="1093" spans="1:7" ht="12.75" hidden="1" customHeight="1">
      <c r="A1093" s="80" t="s">
        <v>343</v>
      </c>
      <c r="B1093" s="81"/>
      <c r="C1093" s="81"/>
      <c r="D1093" s="81"/>
      <c r="E1093" s="81"/>
      <c r="F1093" s="81"/>
      <c r="G1093" s="40"/>
    </row>
    <row r="1094" spans="1:7" ht="12.75" hidden="1" customHeight="1">
      <c r="A1094" s="80" t="s">
        <v>344</v>
      </c>
      <c r="B1094" s="81"/>
      <c r="C1094" s="81"/>
      <c r="D1094" s="81"/>
      <c r="E1094" s="81"/>
      <c r="F1094" s="81"/>
      <c r="G1094" s="40"/>
    </row>
    <row r="1095" spans="1:7" ht="12.75" hidden="1" customHeight="1">
      <c r="A1095" s="80" t="s">
        <v>345</v>
      </c>
      <c r="B1095" s="81"/>
      <c r="C1095" s="81"/>
      <c r="D1095" s="81"/>
      <c r="E1095" s="81"/>
      <c r="F1095" s="81"/>
      <c r="G1095" s="40"/>
    </row>
    <row r="1096" spans="1:7" ht="14.25" hidden="1" customHeight="1">
      <c r="A1096" s="77" t="s">
        <v>346</v>
      </c>
      <c r="B1096" s="128">
        <f>SUM(B1091:B1095)</f>
        <v>1280</v>
      </c>
      <c r="C1096" s="82">
        <f>309265.79</f>
        <v>309265.78999999998</v>
      </c>
      <c r="D1096" s="82">
        <f>13036.4+73394.2+21202.4+47264.92+4580.6</f>
        <v>159478.51999999999</v>
      </c>
      <c r="E1096" s="82">
        <v>170882.26</v>
      </c>
      <c r="F1096" s="82">
        <f>SUM(C1096:E1096)</f>
        <v>639626.56999999995</v>
      </c>
      <c r="G1096" s="40"/>
    </row>
    <row r="1097" spans="1:7" ht="12.75" hidden="1" customHeight="1">
      <c r="A1097" s="270" t="s">
        <v>488</v>
      </c>
      <c r="B1097" s="271"/>
      <c r="C1097" s="271"/>
      <c r="D1097" s="271"/>
      <c r="E1097" s="271"/>
      <c r="F1097" s="271"/>
      <c r="G1097" s="40"/>
    </row>
    <row r="1098" spans="1:7" ht="12.75" hidden="1" customHeight="1">
      <c r="A1098" s="83"/>
      <c r="B1098" s="84"/>
      <c r="C1098" s="40"/>
      <c r="D1098" s="40"/>
      <c r="E1098" s="41"/>
      <c r="F1098" s="40"/>
      <c r="G1098" s="40"/>
    </row>
    <row r="1099" spans="1:7" ht="12.75" hidden="1" customHeight="1">
      <c r="A1099" s="85"/>
      <c r="B1099" s="84"/>
      <c r="C1099" s="40"/>
      <c r="D1099" s="40"/>
      <c r="E1099" s="41"/>
      <c r="F1099" s="40"/>
      <c r="G1099" s="40"/>
    </row>
    <row r="1100" spans="1:7" ht="12.75" hidden="1" customHeight="1">
      <c r="A1100" s="77"/>
      <c r="B1100" s="82"/>
      <c r="C1100" s="82"/>
      <c r="D1100" s="82"/>
      <c r="E1100" s="82"/>
      <c r="F1100" s="82"/>
      <c r="G1100" s="40"/>
    </row>
    <row r="1101" spans="1:7" ht="12.75" hidden="1" customHeight="1">
      <c r="A1101" s="77" t="s">
        <v>470</v>
      </c>
      <c r="B1101" s="43" t="s">
        <v>87</v>
      </c>
      <c r="C1101" s="86" t="s">
        <v>88</v>
      </c>
      <c r="D1101" s="86" t="s">
        <v>89</v>
      </c>
      <c r="E1101" s="86" t="s">
        <v>90</v>
      </c>
      <c r="F1101" s="86" t="s">
        <v>91</v>
      </c>
      <c r="G1101" s="40"/>
    </row>
    <row r="1102" spans="1:7" ht="12.75" hidden="1" customHeight="1">
      <c r="A1102" s="87" t="s">
        <v>349</v>
      </c>
      <c r="B1102" s="88"/>
      <c r="C1102" s="88"/>
      <c r="D1102" s="88"/>
      <c r="E1102" s="88"/>
      <c r="F1102" s="88"/>
      <c r="G1102" s="40"/>
    </row>
    <row r="1103" spans="1:7" ht="12.75" hidden="1" customHeight="1">
      <c r="A1103" s="87" t="s">
        <v>350</v>
      </c>
      <c r="B1103" s="88"/>
      <c r="C1103" s="88"/>
      <c r="D1103" s="88"/>
      <c r="E1103" s="88"/>
      <c r="F1103" s="88"/>
      <c r="G1103" s="40"/>
    </row>
    <row r="1104" spans="1:7" ht="12.75" hidden="1" customHeight="1">
      <c r="A1104" s="87" t="s">
        <v>351</v>
      </c>
      <c r="B1104" s="88"/>
      <c r="C1104" s="88"/>
      <c r="D1104" s="88"/>
      <c r="E1104" s="88"/>
      <c r="F1104" s="88"/>
      <c r="G1104" s="40"/>
    </row>
    <row r="1105" spans="1:7" ht="12.75" hidden="1" customHeight="1">
      <c r="A1105" s="87" t="s">
        <v>352</v>
      </c>
      <c r="B1105" s="57"/>
      <c r="C1105" s="88"/>
      <c r="D1105" s="88"/>
      <c r="E1105" s="88"/>
      <c r="F1105" s="88"/>
      <c r="G1105" s="40"/>
    </row>
    <row r="1106" spans="1:7" ht="12.75" hidden="1" customHeight="1">
      <c r="A1106" s="87" t="s">
        <v>353</v>
      </c>
      <c r="B1106" s="88"/>
      <c r="C1106" s="88"/>
      <c r="D1106" s="88"/>
      <c r="E1106" s="88"/>
      <c r="F1106" s="88"/>
      <c r="G1106" s="40"/>
    </row>
    <row r="1107" spans="1:7" ht="12.75" hidden="1" customHeight="1">
      <c r="A1107" s="87" t="s">
        <v>354</v>
      </c>
      <c r="B1107" s="88"/>
      <c r="C1107" s="88"/>
      <c r="D1107" s="88"/>
      <c r="E1107" s="88"/>
      <c r="F1107" s="88"/>
      <c r="G1107" s="40"/>
    </row>
    <row r="1108" spans="1:7" ht="12.75" hidden="1" customHeight="1">
      <c r="A1108" s="87" t="s">
        <v>355</v>
      </c>
      <c r="B1108" s="88"/>
      <c r="C1108" s="88"/>
      <c r="D1108" s="88"/>
      <c r="E1108" s="88"/>
      <c r="F1108" s="88"/>
      <c r="G1108" s="40"/>
    </row>
    <row r="1109" spans="1:7" ht="12.75" hidden="1" customHeight="1">
      <c r="A1109" s="87" t="s">
        <v>356</v>
      </c>
      <c r="B1109" s="88"/>
      <c r="C1109" s="88"/>
      <c r="D1109" s="88"/>
      <c r="E1109" s="88"/>
      <c r="F1109" s="57"/>
      <c r="G1109" s="40"/>
    </row>
    <row r="1110" spans="1:7" ht="12.75" hidden="1" customHeight="1">
      <c r="A1110" s="87" t="s">
        <v>357</v>
      </c>
      <c r="B1110" s="57"/>
      <c r="C1110" s="88"/>
      <c r="D1110" s="88"/>
      <c r="E1110" s="88"/>
      <c r="F1110" s="88"/>
      <c r="G1110" s="40"/>
    </row>
    <row r="1111" spans="1:7" ht="12.75" hidden="1" customHeight="1">
      <c r="A1111" s="87" t="s">
        <v>243</v>
      </c>
      <c r="B1111" s="57"/>
      <c r="C1111" s="88">
        <v>36925.86</v>
      </c>
      <c r="D1111" s="88">
        <v>0</v>
      </c>
      <c r="E1111" s="88">
        <v>445118.93</v>
      </c>
      <c r="F1111" s="88">
        <v>482044.79</v>
      </c>
      <c r="G1111" s="40"/>
    </row>
    <row r="1112" spans="1:7" ht="12.75" hidden="1" customHeight="1">
      <c r="A1112" s="77" t="s">
        <v>346</v>
      </c>
      <c r="B1112" s="82"/>
      <c r="C1112" s="82">
        <v>36925.86</v>
      </c>
      <c r="D1112" s="82">
        <v>0</v>
      </c>
      <c r="E1112" s="82">
        <v>445118.93</v>
      </c>
      <c r="F1112" s="82">
        <f>SUM(C1112:E1112)</f>
        <v>482044.79</v>
      </c>
      <c r="G1112" s="40"/>
    </row>
    <row r="1113" spans="1:7" ht="12.75" hidden="1" customHeight="1">
      <c r="A1113" s="151" t="s">
        <v>487</v>
      </c>
      <c r="B1113" s="84"/>
      <c r="C1113" s="84"/>
      <c r="D1113" s="84"/>
      <c r="E1113" s="84"/>
      <c r="F1113" s="84"/>
      <c r="G1113" s="90"/>
    </row>
    <row r="1114" spans="1:7" ht="12.75" hidden="1" customHeight="1">
      <c r="A1114" s="85"/>
      <c r="B1114" s="84"/>
      <c r="C1114" s="84"/>
      <c r="D1114" s="84"/>
      <c r="E1114" s="84"/>
      <c r="F1114" s="84"/>
      <c r="G1114" s="90"/>
    </row>
    <row r="1115" spans="1:7" ht="12.75" hidden="1" customHeight="1">
      <c r="A1115" s="91"/>
      <c r="B1115" s="84"/>
      <c r="C1115" s="84"/>
      <c r="D1115" s="84"/>
      <c r="E1115" s="84"/>
      <c r="F1115" s="84"/>
      <c r="G1115" s="90"/>
    </row>
    <row r="1116" spans="1:7" ht="12.75" hidden="1" customHeight="1">
      <c r="A1116" s="91"/>
      <c r="B1116" s="84"/>
      <c r="C1116" s="84"/>
      <c r="D1116" s="84"/>
      <c r="E1116" s="84"/>
      <c r="F1116" s="84"/>
      <c r="G1116" s="40"/>
    </row>
    <row r="1117" spans="1:7" ht="12.75" hidden="1" customHeight="1">
      <c r="A1117" s="83"/>
      <c r="B1117" s="92"/>
      <c r="C1117" s="92"/>
      <c r="D1117" s="92"/>
      <c r="E1117" s="92"/>
      <c r="F1117" s="92"/>
      <c r="G1117" s="40"/>
    </row>
    <row r="1118" spans="1:7" ht="12.75" hidden="1" customHeight="1">
      <c r="A1118" s="77" t="s">
        <v>471</v>
      </c>
      <c r="B1118" s="43" t="s">
        <v>87</v>
      </c>
      <c r="C1118" s="78" t="s">
        <v>360</v>
      </c>
      <c r="D1118" s="78" t="s">
        <v>339</v>
      </c>
      <c r="E1118" s="78" t="s">
        <v>340</v>
      </c>
      <c r="F1118" s="78" t="s">
        <v>341</v>
      </c>
      <c r="G1118" s="40"/>
    </row>
    <row r="1119" spans="1:7" ht="12.75" hidden="1" customHeight="1">
      <c r="A1119" s="80" t="s">
        <v>361</v>
      </c>
      <c r="B1119" s="93"/>
      <c r="C1119" s="94"/>
      <c r="D1119" s="94"/>
      <c r="E1119" s="94"/>
      <c r="F1119" s="94"/>
      <c r="G1119" s="40"/>
    </row>
    <row r="1120" spans="1:7" ht="12.75" hidden="1" customHeight="1">
      <c r="A1120" s="80" t="s">
        <v>362</v>
      </c>
      <c r="B1120" s="93"/>
      <c r="C1120" s="94"/>
      <c r="D1120" s="94"/>
      <c r="E1120" s="94"/>
      <c r="F1120" s="94"/>
      <c r="G1120" s="40"/>
    </row>
    <row r="1121" spans="1:7" ht="12.75" hidden="1" customHeight="1">
      <c r="A1121" s="80" t="s">
        <v>363</v>
      </c>
      <c r="B1121" s="93"/>
      <c r="C1121" s="94"/>
      <c r="D1121" s="94"/>
      <c r="E1121" s="94"/>
      <c r="F1121" s="94"/>
      <c r="G1121" s="40"/>
    </row>
    <row r="1122" spans="1:7" ht="12.75" hidden="1" customHeight="1">
      <c r="A1122" s="80" t="s">
        <v>364</v>
      </c>
      <c r="B1122" s="93"/>
      <c r="C1122" s="94"/>
      <c r="D1122" s="94"/>
      <c r="E1122" s="94"/>
      <c r="F1122" s="94"/>
      <c r="G1122" s="40"/>
    </row>
    <row r="1123" spans="1:7" ht="12.75" hidden="1" customHeight="1">
      <c r="A1123" s="80" t="s">
        <v>365</v>
      </c>
      <c r="B1123" s="93">
        <f>24*22</f>
        <v>528</v>
      </c>
      <c r="C1123" s="94">
        <f>B1123/B$1131*C$1131</f>
        <v>25037.734857142859</v>
      </c>
      <c r="D1123" s="94">
        <f>C1123/C$1131*D$1131</f>
        <v>34214.022857142852</v>
      </c>
      <c r="E1123" s="94">
        <f>D1123/D$1131*E$1131</f>
        <v>38092.252</v>
      </c>
      <c r="F1123" s="94">
        <f t="shared" ref="F1123:F1128" si="42">SUM(C1123:E1123)</f>
        <v>97344.009714285712</v>
      </c>
      <c r="G1123" s="40"/>
    </row>
    <row r="1124" spans="1:7" ht="12.75" hidden="1" customHeight="1">
      <c r="A1124" s="80" t="s">
        <v>366</v>
      </c>
      <c r="B1124" s="93">
        <f>24*8</f>
        <v>192</v>
      </c>
      <c r="C1124" s="94">
        <f t="shared" ref="C1124:E1128" si="43">B1124/B$1131*C$1131</f>
        <v>9104.6308571428581</v>
      </c>
      <c r="D1124" s="94">
        <f t="shared" si="43"/>
        <v>12441.462857142857</v>
      </c>
      <c r="E1124" s="94">
        <f t="shared" si="43"/>
        <v>13851.728000000001</v>
      </c>
      <c r="F1124" s="94">
        <f t="shared" si="42"/>
        <v>35397.821714285717</v>
      </c>
      <c r="G1124" s="40"/>
    </row>
    <row r="1125" spans="1:7" ht="12.75" hidden="1" customHeight="1">
      <c r="A1125" s="80" t="s">
        <v>367</v>
      </c>
      <c r="B1125" s="93">
        <f>24*4</f>
        <v>96</v>
      </c>
      <c r="C1125" s="94">
        <f t="shared" si="43"/>
        <v>4552.315428571429</v>
      </c>
      <c r="D1125" s="94">
        <f t="shared" si="43"/>
        <v>6220.7314285714283</v>
      </c>
      <c r="E1125" s="94">
        <f t="shared" si="43"/>
        <v>6925.8640000000005</v>
      </c>
      <c r="F1125" s="94">
        <f t="shared" si="42"/>
        <v>17698.910857142859</v>
      </c>
      <c r="G1125" s="40"/>
    </row>
    <row r="1126" spans="1:7" ht="12.75" hidden="1" customHeight="1">
      <c r="A1126" s="80" t="s">
        <v>368</v>
      </c>
      <c r="B1126" s="40"/>
      <c r="C1126" s="94">
        <f t="shared" si="43"/>
        <v>0</v>
      </c>
      <c r="D1126" s="94">
        <f t="shared" si="43"/>
        <v>0</v>
      </c>
      <c r="E1126" s="94">
        <f t="shared" si="43"/>
        <v>0</v>
      </c>
      <c r="F1126" s="94">
        <f t="shared" si="42"/>
        <v>0</v>
      </c>
      <c r="G1126" s="40"/>
    </row>
    <row r="1127" spans="1:7" ht="12.75" hidden="1" customHeight="1">
      <c r="A1127" s="80" t="s">
        <v>369</v>
      </c>
      <c r="B1127" s="93"/>
      <c r="C1127" s="94">
        <f t="shared" si="43"/>
        <v>0</v>
      </c>
      <c r="D1127" s="94">
        <f t="shared" si="43"/>
        <v>0</v>
      </c>
      <c r="E1127" s="94">
        <f t="shared" si="43"/>
        <v>0</v>
      </c>
      <c r="F1127" s="94">
        <f t="shared" si="42"/>
        <v>0</v>
      </c>
      <c r="G1127" s="40"/>
    </row>
    <row r="1128" spans="1:7" ht="12.75" hidden="1" customHeight="1">
      <c r="A1128" s="80" t="s">
        <v>370</v>
      </c>
      <c r="B1128" s="93">
        <f>24*1</f>
        <v>24</v>
      </c>
      <c r="C1128" s="94">
        <f t="shared" si="43"/>
        <v>1138.0788571428573</v>
      </c>
      <c r="D1128" s="94">
        <f t="shared" si="43"/>
        <v>1555.1828571428571</v>
      </c>
      <c r="E1128" s="94">
        <f t="shared" si="43"/>
        <v>1731.4660000000001</v>
      </c>
      <c r="F1128" s="94">
        <f t="shared" si="42"/>
        <v>4424.7277142857147</v>
      </c>
      <c r="G1128" s="40"/>
    </row>
    <row r="1129" spans="1:7" ht="12.75" hidden="1" customHeight="1">
      <c r="A1129" s="80" t="s">
        <v>80</v>
      </c>
      <c r="B1129" s="93"/>
      <c r="C1129" s="94"/>
      <c r="D1129" s="94"/>
      <c r="E1129" s="94"/>
      <c r="F1129" s="94"/>
      <c r="G1129" s="40"/>
    </row>
    <row r="1130" spans="1:7" ht="12.75" hidden="1" customHeight="1">
      <c r="A1130" s="80" t="s">
        <v>371</v>
      </c>
      <c r="B1130" s="93"/>
      <c r="C1130" s="94"/>
      <c r="D1130" s="94"/>
      <c r="E1130" s="94"/>
      <c r="F1130" s="94"/>
      <c r="G1130" s="40"/>
    </row>
    <row r="1131" spans="1:7" ht="12.75" hidden="1" customHeight="1">
      <c r="A1131" s="77" t="s">
        <v>346</v>
      </c>
      <c r="B1131" s="95">
        <f>SUM(B1123:B1128)</f>
        <v>840</v>
      </c>
      <c r="C1131" s="96">
        <f>39832.76</f>
        <v>39832.76</v>
      </c>
      <c r="D1131" s="96">
        <f>17364+27224.6+9352.6+490.2</f>
        <v>54431.399999999994</v>
      </c>
      <c r="E1131" s="96">
        <f>60601.31</f>
        <v>60601.31</v>
      </c>
      <c r="F1131" s="97">
        <f>SUM(C1131:E1131)</f>
        <v>154865.47</v>
      </c>
      <c r="G1131" s="40"/>
    </row>
    <row r="1132" spans="1:7" ht="12.75" hidden="1" customHeight="1">
      <c r="A1132" s="140" t="s">
        <v>484</v>
      </c>
      <c r="B1132" s="99"/>
      <c r="C1132" s="100"/>
      <c r="D1132" s="100"/>
      <c r="E1132" s="100"/>
      <c r="F1132" s="100"/>
      <c r="G1132" s="40"/>
    </row>
    <row r="1133" spans="1:7" ht="12.75" hidden="1" customHeight="1">
      <c r="A1133" s="98"/>
      <c r="B1133" s="99"/>
      <c r="C1133" s="100"/>
      <c r="D1133" s="100"/>
      <c r="E1133" s="100"/>
      <c r="F1133" s="100"/>
      <c r="G1133" s="40"/>
    </row>
    <row r="1134" spans="1:7" ht="12.75" hidden="1" customHeight="1">
      <c r="A1134" s="98"/>
      <c r="B1134" s="99"/>
      <c r="C1134" s="100"/>
      <c r="D1134" s="115"/>
      <c r="E1134" s="115"/>
      <c r="F1134" s="100"/>
      <c r="G1134" s="40"/>
    </row>
    <row r="1135" spans="1:7" ht="12.75" hidden="1" customHeight="1">
      <c r="A1135" s="101"/>
      <c r="B1135" s="92"/>
      <c r="C1135" s="92"/>
      <c r="D1135" s="115"/>
      <c r="E1135" s="116"/>
      <c r="F1135" s="92"/>
      <c r="G1135" s="40"/>
    </row>
    <row r="1136" spans="1:7" ht="12.75" hidden="1" customHeight="1">
      <c r="A1136" s="101"/>
      <c r="B1136" s="92"/>
      <c r="C1136" s="92"/>
      <c r="D1136" s="92"/>
      <c r="E1136" s="92"/>
      <c r="F1136" s="92"/>
      <c r="G1136" s="40"/>
    </row>
    <row r="1137" spans="1:7" ht="12.75" hidden="1" customHeight="1">
      <c r="A1137" s="101"/>
      <c r="B1137" s="92"/>
      <c r="C1137" s="92"/>
      <c r="D1137" s="92"/>
      <c r="E1137" s="92"/>
      <c r="F1137" s="92"/>
      <c r="G1137" s="40"/>
    </row>
    <row r="1138" spans="1:7" ht="12.75" hidden="1" customHeight="1">
      <c r="A1138" s="77" t="s">
        <v>472</v>
      </c>
      <c r="B1138" s="43" t="s">
        <v>87</v>
      </c>
      <c r="C1138" s="78" t="s">
        <v>360</v>
      </c>
      <c r="D1138" s="78" t="s">
        <v>339</v>
      </c>
      <c r="E1138" s="78" t="s">
        <v>340</v>
      </c>
      <c r="F1138" s="78" t="s">
        <v>341</v>
      </c>
      <c r="G1138" s="40"/>
    </row>
    <row r="1139" spans="1:7" ht="12.75" hidden="1" customHeight="1">
      <c r="A1139" s="87" t="s">
        <v>481</v>
      </c>
      <c r="B1139" s="42">
        <v>132</v>
      </c>
      <c r="C1139" s="112">
        <f t="shared" ref="C1139:C1148" si="44">B1139/B$1150*C$1150</f>
        <v>14973.049025367158</v>
      </c>
      <c r="D1139" s="112"/>
      <c r="E1139" s="112">
        <f t="shared" ref="E1139:E1148" si="45">B1139/B$1150*E$1150</f>
        <v>12493.854632843793</v>
      </c>
      <c r="F1139" s="112">
        <f>E1139+D1139+C1139</f>
        <v>27466.903658210951</v>
      </c>
      <c r="G1139" s="40"/>
    </row>
    <row r="1140" spans="1:7" ht="12.75" hidden="1" customHeight="1">
      <c r="A1140" s="87" t="s">
        <v>482</v>
      </c>
      <c r="B1140" s="42">
        <v>26</v>
      </c>
      <c r="C1140" s="112">
        <f t="shared" si="44"/>
        <v>2949.2369292389853</v>
      </c>
      <c r="D1140" s="112"/>
      <c r="E1140" s="112">
        <f t="shared" si="45"/>
        <v>2460.9107610146862</v>
      </c>
      <c r="F1140" s="112">
        <f t="shared" ref="F1140:F1148" si="46">E1140+D1140+C1140</f>
        <v>5410.1476902536715</v>
      </c>
      <c r="G1140" s="40"/>
    </row>
    <row r="1141" spans="1:7" ht="12.75" hidden="1" customHeight="1">
      <c r="A1141" s="87" t="s">
        <v>451</v>
      </c>
      <c r="B1141" s="42">
        <v>45</v>
      </c>
      <c r="C1141" s="112">
        <f t="shared" si="44"/>
        <v>5104.4485313751675</v>
      </c>
      <c r="D1141" s="112"/>
      <c r="E1141" s="112">
        <f t="shared" si="45"/>
        <v>4259.2686248331111</v>
      </c>
      <c r="F1141" s="112">
        <f t="shared" si="46"/>
        <v>9363.7171562082785</v>
      </c>
      <c r="G1141" s="40"/>
    </row>
    <row r="1142" spans="1:7" ht="12.75" hidden="1" customHeight="1">
      <c r="A1142" s="87" t="s">
        <v>452</v>
      </c>
      <c r="B1142" s="42">
        <v>76</v>
      </c>
      <c r="C1142" s="112">
        <f t="shared" si="44"/>
        <v>8620.8464085447267</v>
      </c>
      <c r="D1142" s="112"/>
      <c r="E1142" s="112">
        <f t="shared" si="45"/>
        <v>7193.4314552736987</v>
      </c>
      <c r="F1142" s="112">
        <f t="shared" si="46"/>
        <v>15814.277863818425</v>
      </c>
      <c r="G1142" s="40"/>
    </row>
    <row r="1143" spans="1:7" ht="12.75" hidden="1" customHeight="1">
      <c r="A1143" s="87" t="s">
        <v>453</v>
      </c>
      <c r="B1143" s="42">
        <v>68</v>
      </c>
      <c r="C1143" s="112">
        <f t="shared" si="44"/>
        <v>7713.3888918558087</v>
      </c>
      <c r="D1143" s="112"/>
      <c r="E1143" s="112">
        <f t="shared" si="45"/>
        <v>6436.2281441922569</v>
      </c>
      <c r="F1143" s="112">
        <f t="shared" si="46"/>
        <v>14149.617036048065</v>
      </c>
      <c r="G1143" s="40"/>
    </row>
    <row r="1144" spans="1:7" ht="12.75" hidden="1" customHeight="1">
      <c r="A1144" s="87" t="s">
        <v>454</v>
      </c>
      <c r="B1144" s="42">
        <v>34</v>
      </c>
      <c r="C1144" s="112">
        <f t="shared" si="44"/>
        <v>3856.6944459279043</v>
      </c>
      <c r="D1144" s="112"/>
      <c r="E1144" s="112">
        <f t="shared" si="45"/>
        <v>3218.1140720961284</v>
      </c>
      <c r="F1144" s="112">
        <f t="shared" si="46"/>
        <v>7074.8085180240323</v>
      </c>
      <c r="G1144" s="40"/>
    </row>
    <row r="1145" spans="1:7" ht="12.75" hidden="1" customHeight="1">
      <c r="A1145" s="87" t="s">
        <v>455</v>
      </c>
      <c r="B1145" s="42">
        <v>42</v>
      </c>
      <c r="C1145" s="112">
        <f t="shared" si="44"/>
        <v>4764.1519626168229</v>
      </c>
      <c r="D1145" s="112"/>
      <c r="E1145" s="112">
        <f t="shared" si="45"/>
        <v>3975.3173831775703</v>
      </c>
      <c r="F1145" s="112">
        <f t="shared" si="46"/>
        <v>8739.469345794394</v>
      </c>
      <c r="G1145" s="40"/>
    </row>
    <row r="1146" spans="1:7" ht="12.75" hidden="1" customHeight="1">
      <c r="A1146" s="87" t="s">
        <v>456</v>
      </c>
      <c r="B1146" s="93">
        <v>178</v>
      </c>
      <c r="C1146" s="112">
        <f t="shared" si="44"/>
        <v>20190.929746328438</v>
      </c>
      <c r="D1146" s="112"/>
      <c r="E1146" s="112">
        <f t="shared" si="45"/>
        <v>16847.773671562081</v>
      </c>
      <c r="F1146" s="112">
        <f>E1146+D1146+C1146+E1149</f>
        <v>38745.873417890514</v>
      </c>
      <c r="G1146" s="40"/>
    </row>
    <row r="1147" spans="1:7" ht="12.75" hidden="1" customHeight="1">
      <c r="A1147" s="87" t="s">
        <v>457</v>
      </c>
      <c r="B1147" s="93">
        <v>28</v>
      </c>
      <c r="C1147" s="112">
        <f t="shared" si="44"/>
        <v>3176.1013084112151</v>
      </c>
      <c r="D1147" s="112"/>
      <c r="E1147" s="112">
        <f t="shared" si="45"/>
        <v>2650.2115887850468</v>
      </c>
      <c r="F1147" s="112">
        <f t="shared" si="46"/>
        <v>5826.3128971962615</v>
      </c>
      <c r="G1147" s="40"/>
    </row>
    <row r="1148" spans="1:7" ht="12.75" hidden="1" customHeight="1">
      <c r="A1148" s="87" t="s">
        <v>458</v>
      </c>
      <c r="B1148" s="93">
        <v>120</v>
      </c>
      <c r="C1148" s="112">
        <f t="shared" si="44"/>
        <v>13611.862750333779</v>
      </c>
      <c r="D1148" s="112"/>
      <c r="E1148" s="112">
        <f t="shared" si="45"/>
        <v>11358.04966622163</v>
      </c>
      <c r="F1148" s="112">
        <f t="shared" si="46"/>
        <v>24969.912416555409</v>
      </c>
      <c r="G1148" s="40"/>
    </row>
    <row r="1149" spans="1:7" ht="12.75" hidden="1" customHeight="1">
      <c r="A1149" s="111" t="s">
        <v>480</v>
      </c>
      <c r="B1149" s="93"/>
      <c r="C1149" s="112"/>
      <c r="D1149" s="112"/>
      <c r="E1149" s="112">
        <v>1707.17</v>
      </c>
      <c r="F1149" s="112"/>
      <c r="G1149" s="40"/>
    </row>
    <row r="1150" spans="1:7" ht="12.75" hidden="1" customHeight="1">
      <c r="A1150" s="77" t="s">
        <v>346</v>
      </c>
      <c r="B1150" s="95">
        <f>SUM(B1139:B1149)</f>
        <v>749</v>
      </c>
      <c r="C1150" s="108">
        <v>84960.71</v>
      </c>
      <c r="D1150" s="108">
        <v>0</v>
      </c>
      <c r="E1150" s="108">
        <v>70893.16</v>
      </c>
      <c r="F1150" s="108">
        <f>SUM(C1150:E1150)+E1149</f>
        <v>157561.04</v>
      </c>
      <c r="G1150" s="40"/>
    </row>
    <row r="1151" spans="1:7" ht="12.75" hidden="1" customHeight="1">
      <c r="A1151" s="114" t="s">
        <v>483</v>
      </c>
      <c r="B1151" s="103"/>
      <c r="C1151" s="104"/>
      <c r="D1151" s="104"/>
      <c r="E1151" s="104"/>
      <c r="F1151" s="104"/>
      <c r="G1151" s="40"/>
    </row>
    <row r="1152" spans="1:7" ht="12.75" hidden="1" customHeight="1">
      <c r="A1152" s="114"/>
      <c r="B1152" s="103"/>
      <c r="C1152" s="104"/>
      <c r="D1152" s="104"/>
      <c r="E1152" s="104"/>
      <c r="F1152" s="104"/>
      <c r="G1152" s="40"/>
    </row>
    <row r="1153" spans="1:7" ht="12.75" hidden="1" customHeight="1">
      <c r="A1153" s="114"/>
      <c r="B1153" s="103"/>
      <c r="C1153" s="104"/>
      <c r="D1153" s="104"/>
      <c r="E1153" s="104"/>
      <c r="F1153" s="104"/>
      <c r="G1153" s="40"/>
    </row>
    <row r="1154" spans="1:7" ht="12.75" hidden="1" customHeight="1">
      <c r="A1154" s="269" t="s">
        <v>473</v>
      </c>
      <c r="B1154" s="269"/>
      <c r="C1154" s="269"/>
      <c r="D1154" s="269"/>
      <c r="E1154" s="269"/>
      <c r="F1154" s="269"/>
      <c r="G1154" s="40"/>
    </row>
    <row r="1155" spans="1:7" ht="12.75" hidden="1" customHeight="1">
      <c r="A1155" s="42" t="s">
        <v>86</v>
      </c>
      <c r="B1155" s="43" t="s">
        <v>87</v>
      </c>
      <c r="C1155" s="43" t="s">
        <v>88</v>
      </c>
      <c r="D1155" s="43" t="s">
        <v>89</v>
      </c>
      <c r="E1155" s="43" t="s">
        <v>90</v>
      </c>
      <c r="F1155" s="43" t="s">
        <v>91</v>
      </c>
      <c r="G1155" s="40"/>
    </row>
    <row r="1156" spans="1:7" ht="12.75" hidden="1" customHeight="1">
      <c r="A1156" s="39" t="s">
        <v>1</v>
      </c>
      <c r="B1156" s="43"/>
      <c r="C1156" s="44"/>
      <c r="D1156" s="44"/>
      <c r="E1156" s="44"/>
      <c r="F1156" s="44"/>
      <c r="G1156" s="40"/>
    </row>
    <row r="1157" spans="1:7" ht="12.75" hidden="1" customHeight="1">
      <c r="A1157" s="39" t="s">
        <v>2</v>
      </c>
      <c r="B1157" s="43"/>
      <c r="C1157" s="44"/>
      <c r="D1157" s="44"/>
      <c r="E1157" s="44"/>
      <c r="F1157" s="44"/>
      <c r="G1157" s="40"/>
    </row>
    <row r="1158" spans="1:7" ht="12.75" hidden="1" customHeight="1">
      <c r="A1158" s="39" t="s">
        <v>92</v>
      </c>
      <c r="B1158" s="43"/>
      <c r="C1158" s="44"/>
      <c r="D1158" s="44"/>
      <c r="E1158" s="44"/>
      <c r="F1158" s="44"/>
      <c r="G1158" s="40"/>
    </row>
    <row r="1159" spans="1:7" ht="12.75" hidden="1" customHeight="1">
      <c r="A1159" s="39" t="s">
        <v>93</v>
      </c>
      <c r="B1159" s="43"/>
      <c r="C1159" s="44"/>
      <c r="D1159" s="44"/>
      <c r="E1159" s="44"/>
      <c r="F1159" s="44"/>
      <c r="G1159" s="40"/>
    </row>
    <row r="1160" spans="1:7" ht="12.75" hidden="1" customHeight="1">
      <c r="A1160" s="39" t="s">
        <v>94</v>
      </c>
      <c r="B1160" s="43"/>
      <c r="C1160" s="44"/>
      <c r="D1160" s="44"/>
      <c r="E1160" s="44"/>
      <c r="F1160" s="44"/>
      <c r="G1160" s="40"/>
    </row>
    <row r="1161" spans="1:7" ht="12.75" hidden="1" customHeight="1">
      <c r="A1161" s="39" t="s">
        <v>95</v>
      </c>
      <c r="B1161" s="43"/>
      <c r="C1161" s="44"/>
      <c r="D1161" s="44"/>
      <c r="E1161" s="44"/>
      <c r="F1161" s="44"/>
      <c r="G1161" s="40"/>
    </row>
    <row r="1162" spans="1:7" ht="12.75" hidden="1" customHeight="1">
      <c r="A1162" s="39" t="s">
        <v>96</v>
      </c>
      <c r="B1162" s="43"/>
      <c r="C1162" s="44"/>
      <c r="D1162" s="44"/>
      <c r="E1162" s="44"/>
      <c r="F1162" s="44"/>
      <c r="G1162" s="40"/>
    </row>
    <row r="1163" spans="1:7" ht="12.75" hidden="1" customHeight="1">
      <c r="A1163" s="39" t="s">
        <v>97</v>
      </c>
      <c r="B1163" s="43"/>
      <c r="C1163" s="44"/>
      <c r="D1163" s="44"/>
      <c r="E1163" s="44"/>
      <c r="F1163" s="44"/>
      <c r="G1163" s="40"/>
    </row>
    <row r="1164" spans="1:7" ht="12.75" hidden="1" customHeight="1">
      <c r="A1164" s="39" t="s">
        <v>98</v>
      </c>
      <c r="B1164" s="43"/>
      <c r="C1164" s="44"/>
      <c r="D1164" s="44"/>
      <c r="E1164" s="44"/>
      <c r="F1164" s="44"/>
      <c r="G1164" s="40"/>
    </row>
    <row r="1165" spans="1:7" ht="12.75" hidden="1" customHeight="1">
      <c r="A1165" s="39" t="s">
        <v>99</v>
      </c>
      <c r="B1165" s="43"/>
      <c r="C1165" s="44"/>
      <c r="D1165" s="44"/>
      <c r="E1165" s="44"/>
      <c r="F1165" s="44"/>
      <c r="G1165" s="40"/>
    </row>
    <row r="1166" spans="1:7" ht="12.75" hidden="1" customHeight="1">
      <c r="A1166" s="39" t="s">
        <v>100</v>
      </c>
      <c r="B1166" s="45"/>
      <c r="C1166" s="44"/>
      <c r="D1166" s="44"/>
      <c r="E1166" s="44"/>
      <c r="F1166" s="44"/>
      <c r="G1166" s="40"/>
    </row>
    <row r="1167" spans="1:7" ht="12.75" hidden="1" customHeight="1">
      <c r="A1167" s="39" t="s">
        <v>101</v>
      </c>
      <c r="B1167" s="43"/>
      <c r="C1167" s="44"/>
      <c r="D1167" s="44"/>
      <c r="E1167" s="44"/>
      <c r="F1167" s="44"/>
      <c r="G1167" s="40"/>
    </row>
    <row r="1168" spans="1:7" ht="12.75" hidden="1" customHeight="1">
      <c r="A1168" s="39" t="s">
        <v>102</v>
      </c>
      <c r="B1168" s="43">
        <v>4</v>
      </c>
      <c r="C1168" s="66">
        <f>B1168/B$1218*C$1211</f>
        <v>4834.132356020943</v>
      </c>
      <c r="D1168" s="66">
        <f>B1168/B$1218*D$1211</f>
        <v>3293.0764397905759</v>
      </c>
      <c r="E1168" s="66">
        <f>B1168/B$1218*E$1211</f>
        <v>6821.1863036649211</v>
      </c>
      <c r="F1168" s="44">
        <f>SUM(C1168:E1168)</f>
        <v>14948.39509947644</v>
      </c>
      <c r="G1168" s="40"/>
    </row>
    <row r="1169" spans="1:7" ht="12.75" hidden="1" customHeight="1">
      <c r="A1169" s="39" t="s">
        <v>103</v>
      </c>
      <c r="B1169" s="43"/>
      <c r="C1169" s="44">
        <f t="shared" ref="C1169:C1206" si="47">B1169/B$1218*C$1211</f>
        <v>0</v>
      </c>
      <c r="D1169" s="44">
        <f t="shared" ref="D1169:D1206" si="48">B1169/B$1218*D$1211</f>
        <v>0</v>
      </c>
      <c r="E1169" s="44">
        <f t="shared" ref="E1169:E1206" si="49">B1169/B$1218*E$1211</f>
        <v>0</v>
      </c>
      <c r="F1169" s="44">
        <f t="shared" ref="F1169:F1210" si="50">SUM(C1169:E1169)</f>
        <v>0</v>
      </c>
      <c r="G1169" s="40"/>
    </row>
    <row r="1170" spans="1:7" ht="12.75" hidden="1" customHeight="1">
      <c r="A1170" s="39" t="s">
        <v>104</v>
      </c>
      <c r="B1170" s="41"/>
      <c r="C1170" s="44">
        <f t="shared" si="47"/>
        <v>0</v>
      </c>
      <c r="D1170" s="44">
        <f t="shared" si="48"/>
        <v>0</v>
      </c>
      <c r="E1170" s="44">
        <f t="shared" si="49"/>
        <v>0</v>
      </c>
      <c r="F1170" s="44">
        <f t="shared" si="50"/>
        <v>0</v>
      </c>
      <c r="G1170" s="40"/>
    </row>
    <row r="1171" spans="1:7" ht="12.75" hidden="1" customHeight="1">
      <c r="A1171" s="39" t="s">
        <v>105</v>
      </c>
      <c r="B1171" s="43"/>
      <c r="C1171" s="44">
        <f t="shared" si="47"/>
        <v>0</v>
      </c>
      <c r="D1171" s="44">
        <f t="shared" si="48"/>
        <v>0</v>
      </c>
      <c r="E1171" s="44">
        <f t="shared" si="49"/>
        <v>0</v>
      </c>
      <c r="F1171" s="44">
        <f t="shared" si="50"/>
        <v>0</v>
      </c>
      <c r="G1171" s="40"/>
    </row>
    <row r="1172" spans="1:7" ht="12.75" hidden="1" customHeight="1">
      <c r="A1172" s="39" t="s">
        <v>106</v>
      </c>
      <c r="B1172" s="43"/>
      <c r="C1172" s="44">
        <f t="shared" si="47"/>
        <v>0</v>
      </c>
      <c r="D1172" s="44">
        <f t="shared" si="48"/>
        <v>0</v>
      </c>
      <c r="E1172" s="44">
        <f t="shared" si="49"/>
        <v>0</v>
      </c>
      <c r="F1172" s="44">
        <f t="shared" si="50"/>
        <v>0</v>
      </c>
      <c r="G1172" s="40"/>
    </row>
    <row r="1173" spans="1:7" ht="12.75" hidden="1" customHeight="1">
      <c r="A1173" s="39" t="s">
        <v>107</v>
      </c>
      <c r="B1173" s="43"/>
      <c r="C1173" s="44">
        <f t="shared" si="47"/>
        <v>0</v>
      </c>
      <c r="D1173" s="44">
        <f t="shared" si="48"/>
        <v>0</v>
      </c>
      <c r="E1173" s="44">
        <f t="shared" si="49"/>
        <v>0</v>
      </c>
      <c r="F1173" s="44">
        <f t="shared" si="50"/>
        <v>0</v>
      </c>
      <c r="G1173" s="40"/>
    </row>
    <row r="1174" spans="1:7" ht="12.75" hidden="1" customHeight="1">
      <c r="A1174" s="39" t="s">
        <v>108</v>
      </c>
      <c r="B1174" s="45">
        <v>23</v>
      </c>
      <c r="C1174" s="66">
        <f t="shared" si="47"/>
        <v>27796.261047120421</v>
      </c>
      <c r="D1174" s="66">
        <f t="shared" si="48"/>
        <v>18935.18952879581</v>
      </c>
      <c r="E1174" s="66">
        <f t="shared" si="49"/>
        <v>39221.82124607329</v>
      </c>
      <c r="F1174" s="44">
        <f t="shared" si="50"/>
        <v>85953.271821989518</v>
      </c>
      <c r="G1174" s="40"/>
    </row>
    <row r="1175" spans="1:7" ht="12.75" hidden="1" customHeight="1">
      <c r="A1175" s="39" t="s">
        <v>109</v>
      </c>
      <c r="B1175" s="43"/>
      <c r="C1175" s="44">
        <f t="shared" si="47"/>
        <v>0</v>
      </c>
      <c r="D1175" s="44">
        <f t="shared" si="48"/>
        <v>0</v>
      </c>
      <c r="E1175" s="44">
        <f t="shared" si="49"/>
        <v>0</v>
      </c>
      <c r="F1175" s="44">
        <f t="shared" si="50"/>
        <v>0</v>
      </c>
      <c r="G1175" s="40"/>
    </row>
    <row r="1176" spans="1:7" ht="12.75" hidden="1" customHeight="1">
      <c r="A1176" s="39" t="s">
        <v>110</v>
      </c>
      <c r="B1176" s="43"/>
      <c r="C1176" s="44">
        <f t="shared" si="47"/>
        <v>0</v>
      </c>
      <c r="D1176" s="44">
        <f t="shared" si="48"/>
        <v>0</v>
      </c>
      <c r="E1176" s="44">
        <f t="shared" si="49"/>
        <v>0</v>
      </c>
      <c r="F1176" s="44">
        <f t="shared" si="50"/>
        <v>0</v>
      </c>
      <c r="G1176" s="40"/>
    </row>
    <row r="1177" spans="1:7" ht="12.75" hidden="1" customHeight="1">
      <c r="A1177" s="39" t="s">
        <v>407</v>
      </c>
      <c r="B1177" s="45"/>
      <c r="C1177" s="44">
        <f t="shared" si="47"/>
        <v>0</v>
      </c>
      <c r="D1177" s="44">
        <f t="shared" si="48"/>
        <v>0</v>
      </c>
      <c r="E1177" s="44">
        <f t="shared" si="49"/>
        <v>0</v>
      </c>
      <c r="F1177" s="44">
        <f t="shared" si="50"/>
        <v>0</v>
      </c>
      <c r="G1177" s="40"/>
    </row>
    <row r="1178" spans="1:7" ht="12.75" hidden="1" customHeight="1">
      <c r="A1178" s="39" t="s">
        <v>408</v>
      </c>
      <c r="B1178" s="45"/>
      <c r="C1178" s="44">
        <f t="shared" si="47"/>
        <v>0</v>
      </c>
      <c r="D1178" s="44">
        <f t="shared" si="48"/>
        <v>0</v>
      </c>
      <c r="E1178" s="44">
        <f t="shared" si="49"/>
        <v>0</v>
      </c>
      <c r="F1178" s="44">
        <f t="shared" si="50"/>
        <v>0</v>
      </c>
      <c r="G1178" s="40"/>
    </row>
    <row r="1179" spans="1:7" ht="12.75" hidden="1" customHeight="1">
      <c r="A1179" s="39" t="s">
        <v>409</v>
      </c>
      <c r="B1179" s="43"/>
      <c r="C1179" s="44">
        <f t="shared" si="47"/>
        <v>0</v>
      </c>
      <c r="D1179" s="44">
        <f t="shared" si="48"/>
        <v>0</v>
      </c>
      <c r="E1179" s="44">
        <f t="shared" si="49"/>
        <v>0</v>
      </c>
      <c r="F1179" s="44">
        <f t="shared" si="50"/>
        <v>0</v>
      </c>
      <c r="G1179" s="40"/>
    </row>
    <row r="1180" spans="1:7" ht="12.75" hidden="1" customHeight="1">
      <c r="A1180" s="39" t="s">
        <v>501</v>
      </c>
      <c r="B1180" s="43">
        <v>11</v>
      </c>
      <c r="C1180" s="66">
        <f t="shared" si="47"/>
        <v>13293.863979057591</v>
      </c>
      <c r="D1180" s="66">
        <f t="shared" si="48"/>
        <v>9055.9602094240836</v>
      </c>
      <c r="E1180" s="66">
        <f t="shared" si="49"/>
        <v>18758.262335078529</v>
      </c>
      <c r="F1180" s="44">
        <f t="shared" si="50"/>
        <v>41108.086523560203</v>
      </c>
      <c r="G1180" s="40"/>
    </row>
    <row r="1181" spans="1:7" ht="12.75" hidden="1" customHeight="1">
      <c r="A1181" s="39" t="s">
        <v>115</v>
      </c>
      <c r="B1181" s="43"/>
      <c r="C1181" s="44">
        <f t="shared" si="47"/>
        <v>0</v>
      </c>
      <c r="D1181" s="44">
        <f t="shared" si="48"/>
        <v>0</v>
      </c>
      <c r="E1181" s="44">
        <f t="shared" si="49"/>
        <v>0</v>
      </c>
      <c r="F1181" s="44">
        <f t="shared" si="50"/>
        <v>0</v>
      </c>
      <c r="G1181" s="40"/>
    </row>
    <row r="1182" spans="1:7" ht="12.75" hidden="1" customHeight="1">
      <c r="A1182" s="39" t="s">
        <v>116</v>
      </c>
      <c r="B1182" s="43"/>
      <c r="C1182" s="44">
        <f t="shared" si="47"/>
        <v>0</v>
      </c>
      <c r="D1182" s="44">
        <f t="shared" si="48"/>
        <v>0</v>
      </c>
      <c r="E1182" s="44">
        <f t="shared" si="49"/>
        <v>0</v>
      </c>
      <c r="F1182" s="44">
        <f t="shared" si="50"/>
        <v>0</v>
      </c>
      <c r="G1182" s="40"/>
    </row>
    <row r="1183" spans="1:7" ht="12.75" hidden="1" customHeight="1">
      <c r="A1183" s="39" t="s">
        <v>117</v>
      </c>
      <c r="B1183" s="43"/>
      <c r="C1183" s="44">
        <f t="shared" si="47"/>
        <v>0</v>
      </c>
      <c r="D1183" s="44">
        <f t="shared" si="48"/>
        <v>0</v>
      </c>
      <c r="E1183" s="44">
        <f t="shared" si="49"/>
        <v>0</v>
      </c>
      <c r="F1183" s="44">
        <f t="shared" si="50"/>
        <v>0</v>
      </c>
      <c r="G1183" s="40"/>
    </row>
    <row r="1184" spans="1:7" ht="12.75" hidden="1" customHeight="1">
      <c r="A1184" s="39" t="s">
        <v>118</v>
      </c>
      <c r="B1184" s="45"/>
      <c r="C1184" s="44">
        <f t="shared" si="47"/>
        <v>0</v>
      </c>
      <c r="D1184" s="44">
        <f t="shared" si="48"/>
        <v>0</v>
      </c>
      <c r="E1184" s="44">
        <f t="shared" si="49"/>
        <v>0</v>
      </c>
      <c r="F1184" s="44">
        <f t="shared" si="50"/>
        <v>0</v>
      </c>
      <c r="G1184" s="40"/>
    </row>
    <row r="1185" spans="1:7" ht="12.75" hidden="1" customHeight="1">
      <c r="A1185" s="39" t="s">
        <v>119</v>
      </c>
      <c r="B1185" s="43"/>
      <c r="C1185" s="44">
        <f t="shared" si="47"/>
        <v>0</v>
      </c>
      <c r="D1185" s="44">
        <f t="shared" si="48"/>
        <v>0</v>
      </c>
      <c r="E1185" s="44">
        <f t="shared" si="49"/>
        <v>0</v>
      </c>
      <c r="F1185" s="44">
        <f t="shared" si="50"/>
        <v>0</v>
      </c>
      <c r="G1185" s="40"/>
    </row>
    <row r="1186" spans="1:7" ht="12.75" hidden="1" customHeight="1">
      <c r="A1186" s="39" t="s">
        <v>120</v>
      </c>
      <c r="B1186" s="45">
        <v>19</v>
      </c>
      <c r="C1186" s="66">
        <f t="shared" si="47"/>
        <v>22962.128691099475</v>
      </c>
      <c r="D1186" s="66">
        <f t="shared" si="48"/>
        <v>15642.113089005234</v>
      </c>
      <c r="E1186" s="66">
        <f t="shared" si="49"/>
        <v>32400.634942408371</v>
      </c>
      <c r="F1186" s="44">
        <f t="shared" si="50"/>
        <v>71004.876722513087</v>
      </c>
      <c r="G1186" s="40"/>
    </row>
    <row r="1187" spans="1:7" ht="12.75" hidden="1" customHeight="1">
      <c r="A1187" s="39" t="s">
        <v>121</v>
      </c>
      <c r="B1187" s="45">
        <v>4.5</v>
      </c>
      <c r="C1187" s="66">
        <f t="shared" si="47"/>
        <v>5438.3989005235608</v>
      </c>
      <c r="D1187" s="66">
        <f t="shared" si="48"/>
        <v>3704.710994764398</v>
      </c>
      <c r="E1187" s="66">
        <f t="shared" si="49"/>
        <v>7673.8345916230355</v>
      </c>
      <c r="F1187" s="44">
        <f t="shared" si="50"/>
        <v>16816.944486910994</v>
      </c>
      <c r="G1187" s="40"/>
    </row>
    <row r="1188" spans="1:7" ht="12.75" hidden="1" customHeight="1">
      <c r="A1188" s="39" t="s">
        <v>122</v>
      </c>
      <c r="B1188" s="43">
        <v>3</v>
      </c>
      <c r="C1188" s="66">
        <f t="shared" si="47"/>
        <v>3625.5992670157066</v>
      </c>
      <c r="D1188" s="66">
        <f t="shared" si="48"/>
        <v>2469.8073298429317</v>
      </c>
      <c r="E1188" s="66">
        <f t="shared" si="49"/>
        <v>5115.8897277486903</v>
      </c>
      <c r="F1188" s="44">
        <f t="shared" si="50"/>
        <v>11211.296324607329</v>
      </c>
      <c r="G1188" s="40"/>
    </row>
    <row r="1189" spans="1:7" ht="12.75" hidden="1" customHeight="1">
      <c r="A1189" s="39" t="s">
        <v>123</v>
      </c>
      <c r="B1189" s="43"/>
      <c r="C1189" s="44">
        <f t="shared" si="47"/>
        <v>0</v>
      </c>
      <c r="D1189" s="44">
        <f t="shared" si="48"/>
        <v>0</v>
      </c>
      <c r="E1189" s="44">
        <f t="shared" si="49"/>
        <v>0</v>
      </c>
      <c r="F1189" s="44">
        <f t="shared" si="50"/>
        <v>0</v>
      </c>
      <c r="G1189" s="40"/>
    </row>
    <row r="1190" spans="1:7" ht="12.75" hidden="1" customHeight="1">
      <c r="A1190" s="39" t="s">
        <v>124</v>
      </c>
      <c r="B1190" s="43"/>
      <c r="C1190" s="44">
        <f t="shared" si="47"/>
        <v>0</v>
      </c>
      <c r="D1190" s="44">
        <f t="shared" si="48"/>
        <v>0</v>
      </c>
      <c r="E1190" s="44">
        <f t="shared" si="49"/>
        <v>0</v>
      </c>
      <c r="F1190" s="44">
        <f t="shared" si="50"/>
        <v>0</v>
      </c>
      <c r="G1190" s="40"/>
    </row>
    <row r="1191" spans="1:7" ht="12.75" hidden="1" customHeight="1">
      <c r="A1191" s="39" t="s">
        <v>125</v>
      </c>
      <c r="B1191" s="43"/>
      <c r="C1191" s="44">
        <f t="shared" si="47"/>
        <v>0</v>
      </c>
      <c r="D1191" s="44">
        <f t="shared" si="48"/>
        <v>0</v>
      </c>
      <c r="E1191" s="44">
        <f t="shared" si="49"/>
        <v>0</v>
      </c>
      <c r="F1191" s="44">
        <f t="shared" si="50"/>
        <v>0</v>
      </c>
      <c r="G1191" s="40"/>
    </row>
    <row r="1192" spans="1:7" ht="12.75" hidden="1" customHeight="1">
      <c r="A1192" s="39" t="s">
        <v>126</v>
      </c>
      <c r="B1192" s="45">
        <v>8</v>
      </c>
      <c r="C1192" s="66">
        <f t="shared" si="47"/>
        <v>9668.264712041886</v>
      </c>
      <c r="D1192" s="66">
        <f t="shared" si="48"/>
        <v>6586.1528795811519</v>
      </c>
      <c r="E1192" s="66">
        <f t="shared" si="49"/>
        <v>13642.372607329842</v>
      </c>
      <c r="F1192" s="44">
        <f t="shared" si="50"/>
        <v>29896.79019895288</v>
      </c>
      <c r="G1192" s="40"/>
    </row>
    <row r="1193" spans="1:7" ht="12.75" hidden="1" customHeight="1">
      <c r="A1193" s="39" t="s">
        <v>127</v>
      </c>
      <c r="B1193" s="43"/>
      <c r="C1193" s="44">
        <f t="shared" si="47"/>
        <v>0</v>
      </c>
      <c r="D1193" s="44">
        <f t="shared" si="48"/>
        <v>0</v>
      </c>
      <c r="E1193" s="44">
        <f t="shared" si="49"/>
        <v>0</v>
      </c>
      <c r="F1193" s="44">
        <f t="shared" si="50"/>
        <v>0</v>
      </c>
      <c r="G1193" s="40"/>
    </row>
    <row r="1194" spans="1:7" ht="12.75" hidden="1" customHeight="1">
      <c r="A1194" s="39" t="s">
        <v>128</v>
      </c>
      <c r="B1194" s="43">
        <v>8.5</v>
      </c>
      <c r="C1194" s="66">
        <f t="shared" si="47"/>
        <v>10272.531256544502</v>
      </c>
      <c r="D1194" s="66">
        <f t="shared" si="48"/>
        <v>6997.7874345549735</v>
      </c>
      <c r="E1194" s="66">
        <f t="shared" si="49"/>
        <v>14495.020895287955</v>
      </c>
      <c r="F1194" s="44">
        <f t="shared" si="50"/>
        <v>31765.339586387432</v>
      </c>
      <c r="G1194" s="40"/>
    </row>
    <row r="1195" spans="1:7" ht="12.75" hidden="1" customHeight="1">
      <c r="A1195" s="39" t="s">
        <v>129</v>
      </c>
      <c r="B1195" s="45"/>
      <c r="C1195" s="44">
        <f t="shared" si="47"/>
        <v>0</v>
      </c>
      <c r="D1195" s="44">
        <f t="shared" si="48"/>
        <v>0</v>
      </c>
      <c r="E1195" s="44">
        <f t="shared" si="49"/>
        <v>0</v>
      </c>
      <c r="F1195" s="44">
        <f t="shared" si="50"/>
        <v>0</v>
      </c>
      <c r="G1195" s="40"/>
    </row>
    <row r="1196" spans="1:7" ht="12.75" hidden="1" customHeight="1">
      <c r="A1196" s="39" t="s">
        <v>130</v>
      </c>
      <c r="B1196" s="45"/>
      <c r="C1196" s="44">
        <f t="shared" si="47"/>
        <v>0</v>
      </c>
      <c r="D1196" s="44">
        <f t="shared" si="48"/>
        <v>0</v>
      </c>
      <c r="E1196" s="44">
        <f t="shared" si="49"/>
        <v>0</v>
      </c>
      <c r="F1196" s="44">
        <f t="shared" si="50"/>
        <v>0</v>
      </c>
      <c r="G1196" s="40"/>
    </row>
    <row r="1197" spans="1:7" ht="12.75" hidden="1" customHeight="1">
      <c r="A1197" s="39" t="s">
        <v>131</v>
      </c>
      <c r="B1197" s="45"/>
      <c r="C1197" s="44">
        <f t="shared" si="47"/>
        <v>0</v>
      </c>
      <c r="D1197" s="44">
        <f t="shared" si="48"/>
        <v>0</v>
      </c>
      <c r="E1197" s="44">
        <f t="shared" si="49"/>
        <v>0</v>
      </c>
      <c r="F1197" s="44">
        <f t="shared" si="50"/>
        <v>0</v>
      </c>
      <c r="G1197" s="40"/>
    </row>
    <row r="1198" spans="1:7" ht="12.75" hidden="1" customHeight="1">
      <c r="A1198" s="39" t="s">
        <v>132</v>
      </c>
      <c r="B1198" s="43"/>
      <c r="C1198" s="44">
        <f t="shared" si="47"/>
        <v>0</v>
      </c>
      <c r="D1198" s="44">
        <f t="shared" si="48"/>
        <v>0</v>
      </c>
      <c r="E1198" s="44">
        <f t="shared" si="49"/>
        <v>0</v>
      </c>
      <c r="F1198" s="44">
        <f t="shared" si="50"/>
        <v>0</v>
      </c>
      <c r="G1198" s="40"/>
    </row>
    <row r="1199" spans="1:7" ht="12.75" hidden="1" customHeight="1">
      <c r="A1199" s="39" t="s">
        <v>133</v>
      </c>
      <c r="B1199" s="43">
        <v>8</v>
      </c>
      <c r="C1199" s="66">
        <f t="shared" si="47"/>
        <v>9668.264712041886</v>
      </c>
      <c r="D1199" s="66">
        <f t="shared" si="48"/>
        <v>6586.1528795811519</v>
      </c>
      <c r="E1199" s="66">
        <f t="shared" si="49"/>
        <v>13642.372607329842</v>
      </c>
      <c r="F1199" s="44">
        <f t="shared" si="50"/>
        <v>29896.79019895288</v>
      </c>
      <c r="G1199" s="40"/>
    </row>
    <row r="1200" spans="1:7" ht="12.75" hidden="1" customHeight="1">
      <c r="A1200" s="39" t="s">
        <v>134</v>
      </c>
      <c r="B1200" s="45"/>
      <c r="C1200" s="44">
        <f t="shared" si="47"/>
        <v>0</v>
      </c>
      <c r="D1200" s="44">
        <f t="shared" si="48"/>
        <v>0</v>
      </c>
      <c r="E1200" s="44">
        <f t="shared" si="49"/>
        <v>0</v>
      </c>
      <c r="F1200" s="44">
        <f t="shared" si="50"/>
        <v>0</v>
      </c>
      <c r="G1200" s="40"/>
    </row>
    <row r="1201" spans="1:7" ht="12.75" hidden="1" customHeight="1">
      <c r="A1201" s="39" t="s">
        <v>135</v>
      </c>
      <c r="B1201" s="45">
        <v>3</v>
      </c>
      <c r="C1201" s="66">
        <f t="shared" si="47"/>
        <v>3625.5992670157066</v>
      </c>
      <c r="D1201" s="66">
        <f t="shared" si="48"/>
        <v>2469.8073298429317</v>
      </c>
      <c r="E1201" s="66">
        <f t="shared" si="49"/>
        <v>5115.8897277486903</v>
      </c>
      <c r="F1201" s="44">
        <f t="shared" si="50"/>
        <v>11211.296324607329</v>
      </c>
      <c r="G1201" s="40"/>
    </row>
    <row r="1202" spans="1:7" ht="12.75" hidden="1" customHeight="1">
      <c r="A1202" s="39" t="s">
        <v>136</v>
      </c>
      <c r="B1202" s="43"/>
      <c r="C1202" s="44">
        <f t="shared" si="47"/>
        <v>0</v>
      </c>
      <c r="D1202" s="44">
        <f t="shared" si="48"/>
        <v>0</v>
      </c>
      <c r="E1202" s="44">
        <f t="shared" si="49"/>
        <v>0</v>
      </c>
      <c r="F1202" s="44">
        <f t="shared" si="50"/>
        <v>0</v>
      </c>
      <c r="G1202" s="40"/>
    </row>
    <row r="1203" spans="1:7" ht="12.75" hidden="1" customHeight="1">
      <c r="A1203" s="39" t="s">
        <v>137</v>
      </c>
      <c r="B1203" s="45"/>
      <c r="C1203" s="44">
        <f t="shared" si="47"/>
        <v>0</v>
      </c>
      <c r="D1203" s="44">
        <f t="shared" si="48"/>
        <v>0</v>
      </c>
      <c r="E1203" s="44">
        <f t="shared" si="49"/>
        <v>0</v>
      </c>
      <c r="F1203" s="44">
        <f t="shared" si="50"/>
        <v>0</v>
      </c>
      <c r="G1203" s="40"/>
    </row>
    <row r="1204" spans="1:7" ht="12.75" hidden="1" customHeight="1">
      <c r="A1204" s="39" t="s">
        <v>138</v>
      </c>
      <c r="B1204" s="45"/>
      <c r="C1204" s="44">
        <f t="shared" si="47"/>
        <v>0</v>
      </c>
      <c r="D1204" s="44">
        <f t="shared" si="48"/>
        <v>0</v>
      </c>
      <c r="E1204" s="44">
        <f t="shared" si="49"/>
        <v>0</v>
      </c>
      <c r="F1204" s="44">
        <f t="shared" si="50"/>
        <v>0</v>
      </c>
      <c r="G1204" s="40"/>
    </row>
    <row r="1205" spans="1:7" ht="12.75" hidden="1" customHeight="1">
      <c r="A1205" s="39" t="s">
        <v>502</v>
      </c>
      <c r="B1205" s="45"/>
      <c r="C1205" s="44">
        <f t="shared" si="47"/>
        <v>0</v>
      </c>
      <c r="D1205" s="44">
        <f t="shared" si="48"/>
        <v>0</v>
      </c>
      <c r="E1205" s="44">
        <f t="shared" si="49"/>
        <v>0</v>
      </c>
      <c r="F1205" s="44">
        <f t="shared" si="50"/>
        <v>0</v>
      </c>
      <c r="G1205" s="40"/>
    </row>
    <row r="1206" spans="1:7" ht="12.75" hidden="1" customHeight="1">
      <c r="A1206" s="39" t="s">
        <v>503</v>
      </c>
      <c r="B1206" s="45">
        <v>3.5</v>
      </c>
      <c r="C1206" s="66">
        <f t="shared" si="47"/>
        <v>4229.8658115183243</v>
      </c>
      <c r="D1206" s="66">
        <f t="shared" si="48"/>
        <v>2881.4418848167534</v>
      </c>
      <c r="E1206" s="66">
        <f t="shared" si="49"/>
        <v>5968.5380157068048</v>
      </c>
      <c r="F1206" s="44">
        <f t="shared" si="50"/>
        <v>13079.845712041883</v>
      </c>
      <c r="G1206" s="40"/>
    </row>
    <row r="1207" spans="1:7" ht="12.75" hidden="1" customHeight="1">
      <c r="A1207" s="46" t="s">
        <v>140</v>
      </c>
      <c r="B1207" s="45"/>
      <c r="C1207" s="44"/>
      <c r="D1207" s="44"/>
      <c r="E1207" s="44"/>
      <c r="F1207" s="44">
        <f t="shared" si="50"/>
        <v>0</v>
      </c>
      <c r="G1207" s="40"/>
    </row>
    <row r="1208" spans="1:7" ht="12.75" hidden="1" customHeight="1">
      <c r="A1208" s="46" t="s">
        <v>141</v>
      </c>
      <c r="B1208" s="45"/>
      <c r="C1208" s="44"/>
      <c r="D1208" s="44"/>
      <c r="E1208" s="44"/>
      <c r="F1208" s="44">
        <f t="shared" si="50"/>
        <v>0</v>
      </c>
      <c r="G1208" s="40"/>
    </row>
    <row r="1209" spans="1:7" ht="12.75" hidden="1" customHeight="1">
      <c r="A1209" s="46" t="s">
        <v>142</v>
      </c>
      <c r="B1209" s="45"/>
      <c r="C1209" s="44"/>
      <c r="D1209" s="44"/>
      <c r="E1209" s="44"/>
      <c r="F1209" s="44">
        <f t="shared" si="50"/>
        <v>0</v>
      </c>
      <c r="G1209" s="40"/>
    </row>
    <row r="1210" spans="1:7" ht="12.75" hidden="1" customHeight="1">
      <c r="A1210" s="46" t="s">
        <v>143</v>
      </c>
      <c r="B1210" s="45"/>
      <c r="C1210" s="44"/>
      <c r="D1210" s="44"/>
      <c r="E1210" s="44"/>
      <c r="F1210" s="44">
        <f t="shared" si="50"/>
        <v>0</v>
      </c>
      <c r="G1210" s="40"/>
    </row>
    <row r="1211" spans="1:7" ht="12.75" hidden="1" customHeight="1">
      <c r="A1211" s="46" t="s">
        <v>144</v>
      </c>
      <c r="B1211" s="45"/>
      <c r="C1211" s="44">
        <v>115414.91</v>
      </c>
      <c r="D1211" s="44">
        <v>78622.2</v>
      </c>
      <c r="E1211" s="44">
        <f>E1218-E1217</f>
        <v>162855.82299999997</v>
      </c>
      <c r="F1211" s="44">
        <f>SUM(C1211:E1211)</f>
        <v>356892.93299999996</v>
      </c>
      <c r="G1211" s="40"/>
    </row>
    <row r="1212" spans="1:7" ht="12.75" hidden="1" customHeight="1">
      <c r="A1212" s="46" t="s">
        <v>145</v>
      </c>
      <c r="B1212" s="45"/>
      <c r="C1212" s="44"/>
      <c r="D1212" s="44"/>
      <c r="E1212" s="44"/>
      <c r="F1212" s="44"/>
      <c r="G1212" s="40"/>
    </row>
    <row r="1213" spans="1:7" ht="12.75" hidden="1" customHeight="1">
      <c r="A1213" s="46" t="s">
        <v>146</v>
      </c>
      <c r="B1213" s="45"/>
      <c r="C1213" s="44"/>
      <c r="D1213" s="44"/>
      <c r="E1213" s="44"/>
      <c r="F1213" s="44"/>
      <c r="G1213" s="40"/>
    </row>
    <row r="1214" spans="1:7" ht="12.75" hidden="1" customHeight="1">
      <c r="A1214" s="46" t="s">
        <v>147</v>
      </c>
      <c r="B1214" s="45"/>
      <c r="C1214" s="44"/>
      <c r="D1214" s="44"/>
      <c r="E1214" s="44"/>
      <c r="F1214" s="44"/>
      <c r="G1214" s="40"/>
    </row>
    <row r="1215" spans="1:7" ht="12.75" hidden="1" customHeight="1">
      <c r="A1215" s="46" t="s">
        <v>148</v>
      </c>
      <c r="B1215" s="45"/>
      <c r="C1215" s="44"/>
      <c r="D1215" s="44"/>
      <c r="E1215" s="44"/>
      <c r="F1215" s="44"/>
      <c r="G1215" s="40"/>
    </row>
    <row r="1216" spans="1:7" ht="12.75" hidden="1" customHeight="1">
      <c r="A1216" s="46" t="s">
        <v>149</v>
      </c>
      <c r="B1216" s="47"/>
      <c r="C1216" s="44"/>
      <c r="D1216" s="44"/>
      <c r="E1216" s="44"/>
      <c r="F1216" s="44"/>
      <c r="G1216" s="40"/>
    </row>
    <row r="1217" spans="1:7" s="183" customFormat="1" ht="12.75" hidden="1" customHeight="1">
      <c r="A1217" s="253" t="s">
        <v>406</v>
      </c>
      <c r="B1217" s="254"/>
      <c r="C1217" s="181">
        <v>0</v>
      </c>
      <c r="D1217" s="181">
        <v>0</v>
      </c>
      <c r="E1217" s="181">
        <f>27/30*160119.13</f>
        <v>144107.217</v>
      </c>
      <c r="F1217" s="181">
        <f>SUM(C1217:E1217)</f>
        <v>144107.217</v>
      </c>
      <c r="G1217" s="255"/>
    </row>
    <row r="1218" spans="1:7" ht="12.75" hidden="1" customHeight="1">
      <c r="A1218" s="48" t="s">
        <v>150</v>
      </c>
      <c r="B1218" s="48">
        <f>SUM(B1156:B1217)</f>
        <v>95.5</v>
      </c>
      <c r="C1218" s="49">
        <f>115414.91</f>
        <v>115414.91</v>
      </c>
      <c r="D1218" s="50">
        <f>4554+16302+1791+51558+4417.2</f>
        <v>78622.2</v>
      </c>
      <c r="E1218" s="50">
        <v>306963.03999999998</v>
      </c>
      <c r="F1218" s="50">
        <f>SUM(C1218:E1218)</f>
        <v>501000.14999999997</v>
      </c>
      <c r="G1218" s="40"/>
    </row>
    <row r="1219" spans="1:7" ht="12.75" hidden="1" customHeight="1">
      <c r="A1219" s="63"/>
      <c r="B1219" s="106"/>
      <c r="C1219" s="106"/>
      <c r="D1219" s="106"/>
      <c r="E1219" s="106"/>
      <c r="F1219" s="106"/>
      <c r="G1219" s="107"/>
    </row>
    <row r="1220" spans="1:7" ht="12.75" hidden="1" customHeight="1">
      <c r="A1220" s="51"/>
      <c r="B1220" s="52"/>
      <c r="C1220" s="51"/>
      <c r="D1220" s="51"/>
      <c r="E1220" s="52"/>
      <c r="F1220" s="51"/>
      <c r="G1220" s="40"/>
    </row>
    <row r="1221" spans="1:7" ht="12.75" hidden="1" customHeight="1">
      <c r="A1221" s="51"/>
      <c r="B1221" s="52"/>
      <c r="C1221" s="51"/>
      <c r="D1221" s="51"/>
      <c r="E1221" s="52"/>
      <c r="F1221" s="51"/>
      <c r="G1221" s="40"/>
    </row>
    <row r="1222" spans="1:7" ht="12.75" hidden="1" customHeight="1">
      <c r="A1222" s="51"/>
      <c r="B1222" s="52"/>
      <c r="C1222" s="51"/>
      <c r="D1222" s="51"/>
      <c r="E1222" s="52"/>
      <c r="F1222" s="51"/>
      <c r="G1222" s="40"/>
    </row>
    <row r="1223" spans="1:7" ht="12.75" hidden="1" customHeight="1">
      <c r="A1223" s="269" t="s">
        <v>474</v>
      </c>
      <c r="B1223" s="269"/>
      <c r="C1223" s="269"/>
      <c r="D1223" s="269"/>
      <c r="E1223" s="269"/>
      <c r="F1223" s="269"/>
      <c r="G1223" s="40"/>
    </row>
    <row r="1224" spans="1:7" ht="12.75" hidden="1" customHeight="1">
      <c r="A1224" s="43" t="s">
        <v>86</v>
      </c>
      <c r="B1224" s="43" t="s">
        <v>87</v>
      </c>
      <c r="C1224" s="43" t="s">
        <v>88</v>
      </c>
      <c r="D1224" s="43" t="s">
        <v>89</v>
      </c>
      <c r="E1224" s="43" t="s">
        <v>90</v>
      </c>
      <c r="F1224" s="45" t="s">
        <v>152</v>
      </c>
      <c r="G1224" s="43" t="s">
        <v>91</v>
      </c>
    </row>
    <row r="1225" spans="1:7" ht="12.75" hidden="1" customHeight="1">
      <c r="A1225" s="39" t="s">
        <v>153</v>
      </c>
      <c r="B1225" s="43"/>
      <c r="C1225" s="42"/>
      <c r="D1225" s="42"/>
      <c r="E1225" s="42"/>
      <c r="F1225" s="45"/>
      <c r="G1225" s="42"/>
    </row>
    <row r="1226" spans="1:7" ht="12.75" hidden="1" customHeight="1">
      <c r="A1226" s="39" t="s">
        <v>154</v>
      </c>
      <c r="B1226" s="43"/>
      <c r="C1226" s="42"/>
      <c r="D1226" s="42"/>
      <c r="E1226" s="42"/>
      <c r="F1226" s="45"/>
      <c r="G1226" s="42"/>
    </row>
    <row r="1227" spans="1:7" ht="12.75" hidden="1" customHeight="1">
      <c r="A1227" s="39" t="s">
        <v>155</v>
      </c>
      <c r="B1227" s="43"/>
      <c r="C1227" s="42"/>
      <c r="D1227" s="42"/>
      <c r="E1227" s="42"/>
      <c r="F1227" s="45"/>
      <c r="G1227" s="42"/>
    </row>
    <row r="1228" spans="1:7" ht="12.75" hidden="1" customHeight="1">
      <c r="A1228" s="39" t="s">
        <v>156</v>
      </c>
      <c r="B1228" s="43"/>
      <c r="C1228" s="42"/>
      <c r="D1228" s="42"/>
      <c r="E1228" s="42"/>
      <c r="F1228" s="45"/>
      <c r="G1228" s="42"/>
    </row>
    <row r="1229" spans="1:7" ht="12.75" hidden="1" customHeight="1">
      <c r="A1229" s="39" t="s">
        <v>3</v>
      </c>
      <c r="B1229" s="43"/>
      <c r="C1229" s="42"/>
      <c r="D1229" s="42"/>
      <c r="E1229" s="42"/>
      <c r="F1229" s="45"/>
      <c r="G1229" s="42"/>
    </row>
    <row r="1230" spans="1:7" ht="12.75" hidden="1" customHeight="1">
      <c r="A1230" s="39" t="s">
        <v>4</v>
      </c>
      <c r="B1230" s="43"/>
      <c r="C1230" s="42"/>
      <c r="D1230" s="42"/>
      <c r="E1230" s="42"/>
      <c r="F1230" s="45"/>
      <c r="G1230" s="42"/>
    </row>
    <row r="1231" spans="1:7" ht="12.75" hidden="1" customHeight="1">
      <c r="A1231" s="39" t="s">
        <v>5</v>
      </c>
      <c r="B1231" s="43"/>
      <c r="C1231" s="42"/>
      <c r="D1231" s="42"/>
      <c r="E1231" s="42"/>
      <c r="F1231" s="45"/>
      <c r="G1231" s="42"/>
    </row>
    <row r="1232" spans="1:7" ht="12.75" hidden="1" customHeight="1">
      <c r="A1232" s="39" t="s">
        <v>157</v>
      </c>
      <c r="B1232" s="43"/>
      <c r="C1232" s="42"/>
      <c r="D1232" s="42"/>
      <c r="E1232" s="42"/>
      <c r="F1232" s="57"/>
      <c r="G1232" s="42"/>
    </row>
    <row r="1233" spans="1:7" ht="12.75" hidden="1" customHeight="1">
      <c r="A1233" s="39" t="s">
        <v>158</v>
      </c>
      <c r="B1233" s="43"/>
      <c r="C1233" s="42"/>
      <c r="D1233" s="42"/>
      <c r="E1233" s="42"/>
      <c r="F1233" s="57"/>
      <c r="G1233" s="42"/>
    </row>
    <row r="1234" spans="1:7" ht="12.75" hidden="1" customHeight="1">
      <c r="A1234" s="39" t="s">
        <v>159</v>
      </c>
      <c r="B1234" s="43"/>
      <c r="C1234" s="42"/>
      <c r="D1234" s="42"/>
      <c r="E1234" s="42"/>
      <c r="F1234" s="57"/>
      <c r="G1234" s="42"/>
    </row>
    <row r="1235" spans="1:7" ht="12.75" hidden="1" customHeight="1">
      <c r="A1235" s="39" t="s">
        <v>160</v>
      </c>
      <c r="B1235" s="43"/>
      <c r="C1235" s="42"/>
      <c r="D1235" s="42"/>
      <c r="E1235" s="42"/>
      <c r="F1235" s="57"/>
      <c r="G1235" s="42"/>
    </row>
    <row r="1236" spans="1:7" ht="12.75" hidden="1" customHeight="1">
      <c r="A1236" s="39" t="s">
        <v>161</v>
      </c>
      <c r="B1236" s="43"/>
      <c r="C1236" s="42"/>
      <c r="D1236" s="42"/>
      <c r="E1236" s="42"/>
      <c r="F1236" s="57"/>
      <c r="G1236" s="42"/>
    </row>
    <row r="1237" spans="1:7" ht="12.75" hidden="1" customHeight="1">
      <c r="A1237" s="39" t="s">
        <v>6</v>
      </c>
      <c r="B1237" s="43"/>
      <c r="C1237" s="42"/>
      <c r="D1237" s="42"/>
      <c r="E1237" s="42"/>
      <c r="F1237" s="57"/>
      <c r="G1237" s="42"/>
    </row>
    <row r="1238" spans="1:7" ht="12.75" hidden="1" customHeight="1">
      <c r="A1238" s="39" t="s">
        <v>7</v>
      </c>
      <c r="B1238" s="43"/>
      <c r="C1238" s="42"/>
      <c r="D1238" s="42"/>
      <c r="E1238" s="42"/>
      <c r="F1238" s="57"/>
      <c r="G1238" s="42"/>
    </row>
    <row r="1239" spans="1:7" ht="12.75" hidden="1" customHeight="1">
      <c r="A1239" s="39" t="s">
        <v>162</v>
      </c>
      <c r="B1239" s="43"/>
      <c r="C1239" s="42"/>
      <c r="D1239" s="42"/>
      <c r="E1239" s="42"/>
      <c r="F1239" s="57"/>
      <c r="G1239" s="42"/>
    </row>
    <row r="1240" spans="1:7" ht="12.75" hidden="1" customHeight="1">
      <c r="A1240" s="39" t="s">
        <v>401</v>
      </c>
      <c r="B1240" s="45"/>
      <c r="C1240" s="42"/>
      <c r="D1240" s="42"/>
      <c r="E1240" s="42"/>
      <c r="F1240" s="57"/>
      <c r="G1240" s="42"/>
    </row>
    <row r="1241" spans="1:7" ht="12.75" hidden="1" customHeight="1">
      <c r="A1241" s="145" t="s">
        <v>402</v>
      </c>
      <c r="B1241" s="45"/>
      <c r="C1241" s="42"/>
      <c r="D1241" s="42"/>
      <c r="E1241" s="42"/>
      <c r="F1241" s="57"/>
      <c r="G1241" s="42"/>
    </row>
    <row r="1242" spans="1:7" ht="12.75" hidden="1" customHeight="1">
      <c r="A1242" s="39" t="s">
        <v>8</v>
      </c>
      <c r="B1242" s="43">
        <v>22.5</v>
      </c>
      <c r="C1242" s="53">
        <f>B1242/B$1301*C$1301</f>
        <v>31501.865060240965</v>
      </c>
      <c r="D1242" s="53">
        <f>B1242/B$1301*D$1301</f>
        <v>37417.002289156633</v>
      </c>
      <c r="E1242" s="53">
        <f>B1242/B$1301*E$1301</f>
        <v>19608.77168674699</v>
      </c>
      <c r="F1242" s="57"/>
      <c r="G1242" s="42">
        <f>SUM(C1242:F1242)</f>
        <v>88527.639036144581</v>
      </c>
    </row>
    <row r="1243" spans="1:7" ht="12.75" hidden="1" customHeight="1">
      <c r="A1243" s="39" t="s">
        <v>9</v>
      </c>
      <c r="B1243" s="43"/>
      <c r="C1243" s="42">
        <f t="shared" ref="C1243:C1284" si="51">B1243/B$1301*C$1301</f>
        <v>0</v>
      </c>
      <c r="D1243" s="42">
        <f t="shared" ref="D1243:D1284" si="52">B1243/B$1301*D$1301</f>
        <v>0</v>
      </c>
      <c r="E1243" s="42">
        <f t="shared" ref="E1243:E1284" si="53">B1243/B$1301*E$1301</f>
        <v>0</v>
      </c>
      <c r="F1243" s="57"/>
      <c r="G1243" s="42">
        <f t="shared" ref="G1243:G1284" si="54">SUM(C1243:F1243)</f>
        <v>0</v>
      </c>
    </row>
    <row r="1244" spans="1:7" ht="12.75" hidden="1" customHeight="1">
      <c r="A1244" s="39" t="s">
        <v>10</v>
      </c>
      <c r="B1244" s="43"/>
      <c r="C1244" s="42">
        <f t="shared" si="51"/>
        <v>0</v>
      </c>
      <c r="D1244" s="42">
        <f t="shared" si="52"/>
        <v>0</v>
      </c>
      <c r="E1244" s="42">
        <f t="shared" si="53"/>
        <v>0</v>
      </c>
      <c r="F1244" s="57"/>
      <c r="G1244" s="42">
        <f t="shared" si="54"/>
        <v>0</v>
      </c>
    </row>
    <row r="1245" spans="1:7" ht="12.75" hidden="1" customHeight="1">
      <c r="A1245" s="39" t="s">
        <v>11</v>
      </c>
      <c r="B1245" s="43"/>
      <c r="C1245" s="42">
        <f t="shared" si="51"/>
        <v>0</v>
      </c>
      <c r="D1245" s="42">
        <f t="shared" si="52"/>
        <v>0</v>
      </c>
      <c r="E1245" s="42">
        <f t="shared" si="53"/>
        <v>0</v>
      </c>
      <c r="F1245" s="57"/>
      <c r="G1245" s="42">
        <f t="shared" si="54"/>
        <v>0</v>
      </c>
    </row>
    <row r="1246" spans="1:7" ht="12.75" hidden="1" customHeight="1">
      <c r="A1246" s="39" t="s">
        <v>164</v>
      </c>
      <c r="B1246" s="43"/>
      <c r="C1246" s="42">
        <f t="shared" si="51"/>
        <v>0</v>
      </c>
      <c r="D1246" s="42">
        <f t="shared" si="52"/>
        <v>0</v>
      </c>
      <c r="E1246" s="42">
        <f t="shared" si="53"/>
        <v>0</v>
      </c>
      <c r="F1246" s="57"/>
      <c r="G1246" s="42">
        <f t="shared" si="54"/>
        <v>0</v>
      </c>
    </row>
    <row r="1247" spans="1:7" ht="12.75" hidden="1" customHeight="1">
      <c r="A1247" s="39" t="s">
        <v>165</v>
      </c>
      <c r="B1247" s="43">
        <v>2</v>
      </c>
      <c r="C1247" s="53">
        <f t="shared" si="51"/>
        <v>2800.1657831325306</v>
      </c>
      <c r="D1247" s="53">
        <f t="shared" si="52"/>
        <v>3325.9557590361451</v>
      </c>
      <c r="E1247" s="53">
        <f t="shared" si="53"/>
        <v>1743.0019277108436</v>
      </c>
      <c r="F1247" s="57"/>
      <c r="G1247" s="42">
        <f t="shared" si="54"/>
        <v>7869.1234698795197</v>
      </c>
    </row>
    <row r="1248" spans="1:7" ht="12.75" hidden="1" customHeight="1">
      <c r="A1248" s="39" t="s">
        <v>505</v>
      </c>
      <c r="B1248" s="43">
        <v>128.5</v>
      </c>
      <c r="C1248" s="53">
        <f t="shared" si="51"/>
        <v>179910.65156626506</v>
      </c>
      <c r="D1248" s="53">
        <f t="shared" si="52"/>
        <v>213692.65751807232</v>
      </c>
      <c r="E1248" s="53">
        <f t="shared" si="53"/>
        <v>111987.8738554217</v>
      </c>
      <c r="F1248" s="57"/>
      <c r="G1248" s="42">
        <f t="shared" si="54"/>
        <v>505591.18293975911</v>
      </c>
    </row>
    <row r="1249" spans="1:7" ht="12.75" hidden="1" customHeight="1">
      <c r="A1249" s="39" t="s">
        <v>166</v>
      </c>
      <c r="B1249" s="43"/>
      <c r="C1249" s="42">
        <f t="shared" si="51"/>
        <v>0</v>
      </c>
      <c r="D1249" s="42">
        <f t="shared" si="52"/>
        <v>0</v>
      </c>
      <c r="E1249" s="42">
        <f t="shared" si="53"/>
        <v>0</v>
      </c>
      <c r="F1249" s="57"/>
      <c r="G1249" s="42">
        <f t="shared" si="54"/>
        <v>0</v>
      </c>
    </row>
    <row r="1250" spans="1:7" ht="12.75" hidden="1" customHeight="1">
      <c r="A1250" s="39" t="s">
        <v>167</v>
      </c>
      <c r="B1250" s="43"/>
      <c r="C1250" s="42">
        <f t="shared" si="51"/>
        <v>0</v>
      </c>
      <c r="D1250" s="42">
        <f t="shared" si="52"/>
        <v>0</v>
      </c>
      <c r="E1250" s="42">
        <f t="shared" si="53"/>
        <v>0</v>
      </c>
      <c r="F1250" s="57"/>
      <c r="G1250" s="42">
        <f t="shared" si="54"/>
        <v>0</v>
      </c>
    </row>
    <row r="1251" spans="1:7" ht="12.75" hidden="1" customHeight="1">
      <c r="A1251" s="39" t="s">
        <v>168</v>
      </c>
      <c r="B1251" s="43"/>
      <c r="C1251" s="42">
        <f t="shared" si="51"/>
        <v>0</v>
      </c>
      <c r="D1251" s="42">
        <f t="shared" si="52"/>
        <v>0</v>
      </c>
      <c r="E1251" s="42">
        <f t="shared" si="53"/>
        <v>0</v>
      </c>
      <c r="F1251" s="57"/>
      <c r="G1251" s="42">
        <f t="shared" si="54"/>
        <v>0</v>
      </c>
    </row>
    <row r="1252" spans="1:7" ht="12.75" hidden="1" customHeight="1">
      <c r="A1252" s="39" t="s">
        <v>169</v>
      </c>
      <c r="B1252" s="43"/>
      <c r="C1252" s="42">
        <f t="shared" si="51"/>
        <v>0</v>
      </c>
      <c r="D1252" s="42">
        <f t="shared" si="52"/>
        <v>0</v>
      </c>
      <c r="E1252" s="42">
        <f t="shared" si="53"/>
        <v>0</v>
      </c>
      <c r="F1252" s="57"/>
      <c r="G1252" s="42">
        <f t="shared" si="54"/>
        <v>0</v>
      </c>
    </row>
    <row r="1253" spans="1:7" ht="12.75" hidden="1" customHeight="1">
      <c r="A1253" s="39" t="s">
        <v>170</v>
      </c>
      <c r="B1253" s="43"/>
      <c r="C1253" s="42">
        <f t="shared" si="51"/>
        <v>0</v>
      </c>
      <c r="D1253" s="42">
        <f t="shared" si="52"/>
        <v>0</v>
      </c>
      <c r="E1253" s="42">
        <f t="shared" si="53"/>
        <v>0</v>
      </c>
      <c r="F1253" s="57"/>
      <c r="G1253" s="42">
        <f t="shared" si="54"/>
        <v>0</v>
      </c>
    </row>
    <row r="1254" spans="1:7" ht="12.75" hidden="1" customHeight="1">
      <c r="A1254" s="39" t="s">
        <v>171</v>
      </c>
      <c r="B1254" s="43"/>
      <c r="C1254" s="42">
        <f t="shared" si="51"/>
        <v>0</v>
      </c>
      <c r="D1254" s="42">
        <f t="shared" si="52"/>
        <v>0</v>
      </c>
      <c r="E1254" s="42">
        <f t="shared" si="53"/>
        <v>0</v>
      </c>
      <c r="F1254" s="57"/>
      <c r="G1254" s="42">
        <f t="shared" si="54"/>
        <v>0</v>
      </c>
    </row>
    <row r="1255" spans="1:7" ht="12.75" hidden="1" customHeight="1">
      <c r="A1255" s="39" t="s">
        <v>172</v>
      </c>
      <c r="B1255" s="41"/>
      <c r="C1255" s="42">
        <f t="shared" si="51"/>
        <v>0</v>
      </c>
      <c r="D1255" s="42">
        <f t="shared" si="52"/>
        <v>0</v>
      </c>
      <c r="E1255" s="42">
        <f t="shared" si="53"/>
        <v>0</v>
      </c>
      <c r="F1255" s="57"/>
      <c r="G1255" s="42">
        <f t="shared" si="54"/>
        <v>0</v>
      </c>
    </row>
    <row r="1256" spans="1:7" ht="12.75" hidden="1" customHeight="1">
      <c r="A1256" s="39" t="s">
        <v>12</v>
      </c>
      <c r="B1256" s="43"/>
      <c r="C1256" s="42">
        <f t="shared" si="51"/>
        <v>0</v>
      </c>
      <c r="D1256" s="42">
        <f t="shared" si="52"/>
        <v>0</v>
      </c>
      <c r="E1256" s="42">
        <f t="shared" si="53"/>
        <v>0</v>
      </c>
      <c r="F1256" s="57"/>
      <c r="G1256" s="42">
        <f t="shared" si="54"/>
        <v>0</v>
      </c>
    </row>
    <row r="1257" spans="1:7" ht="12.75" hidden="1" customHeight="1">
      <c r="A1257" s="39" t="s">
        <v>13</v>
      </c>
      <c r="B1257" s="43"/>
      <c r="C1257" s="42">
        <f t="shared" si="51"/>
        <v>0</v>
      </c>
      <c r="D1257" s="42">
        <f t="shared" si="52"/>
        <v>0</v>
      </c>
      <c r="E1257" s="42">
        <f t="shared" si="53"/>
        <v>0</v>
      </c>
      <c r="F1257" s="57"/>
      <c r="G1257" s="42">
        <f t="shared" si="54"/>
        <v>0</v>
      </c>
    </row>
    <row r="1258" spans="1:7" ht="12.75" hidden="1" customHeight="1">
      <c r="A1258" s="39" t="s">
        <v>14</v>
      </c>
      <c r="B1258" s="43"/>
      <c r="C1258" s="42">
        <f t="shared" si="51"/>
        <v>0</v>
      </c>
      <c r="D1258" s="42">
        <f t="shared" si="52"/>
        <v>0</v>
      </c>
      <c r="E1258" s="42">
        <f t="shared" si="53"/>
        <v>0</v>
      </c>
      <c r="F1258" s="57"/>
      <c r="G1258" s="42">
        <f t="shared" si="54"/>
        <v>0</v>
      </c>
    </row>
    <row r="1259" spans="1:7" ht="12.75" hidden="1" customHeight="1">
      <c r="A1259" s="39" t="s">
        <v>15</v>
      </c>
      <c r="B1259" s="43"/>
      <c r="C1259" s="42">
        <f t="shared" si="51"/>
        <v>0</v>
      </c>
      <c r="D1259" s="42">
        <f t="shared" si="52"/>
        <v>0</v>
      </c>
      <c r="E1259" s="42">
        <f t="shared" si="53"/>
        <v>0</v>
      </c>
      <c r="F1259" s="57"/>
      <c r="G1259" s="42">
        <f t="shared" si="54"/>
        <v>0</v>
      </c>
    </row>
    <row r="1260" spans="1:7" ht="12.75" hidden="1" customHeight="1">
      <c r="A1260" s="39" t="s">
        <v>16</v>
      </c>
      <c r="B1260" s="43"/>
      <c r="C1260" s="42">
        <f t="shared" si="51"/>
        <v>0</v>
      </c>
      <c r="D1260" s="42">
        <f t="shared" si="52"/>
        <v>0</v>
      </c>
      <c r="E1260" s="42">
        <f t="shared" si="53"/>
        <v>0</v>
      </c>
      <c r="F1260" s="57"/>
      <c r="G1260" s="42">
        <f t="shared" si="54"/>
        <v>0</v>
      </c>
    </row>
    <row r="1261" spans="1:7" ht="12.75" hidden="1" customHeight="1">
      <c r="A1261" s="39" t="s">
        <v>173</v>
      </c>
      <c r="B1261" s="43"/>
      <c r="C1261" s="42">
        <f t="shared" si="51"/>
        <v>0</v>
      </c>
      <c r="D1261" s="42">
        <f t="shared" si="52"/>
        <v>0</v>
      </c>
      <c r="E1261" s="42">
        <f t="shared" si="53"/>
        <v>0</v>
      </c>
      <c r="F1261" s="57"/>
      <c r="G1261" s="42">
        <f t="shared" si="54"/>
        <v>0</v>
      </c>
    </row>
    <row r="1262" spans="1:7" ht="12.75" hidden="1" customHeight="1">
      <c r="A1262" s="39" t="s">
        <v>174</v>
      </c>
      <c r="B1262" s="45"/>
      <c r="C1262" s="42">
        <f t="shared" si="51"/>
        <v>0</v>
      </c>
      <c r="D1262" s="42">
        <f t="shared" si="52"/>
        <v>0</v>
      </c>
      <c r="E1262" s="42">
        <f t="shared" si="53"/>
        <v>0</v>
      </c>
      <c r="F1262" s="57"/>
      <c r="G1262" s="42">
        <f t="shared" si="54"/>
        <v>0</v>
      </c>
    </row>
    <row r="1263" spans="1:7" ht="12.75" hidden="1" customHeight="1">
      <c r="A1263" s="39" t="s">
        <v>175</v>
      </c>
      <c r="B1263" s="45"/>
      <c r="C1263" s="42">
        <f t="shared" si="51"/>
        <v>0</v>
      </c>
      <c r="D1263" s="42">
        <f t="shared" si="52"/>
        <v>0</v>
      </c>
      <c r="E1263" s="42">
        <f t="shared" si="53"/>
        <v>0</v>
      </c>
      <c r="F1263" s="57"/>
      <c r="G1263" s="42">
        <f t="shared" si="54"/>
        <v>0</v>
      </c>
    </row>
    <row r="1264" spans="1:7" ht="12.75" hidden="1" customHeight="1">
      <c r="A1264" s="39" t="s">
        <v>176</v>
      </c>
      <c r="B1264" s="43"/>
      <c r="C1264" s="42">
        <f t="shared" si="51"/>
        <v>0</v>
      </c>
      <c r="D1264" s="42">
        <f t="shared" si="52"/>
        <v>0</v>
      </c>
      <c r="E1264" s="42">
        <f t="shared" si="53"/>
        <v>0</v>
      </c>
      <c r="F1264" s="57"/>
      <c r="G1264" s="42">
        <f t="shared" si="54"/>
        <v>0</v>
      </c>
    </row>
    <row r="1265" spans="1:7" ht="12.75" hidden="1" customHeight="1">
      <c r="A1265" s="39" t="s">
        <v>466</v>
      </c>
      <c r="B1265" s="43"/>
      <c r="C1265" s="42">
        <f t="shared" si="51"/>
        <v>0</v>
      </c>
      <c r="D1265" s="42">
        <f t="shared" si="52"/>
        <v>0</v>
      </c>
      <c r="E1265" s="42">
        <f t="shared" si="53"/>
        <v>0</v>
      </c>
      <c r="F1265" s="57"/>
      <c r="G1265" s="42">
        <f t="shared" si="54"/>
        <v>0</v>
      </c>
    </row>
    <row r="1266" spans="1:7" ht="12.75" hidden="1" customHeight="1">
      <c r="A1266" s="156" t="s">
        <v>178</v>
      </c>
      <c r="B1266" s="157">
        <v>2.5</v>
      </c>
      <c r="C1266" s="53">
        <f t="shared" si="51"/>
        <v>3500.2072289156631</v>
      </c>
      <c r="D1266" s="53">
        <f t="shared" si="52"/>
        <v>4157.4446987951815</v>
      </c>
      <c r="E1266" s="53">
        <f t="shared" si="53"/>
        <v>2178.7524096385546</v>
      </c>
      <c r="F1266" s="147">
        <f>B1266/14.5*F1301</f>
        <v>5197.5172413793107</v>
      </c>
      <c r="G1266" s="42">
        <f t="shared" si="54"/>
        <v>15033.92157872871</v>
      </c>
    </row>
    <row r="1267" spans="1:7" ht="12.75" hidden="1" customHeight="1">
      <c r="A1267" s="39" t="s">
        <v>179</v>
      </c>
      <c r="B1267" s="43"/>
      <c r="C1267" s="42">
        <f t="shared" si="51"/>
        <v>0</v>
      </c>
      <c r="D1267" s="42">
        <f t="shared" si="52"/>
        <v>0</v>
      </c>
      <c r="E1267" s="42">
        <f t="shared" si="53"/>
        <v>0</v>
      </c>
      <c r="F1267" s="57"/>
      <c r="G1267" s="42">
        <f t="shared" si="54"/>
        <v>0</v>
      </c>
    </row>
    <row r="1268" spans="1:7" ht="12.75" hidden="1" customHeight="1">
      <c r="A1268" s="39" t="s">
        <v>180</v>
      </c>
      <c r="B1268" s="43"/>
      <c r="C1268" s="42">
        <f t="shared" si="51"/>
        <v>0</v>
      </c>
      <c r="D1268" s="42">
        <f t="shared" si="52"/>
        <v>0</v>
      </c>
      <c r="E1268" s="42">
        <f t="shared" si="53"/>
        <v>0</v>
      </c>
      <c r="F1268" s="57"/>
      <c r="G1268" s="42">
        <f t="shared" si="54"/>
        <v>0</v>
      </c>
    </row>
    <row r="1269" spans="1:7" ht="12.75" hidden="1" customHeight="1">
      <c r="A1269" s="39" t="s">
        <v>181</v>
      </c>
      <c r="B1269" s="43"/>
      <c r="C1269" s="42">
        <f t="shared" si="51"/>
        <v>0</v>
      </c>
      <c r="D1269" s="42">
        <f t="shared" si="52"/>
        <v>0</v>
      </c>
      <c r="E1269" s="42">
        <f t="shared" si="53"/>
        <v>0</v>
      </c>
      <c r="F1269" s="57"/>
      <c r="G1269" s="42">
        <f t="shared" si="54"/>
        <v>0</v>
      </c>
    </row>
    <row r="1270" spans="1:7" ht="12.75" hidden="1" customHeight="1">
      <c r="A1270" s="39" t="s">
        <v>182</v>
      </c>
      <c r="B1270" s="41"/>
      <c r="C1270" s="42">
        <f t="shared" si="51"/>
        <v>0</v>
      </c>
      <c r="D1270" s="42">
        <f t="shared" si="52"/>
        <v>0</v>
      </c>
      <c r="E1270" s="42">
        <f t="shared" si="53"/>
        <v>0</v>
      </c>
      <c r="F1270" s="57"/>
      <c r="G1270" s="42">
        <f t="shared" si="54"/>
        <v>0</v>
      </c>
    </row>
    <row r="1271" spans="1:7" ht="12.75" hidden="1" customHeight="1">
      <c r="A1271" s="156" t="s">
        <v>183</v>
      </c>
      <c r="B1271" s="157">
        <v>1.5</v>
      </c>
      <c r="C1271" s="53">
        <f t="shared" si="51"/>
        <v>2100.1243373493976</v>
      </c>
      <c r="D1271" s="53">
        <f t="shared" si="52"/>
        <v>2494.4668192771087</v>
      </c>
      <c r="E1271" s="53">
        <f t="shared" si="53"/>
        <v>1307.2514457831326</v>
      </c>
      <c r="F1271" s="147">
        <f>B1271/14.5*F1301</f>
        <v>3118.5103448275859</v>
      </c>
      <c r="G1271" s="42">
        <f t="shared" si="54"/>
        <v>9020.3529472372247</v>
      </c>
    </row>
    <row r="1272" spans="1:7" ht="12.75" hidden="1" customHeight="1">
      <c r="A1272" s="39" t="s">
        <v>184</v>
      </c>
      <c r="B1272" s="43"/>
      <c r="C1272" s="42">
        <f t="shared" si="51"/>
        <v>0</v>
      </c>
      <c r="D1272" s="42">
        <f t="shared" si="52"/>
        <v>0</v>
      </c>
      <c r="E1272" s="42">
        <f t="shared" si="53"/>
        <v>0</v>
      </c>
      <c r="F1272" s="57"/>
      <c r="G1272" s="42">
        <f t="shared" si="54"/>
        <v>0</v>
      </c>
    </row>
    <row r="1273" spans="1:7" ht="12.75" hidden="1" customHeight="1">
      <c r="A1273" s="39" t="s">
        <v>185</v>
      </c>
      <c r="B1273" s="43">
        <v>10</v>
      </c>
      <c r="C1273" s="53">
        <f t="shared" si="51"/>
        <v>14000.828915662652</v>
      </c>
      <c r="D1273" s="53">
        <f t="shared" si="52"/>
        <v>16629.778795180726</v>
      </c>
      <c r="E1273" s="53">
        <f t="shared" si="53"/>
        <v>8715.0096385542183</v>
      </c>
      <c r="F1273" s="57"/>
      <c r="G1273" s="42">
        <f t="shared" si="54"/>
        <v>39345.617349397595</v>
      </c>
    </row>
    <row r="1274" spans="1:7" ht="12.75" hidden="1" customHeight="1">
      <c r="A1274" s="39" t="s">
        <v>186</v>
      </c>
      <c r="B1274" s="43">
        <v>21</v>
      </c>
      <c r="C1274" s="53">
        <f t="shared" si="51"/>
        <v>29401.740722891569</v>
      </c>
      <c r="D1274" s="53">
        <f t="shared" si="52"/>
        <v>34922.53546987952</v>
      </c>
      <c r="E1274" s="53">
        <f t="shared" si="53"/>
        <v>18301.520240963855</v>
      </c>
      <c r="F1274" s="57"/>
      <c r="G1274" s="42">
        <f t="shared" si="54"/>
        <v>82625.79643373494</v>
      </c>
    </row>
    <row r="1275" spans="1:7" ht="12.75" hidden="1" customHeight="1">
      <c r="A1275" s="39" t="s">
        <v>187</v>
      </c>
      <c r="B1275" s="43"/>
      <c r="C1275" s="42">
        <f t="shared" si="51"/>
        <v>0</v>
      </c>
      <c r="D1275" s="42">
        <f t="shared" si="52"/>
        <v>0</v>
      </c>
      <c r="E1275" s="42">
        <f t="shared" si="53"/>
        <v>0</v>
      </c>
      <c r="F1275" s="57"/>
      <c r="G1275" s="42">
        <f t="shared" si="54"/>
        <v>0</v>
      </c>
    </row>
    <row r="1276" spans="1:7" ht="12.75" hidden="1" customHeight="1">
      <c r="A1276" s="39" t="s">
        <v>188</v>
      </c>
      <c r="B1276" s="43"/>
      <c r="C1276" s="42">
        <f t="shared" si="51"/>
        <v>0</v>
      </c>
      <c r="D1276" s="42">
        <f t="shared" si="52"/>
        <v>0</v>
      </c>
      <c r="E1276" s="42">
        <f t="shared" si="53"/>
        <v>0</v>
      </c>
      <c r="F1276" s="57"/>
      <c r="G1276" s="42">
        <f t="shared" si="54"/>
        <v>0</v>
      </c>
    </row>
    <row r="1277" spans="1:7" ht="12.75" hidden="1" customHeight="1">
      <c r="A1277" s="39" t="s">
        <v>189</v>
      </c>
      <c r="B1277" s="43"/>
      <c r="C1277" s="42">
        <f t="shared" si="51"/>
        <v>0</v>
      </c>
      <c r="D1277" s="42">
        <f t="shared" si="52"/>
        <v>0</v>
      </c>
      <c r="E1277" s="42">
        <f t="shared" si="53"/>
        <v>0</v>
      </c>
      <c r="F1277" s="57"/>
      <c r="G1277" s="42">
        <f t="shared" si="54"/>
        <v>0</v>
      </c>
    </row>
    <row r="1278" spans="1:7" ht="12.75" hidden="1" customHeight="1">
      <c r="A1278" s="156" t="s">
        <v>190</v>
      </c>
      <c r="B1278" s="157">
        <v>10.5</v>
      </c>
      <c r="C1278" s="53">
        <f t="shared" si="51"/>
        <v>14700.870361445785</v>
      </c>
      <c r="D1278" s="53">
        <f t="shared" si="52"/>
        <v>17461.26773493976</v>
      </c>
      <c r="E1278" s="53">
        <f t="shared" si="53"/>
        <v>9150.7601204819275</v>
      </c>
      <c r="F1278" s="147">
        <f>B1278/14.5*F1301</f>
        <v>21829.572413793103</v>
      </c>
      <c r="G1278" s="42">
        <f t="shared" si="54"/>
        <v>63142.470630660573</v>
      </c>
    </row>
    <row r="1279" spans="1:7" ht="12.75" hidden="1" customHeight="1">
      <c r="A1279" s="39" t="s">
        <v>190</v>
      </c>
      <c r="B1279" s="43"/>
      <c r="C1279" s="42">
        <f t="shared" si="51"/>
        <v>0</v>
      </c>
      <c r="D1279" s="42">
        <f t="shared" si="52"/>
        <v>0</v>
      </c>
      <c r="E1279" s="42">
        <f t="shared" si="53"/>
        <v>0</v>
      </c>
      <c r="F1279" s="57"/>
      <c r="G1279" s="42">
        <f t="shared" si="54"/>
        <v>0</v>
      </c>
    </row>
    <row r="1280" spans="1:7" ht="12.75" hidden="1" customHeight="1">
      <c r="A1280" s="39" t="s">
        <v>191</v>
      </c>
      <c r="B1280" s="45"/>
      <c r="C1280" s="42">
        <f t="shared" si="51"/>
        <v>0</v>
      </c>
      <c r="D1280" s="42">
        <f t="shared" si="52"/>
        <v>0</v>
      </c>
      <c r="E1280" s="42">
        <f t="shared" si="53"/>
        <v>0</v>
      </c>
      <c r="F1280" s="57"/>
      <c r="G1280" s="42">
        <f t="shared" si="54"/>
        <v>0</v>
      </c>
    </row>
    <row r="1281" spans="1:7" ht="12.75" hidden="1" customHeight="1">
      <c r="A1281" s="39" t="s">
        <v>17</v>
      </c>
      <c r="B1281" s="41"/>
      <c r="C1281" s="42">
        <f t="shared" si="51"/>
        <v>0</v>
      </c>
      <c r="D1281" s="42">
        <f t="shared" si="52"/>
        <v>0</v>
      </c>
      <c r="E1281" s="42">
        <f t="shared" si="53"/>
        <v>0</v>
      </c>
      <c r="F1281" s="45"/>
      <c r="G1281" s="42">
        <f t="shared" si="54"/>
        <v>0</v>
      </c>
    </row>
    <row r="1282" spans="1:7" ht="12.75" hidden="1" customHeight="1">
      <c r="A1282" s="39" t="s">
        <v>18</v>
      </c>
      <c r="B1282" s="43"/>
      <c r="C1282" s="42">
        <f t="shared" si="51"/>
        <v>0</v>
      </c>
      <c r="D1282" s="42">
        <f t="shared" si="52"/>
        <v>0</v>
      </c>
      <c r="E1282" s="42">
        <f t="shared" si="53"/>
        <v>0</v>
      </c>
      <c r="F1282" s="45"/>
      <c r="G1282" s="42">
        <f t="shared" si="54"/>
        <v>0</v>
      </c>
    </row>
    <row r="1283" spans="1:7" ht="12.75" hidden="1" customHeight="1">
      <c r="A1283" s="39" t="s">
        <v>192</v>
      </c>
      <c r="B1283" s="43"/>
      <c r="C1283" s="42">
        <f t="shared" si="51"/>
        <v>0</v>
      </c>
      <c r="D1283" s="42">
        <f t="shared" si="52"/>
        <v>0</v>
      </c>
      <c r="E1283" s="42">
        <f t="shared" si="53"/>
        <v>0</v>
      </c>
      <c r="F1283" s="45"/>
      <c r="G1283" s="42">
        <f t="shared" si="54"/>
        <v>0</v>
      </c>
    </row>
    <row r="1284" spans="1:7" ht="12.75" hidden="1" customHeight="1">
      <c r="A1284" s="39" t="s">
        <v>19</v>
      </c>
      <c r="B1284" s="43">
        <v>9</v>
      </c>
      <c r="C1284" s="53">
        <f t="shared" si="51"/>
        <v>12600.746024096386</v>
      </c>
      <c r="D1284" s="53">
        <f t="shared" si="52"/>
        <v>14966.800915662652</v>
      </c>
      <c r="E1284" s="53">
        <f t="shared" si="53"/>
        <v>7843.5086746987954</v>
      </c>
      <c r="F1284" s="45"/>
      <c r="G1284" s="42">
        <f t="shared" si="54"/>
        <v>35411.055614457837</v>
      </c>
    </row>
    <row r="1285" spans="1:7" ht="12.75" hidden="1" customHeight="1">
      <c r="A1285" s="39" t="s">
        <v>193</v>
      </c>
      <c r="B1285" s="43"/>
      <c r="C1285" s="42"/>
      <c r="D1285" s="42"/>
      <c r="E1285" s="42"/>
      <c r="F1285" s="45"/>
      <c r="G1285" s="42"/>
    </row>
    <row r="1286" spans="1:7" ht="12.75" hidden="1" customHeight="1">
      <c r="A1286" s="39" t="s">
        <v>194</v>
      </c>
      <c r="B1286" s="43"/>
      <c r="C1286" s="42"/>
      <c r="D1286" s="42"/>
      <c r="E1286" s="42"/>
      <c r="F1286" s="45"/>
      <c r="G1286" s="42"/>
    </row>
    <row r="1287" spans="1:7" ht="12.75" hidden="1" customHeight="1">
      <c r="A1287" s="39" t="s">
        <v>195</v>
      </c>
      <c r="B1287" s="43"/>
      <c r="C1287" s="42"/>
      <c r="D1287" s="42"/>
      <c r="E1287" s="42"/>
      <c r="F1287" s="45"/>
      <c r="G1287" s="42"/>
    </row>
    <row r="1288" spans="1:7" ht="12.75" hidden="1" customHeight="1">
      <c r="A1288" s="39" t="s">
        <v>196</v>
      </c>
      <c r="B1288" s="43"/>
      <c r="C1288" s="42"/>
      <c r="D1288" s="42"/>
      <c r="E1288" s="42"/>
      <c r="F1288" s="45"/>
      <c r="G1288" s="42"/>
    </row>
    <row r="1289" spans="1:7" ht="12.75" hidden="1" customHeight="1">
      <c r="A1289" s="39" t="s">
        <v>197</v>
      </c>
      <c r="B1289" s="43"/>
      <c r="C1289" s="42"/>
      <c r="D1289" s="42"/>
      <c r="E1289" s="42"/>
      <c r="F1289" s="45"/>
      <c r="G1289" s="42"/>
    </row>
    <row r="1290" spans="1:7" ht="12.75" hidden="1" customHeight="1">
      <c r="A1290" s="39" t="s">
        <v>198</v>
      </c>
      <c r="B1290" s="43"/>
      <c r="C1290" s="42"/>
      <c r="D1290" s="42"/>
      <c r="E1290" s="42"/>
      <c r="F1290" s="45"/>
      <c r="G1290" s="42"/>
    </row>
    <row r="1291" spans="1:7" ht="12.75" hidden="1" customHeight="1">
      <c r="A1291" s="39" t="s">
        <v>199</v>
      </c>
      <c r="B1291" s="43"/>
      <c r="C1291" s="42"/>
      <c r="D1291" s="42"/>
      <c r="E1291" s="42"/>
      <c r="F1291" s="45"/>
      <c r="G1291" s="42"/>
    </row>
    <row r="1292" spans="1:7" ht="12.75" hidden="1" customHeight="1">
      <c r="A1292" s="39" t="s">
        <v>200</v>
      </c>
      <c r="B1292" s="43"/>
      <c r="C1292" s="42"/>
      <c r="D1292" s="42"/>
      <c r="E1292" s="42"/>
      <c r="F1292" s="45"/>
      <c r="G1292" s="42"/>
    </row>
    <row r="1293" spans="1:7" ht="12.75" hidden="1" customHeight="1">
      <c r="A1293" s="39" t="s">
        <v>201</v>
      </c>
      <c r="B1293" s="43"/>
      <c r="C1293" s="42"/>
      <c r="D1293" s="42"/>
      <c r="E1293" s="42"/>
      <c r="F1293" s="45"/>
      <c r="G1293" s="42"/>
    </row>
    <row r="1294" spans="1:7" ht="12.75" hidden="1" customHeight="1">
      <c r="A1294" s="39" t="s">
        <v>202</v>
      </c>
      <c r="B1294" s="43"/>
      <c r="C1294" s="42"/>
      <c r="D1294" s="42"/>
      <c r="E1294" s="42"/>
      <c r="F1294" s="42"/>
      <c r="G1294" s="42"/>
    </row>
    <row r="1295" spans="1:7" ht="12.75" hidden="1" customHeight="1">
      <c r="A1295" s="46" t="s">
        <v>203</v>
      </c>
      <c r="B1295" s="43"/>
      <c r="C1295" s="42"/>
      <c r="D1295" s="42"/>
      <c r="E1295" s="42"/>
      <c r="F1295" s="45"/>
      <c r="G1295" s="42"/>
    </row>
    <row r="1296" spans="1:7" ht="12.75" hidden="1" customHeight="1">
      <c r="A1296" s="46" t="s">
        <v>204</v>
      </c>
      <c r="B1296" s="43"/>
      <c r="C1296" s="42"/>
      <c r="D1296" s="42"/>
      <c r="E1296" s="42"/>
      <c r="F1296" s="45"/>
      <c r="G1296" s="42"/>
    </row>
    <row r="1297" spans="1:7" ht="12.75" hidden="1" customHeight="1">
      <c r="A1297" s="46" t="s">
        <v>205</v>
      </c>
      <c r="B1297" s="43"/>
      <c r="C1297" s="42"/>
      <c r="D1297" s="42"/>
      <c r="E1297" s="42"/>
      <c r="F1297" s="45"/>
      <c r="G1297" s="42"/>
    </row>
    <row r="1298" spans="1:7" ht="12.75" hidden="1" customHeight="1">
      <c r="A1298" s="39" t="s">
        <v>206</v>
      </c>
      <c r="B1298" s="43"/>
      <c r="C1298" s="42"/>
      <c r="D1298" s="42"/>
      <c r="E1298" s="42"/>
      <c r="F1298" s="45"/>
      <c r="G1298" s="42"/>
    </row>
    <row r="1299" spans="1:7" ht="12.75" hidden="1" customHeight="1">
      <c r="A1299" s="49" t="s">
        <v>207</v>
      </c>
      <c r="B1299" s="48"/>
      <c r="C1299" s="42"/>
      <c r="D1299" s="42"/>
      <c r="E1299" s="42"/>
      <c r="F1299" s="62"/>
      <c r="G1299" s="42"/>
    </row>
    <row r="1300" spans="1:7" ht="12.75" hidden="1" customHeight="1">
      <c r="A1300" s="39" t="s">
        <v>208</v>
      </c>
      <c r="B1300" s="48"/>
      <c r="C1300" s="42"/>
      <c r="D1300" s="42"/>
      <c r="E1300" s="42"/>
      <c r="F1300" s="57"/>
      <c r="G1300" s="42"/>
    </row>
    <row r="1301" spans="1:7" ht="12.75" hidden="1" customHeight="1">
      <c r="A1301" s="48" t="s">
        <v>209</v>
      </c>
      <c r="B1301" s="43">
        <f>SUM(B1225:B1300)</f>
        <v>207.5</v>
      </c>
      <c r="C1301" s="42">
        <f>290517.2</f>
        <v>290517.2</v>
      </c>
      <c r="D1301" s="42">
        <f>33039.1+53751.5+17275.4+250001.95+21145.56-30145.6</f>
        <v>345067.91000000003</v>
      </c>
      <c r="E1301" s="42">
        <v>180836.45</v>
      </c>
      <c r="F1301" s="39">
        <v>30145.599999999999</v>
      </c>
      <c r="G1301" s="42">
        <f>SUM(C1301:F1301)</f>
        <v>846567.16</v>
      </c>
    </row>
    <row r="1302" spans="1:7" ht="12.75" hidden="1" customHeight="1">
      <c r="A1302" s="63"/>
      <c r="B1302" s="52"/>
      <c r="C1302" s="51"/>
      <c r="D1302" s="51"/>
      <c r="E1302" s="64"/>
      <c r="F1302" s="65"/>
      <c r="G1302" s="40"/>
    </row>
    <row r="1303" spans="1:7" ht="12.75" hidden="1" customHeight="1">
      <c r="A1303" s="63"/>
      <c r="B1303" s="52"/>
      <c r="C1303" s="51"/>
      <c r="D1303" s="51"/>
      <c r="E1303" s="51"/>
      <c r="F1303" s="65"/>
      <c r="G1303" s="40"/>
    </row>
    <row r="1304" spans="1:7" ht="12.75" hidden="1" customHeight="1">
      <c r="A1304" s="51"/>
      <c r="B1304" s="52"/>
      <c r="C1304" s="51"/>
      <c r="D1304" s="51"/>
      <c r="E1304" s="64"/>
      <c r="F1304" s="65"/>
      <c r="G1304" s="40"/>
    </row>
    <row r="1305" spans="1:7" ht="12.75" hidden="1" customHeight="1">
      <c r="A1305" s="269" t="s">
        <v>475</v>
      </c>
      <c r="B1305" s="269"/>
      <c r="C1305" s="269"/>
      <c r="D1305" s="269"/>
      <c r="E1305" s="269"/>
      <c r="F1305" s="269"/>
      <c r="G1305" s="40"/>
    </row>
    <row r="1306" spans="1:7" ht="12.75" hidden="1" customHeight="1">
      <c r="A1306" s="42" t="s">
        <v>86</v>
      </c>
      <c r="B1306" s="43" t="s">
        <v>211</v>
      </c>
      <c r="C1306" s="43" t="s">
        <v>212</v>
      </c>
      <c r="D1306" s="43" t="s">
        <v>88</v>
      </c>
      <c r="E1306" s="43" t="s">
        <v>89</v>
      </c>
      <c r="F1306" s="43" t="s">
        <v>90</v>
      </c>
      <c r="G1306" s="45" t="s">
        <v>213</v>
      </c>
    </row>
    <row r="1307" spans="1:7" ht="12.75" hidden="1" customHeight="1">
      <c r="A1307" s="42" t="s">
        <v>20</v>
      </c>
      <c r="B1307" s="43"/>
      <c r="C1307" s="43"/>
      <c r="D1307" s="44"/>
      <c r="E1307" s="44"/>
      <c r="F1307" s="44"/>
      <c r="G1307" s="39"/>
    </row>
    <row r="1308" spans="1:7" ht="12.75" hidden="1" customHeight="1">
      <c r="A1308" s="42" t="s">
        <v>214</v>
      </c>
      <c r="B1308" s="43"/>
      <c r="C1308" s="43"/>
      <c r="D1308" s="44"/>
      <c r="E1308" s="44"/>
      <c r="F1308" s="44"/>
      <c r="G1308" s="44"/>
    </row>
    <row r="1309" spans="1:7" ht="12.75" hidden="1" customHeight="1">
      <c r="A1309" s="42" t="s">
        <v>215</v>
      </c>
      <c r="B1309" s="43"/>
      <c r="C1309" s="43"/>
      <c r="D1309" s="44"/>
      <c r="E1309" s="44"/>
      <c r="F1309" s="44"/>
      <c r="G1309" s="44"/>
    </row>
    <row r="1310" spans="1:7" ht="12.75" hidden="1" customHeight="1">
      <c r="A1310" s="42" t="s">
        <v>216</v>
      </c>
      <c r="B1310" s="43"/>
      <c r="C1310" s="43"/>
      <c r="D1310" s="44"/>
      <c r="E1310" s="44"/>
      <c r="F1310" s="44"/>
      <c r="G1310" s="44"/>
    </row>
    <row r="1311" spans="1:7" ht="12.75" hidden="1" customHeight="1">
      <c r="A1311" s="42" t="s">
        <v>217</v>
      </c>
      <c r="B1311" s="43"/>
      <c r="C1311" s="43"/>
      <c r="D1311" s="44"/>
      <c r="E1311" s="44"/>
      <c r="F1311" s="44"/>
      <c r="G1311" s="44"/>
    </row>
    <row r="1312" spans="1:7" ht="12.75" hidden="1" customHeight="1">
      <c r="A1312" s="42" t="s">
        <v>218</v>
      </c>
      <c r="B1312" s="45"/>
      <c r="C1312" s="45"/>
      <c r="D1312" s="44"/>
      <c r="E1312" s="44"/>
      <c r="F1312" s="44"/>
      <c r="G1312" s="44"/>
    </row>
    <row r="1313" spans="1:7" ht="12.75" hidden="1" customHeight="1">
      <c r="A1313" s="42" t="s">
        <v>219</v>
      </c>
      <c r="B1313" s="45"/>
      <c r="C1313" s="45"/>
      <c r="D1313" s="44"/>
      <c r="E1313" s="44"/>
      <c r="F1313" s="44"/>
      <c r="G1313" s="44"/>
    </row>
    <row r="1314" spans="1:7" ht="12.75" hidden="1" customHeight="1">
      <c r="A1314" s="42" t="s">
        <v>21</v>
      </c>
      <c r="B1314" s="43"/>
      <c r="C1314" s="43"/>
      <c r="D1314" s="44"/>
      <c r="E1314" s="44"/>
      <c r="F1314" s="44"/>
      <c r="G1314" s="44"/>
    </row>
    <row r="1315" spans="1:7" ht="12.75" hidden="1" customHeight="1">
      <c r="A1315" s="42" t="s">
        <v>220</v>
      </c>
      <c r="B1315" s="43"/>
      <c r="C1315" s="43"/>
      <c r="D1315" s="44"/>
      <c r="E1315" s="44"/>
      <c r="F1315" s="44"/>
      <c r="G1315" s="44"/>
    </row>
    <row r="1316" spans="1:7" ht="12.75" hidden="1" customHeight="1">
      <c r="A1316" s="42" t="s">
        <v>221</v>
      </c>
      <c r="B1316" s="43"/>
      <c r="C1316" s="43"/>
      <c r="D1316" s="44"/>
      <c r="E1316" s="44"/>
      <c r="F1316" s="44"/>
      <c r="G1316" s="44"/>
    </row>
    <row r="1317" spans="1:7" ht="12.75" hidden="1" customHeight="1">
      <c r="A1317" s="42" t="s">
        <v>22</v>
      </c>
      <c r="B1317" s="43"/>
      <c r="C1317" s="43"/>
      <c r="D1317" s="44"/>
      <c r="E1317" s="44"/>
      <c r="F1317" s="44"/>
      <c r="G1317" s="44"/>
    </row>
    <row r="1318" spans="1:7" ht="12.75" hidden="1" customHeight="1">
      <c r="A1318" s="42" t="s">
        <v>23</v>
      </c>
      <c r="B1318" s="43"/>
      <c r="C1318" s="43"/>
      <c r="D1318" s="44"/>
      <c r="E1318" s="44"/>
      <c r="F1318" s="44"/>
      <c r="G1318" s="44"/>
    </row>
    <row r="1319" spans="1:7" ht="12.75" hidden="1" customHeight="1">
      <c r="A1319" s="42" t="s">
        <v>24</v>
      </c>
      <c r="B1319" s="43"/>
      <c r="C1319" s="43"/>
      <c r="D1319" s="44"/>
      <c r="E1319" s="44"/>
      <c r="F1319" s="44"/>
      <c r="G1319" s="44"/>
    </row>
    <row r="1320" spans="1:7" ht="12.75" hidden="1" customHeight="1">
      <c r="A1320" s="42" t="s">
        <v>222</v>
      </c>
      <c r="B1320" s="43">
        <f>196-24-28</f>
        <v>144</v>
      </c>
      <c r="C1320" s="43">
        <f>512-64-64</f>
        <v>384</v>
      </c>
      <c r="D1320" s="66">
        <f>C1320/C$1348*D$1348</f>
        <v>62786.97408</v>
      </c>
      <c r="E1320" s="66">
        <f>B1320/B$1348*E$1348</f>
        <v>39509.919053254438</v>
      </c>
      <c r="F1320" s="66">
        <f>C1320/C$1348*F$1348</f>
        <v>44178</v>
      </c>
      <c r="G1320" s="44">
        <f>SUM(D1320:F1320)</f>
        <v>146474.89313325443</v>
      </c>
    </row>
    <row r="1321" spans="1:7" ht="12.75" hidden="1" customHeight="1">
      <c r="A1321" s="42" t="s">
        <v>223</v>
      </c>
      <c r="B1321" s="43"/>
      <c r="C1321" s="43"/>
      <c r="D1321" s="44">
        <f t="shared" ref="D1321:D1331" si="55">C1321/C$1348*D$1348</f>
        <v>0</v>
      </c>
      <c r="E1321" s="44">
        <f t="shared" ref="E1321:E1331" si="56">B1321/B$1348*E$1348</f>
        <v>0</v>
      </c>
      <c r="F1321" s="44">
        <f t="shared" ref="F1321:F1331" si="57">C1321/C$1348*F$1348</f>
        <v>0</v>
      </c>
      <c r="G1321" s="44">
        <f t="shared" ref="G1321:G1331" si="58">SUM(D1321:F1321)</f>
        <v>0</v>
      </c>
    </row>
    <row r="1322" spans="1:7" ht="12.75" hidden="1" customHeight="1">
      <c r="A1322" s="42" t="s">
        <v>224</v>
      </c>
      <c r="B1322" s="43"/>
      <c r="C1322" s="43"/>
      <c r="D1322" s="44">
        <f t="shared" si="55"/>
        <v>0</v>
      </c>
      <c r="E1322" s="44">
        <f t="shared" si="56"/>
        <v>0</v>
      </c>
      <c r="F1322" s="44">
        <f t="shared" si="57"/>
        <v>0</v>
      </c>
      <c r="G1322" s="44">
        <f t="shared" si="58"/>
        <v>0</v>
      </c>
    </row>
    <row r="1323" spans="1:7" ht="12.75" hidden="1" customHeight="1">
      <c r="A1323" s="42" t="s">
        <v>225</v>
      </c>
      <c r="B1323" s="43"/>
      <c r="C1323" s="43"/>
      <c r="D1323" s="44">
        <f t="shared" si="55"/>
        <v>0</v>
      </c>
      <c r="E1323" s="44">
        <f t="shared" si="56"/>
        <v>0</v>
      </c>
      <c r="F1323" s="44">
        <f t="shared" si="57"/>
        <v>0</v>
      </c>
      <c r="G1323" s="44">
        <f t="shared" si="58"/>
        <v>0</v>
      </c>
    </row>
    <row r="1324" spans="1:7" ht="12.75" hidden="1" customHeight="1">
      <c r="A1324" s="42" t="s">
        <v>226</v>
      </c>
      <c r="B1324" s="43"/>
      <c r="C1324" s="43"/>
      <c r="D1324" s="44">
        <f t="shared" si="55"/>
        <v>0</v>
      </c>
      <c r="E1324" s="44">
        <f t="shared" si="56"/>
        <v>0</v>
      </c>
      <c r="F1324" s="44">
        <f t="shared" si="57"/>
        <v>0</v>
      </c>
      <c r="G1324" s="44">
        <f t="shared" si="58"/>
        <v>0</v>
      </c>
    </row>
    <row r="1325" spans="1:7" ht="12.75" hidden="1" customHeight="1">
      <c r="A1325" s="42" t="s">
        <v>227</v>
      </c>
      <c r="B1325" s="43"/>
      <c r="C1325" s="43"/>
      <c r="D1325" s="44">
        <f t="shared" si="55"/>
        <v>0</v>
      </c>
      <c r="E1325" s="44">
        <f t="shared" si="56"/>
        <v>0</v>
      </c>
      <c r="F1325" s="44">
        <f t="shared" si="57"/>
        <v>0</v>
      </c>
      <c r="G1325" s="44">
        <f t="shared" si="58"/>
        <v>0</v>
      </c>
    </row>
    <row r="1326" spans="1:7" ht="12.75" hidden="1" customHeight="1">
      <c r="A1326" s="46" t="s">
        <v>228</v>
      </c>
      <c r="B1326" s="43"/>
      <c r="C1326" s="43"/>
      <c r="D1326" s="44">
        <f t="shared" si="55"/>
        <v>0</v>
      </c>
      <c r="E1326" s="44">
        <f t="shared" si="56"/>
        <v>0</v>
      </c>
      <c r="F1326" s="44">
        <f t="shared" si="57"/>
        <v>0</v>
      </c>
      <c r="G1326" s="44">
        <f t="shared" si="58"/>
        <v>0</v>
      </c>
    </row>
    <row r="1327" spans="1:7" ht="12.75" hidden="1" customHeight="1">
      <c r="A1327" s="42" t="s">
        <v>25</v>
      </c>
      <c r="B1327" s="43"/>
      <c r="C1327" s="43"/>
      <c r="D1327" s="44">
        <f t="shared" si="55"/>
        <v>0</v>
      </c>
      <c r="E1327" s="44">
        <f t="shared" si="56"/>
        <v>0</v>
      </c>
      <c r="F1327" s="44">
        <f t="shared" si="57"/>
        <v>0</v>
      </c>
      <c r="G1327" s="44">
        <f t="shared" si="58"/>
        <v>0</v>
      </c>
    </row>
    <row r="1328" spans="1:7" ht="12.75" hidden="1" customHeight="1">
      <c r="A1328" s="46" t="s">
        <v>463</v>
      </c>
      <c r="B1328" s="43"/>
      <c r="C1328" s="43"/>
      <c r="D1328" s="44">
        <f t="shared" si="55"/>
        <v>0</v>
      </c>
      <c r="E1328" s="44">
        <f t="shared" si="56"/>
        <v>0</v>
      </c>
      <c r="F1328" s="44">
        <f t="shared" si="57"/>
        <v>0</v>
      </c>
      <c r="G1328" s="44">
        <f t="shared" si="58"/>
        <v>0</v>
      </c>
    </row>
    <row r="1329" spans="1:7" ht="12.75" hidden="1" customHeight="1">
      <c r="A1329" s="46" t="s">
        <v>464</v>
      </c>
      <c r="B1329" s="43"/>
      <c r="C1329" s="43"/>
      <c r="D1329" s="44">
        <f t="shared" si="55"/>
        <v>0</v>
      </c>
      <c r="E1329" s="44">
        <f t="shared" si="56"/>
        <v>0</v>
      </c>
      <c r="F1329" s="44">
        <f t="shared" si="57"/>
        <v>0</v>
      </c>
      <c r="G1329" s="44">
        <f t="shared" si="58"/>
        <v>0</v>
      </c>
    </row>
    <row r="1330" spans="1:7" ht="12.75" hidden="1" customHeight="1">
      <c r="A1330" s="42" t="s">
        <v>508</v>
      </c>
      <c r="B1330" s="43">
        <v>436</v>
      </c>
      <c r="C1330" s="43">
        <v>1264</v>
      </c>
      <c r="D1330" s="66">
        <f t="shared" si="55"/>
        <v>206673.78967999999</v>
      </c>
      <c r="E1330" s="66">
        <f t="shared" si="56"/>
        <v>119627.25491124259</v>
      </c>
      <c r="F1330" s="66">
        <f t="shared" si="57"/>
        <v>145419.25</v>
      </c>
      <c r="G1330" s="44">
        <f t="shared" si="58"/>
        <v>471720.29459124256</v>
      </c>
    </row>
    <row r="1331" spans="1:7" ht="12.75" hidden="1" customHeight="1">
      <c r="A1331" s="161" t="s">
        <v>509</v>
      </c>
      <c r="B1331" s="158">
        <v>96</v>
      </c>
      <c r="C1331" s="158">
        <v>352</v>
      </c>
      <c r="D1331" s="163">
        <f t="shared" si="55"/>
        <v>57554.726239999996</v>
      </c>
      <c r="E1331" s="163">
        <f t="shared" si="56"/>
        <v>26339.946035502959</v>
      </c>
      <c r="F1331" s="163">
        <f t="shared" si="57"/>
        <v>40496.5</v>
      </c>
      <c r="G1331" s="163">
        <f t="shared" si="58"/>
        <v>124391.17227550296</v>
      </c>
    </row>
    <row r="1332" spans="1:7" ht="12.75" hidden="1" customHeight="1">
      <c r="A1332" s="42" t="s">
        <v>231</v>
      </c>
      <c r="B1332" s="43"/>
      <c r="C1332" s="43"/>
      <c r="D1332" s="44"/>
      <c r="E1332" s="44"/>
      <c r="F1332" s="44"/>
      <c r="G1332" s="44"/>
    </row>
    <row r="1333" spans="1:7" ht="12.75" hidden="1" customHeight="1">
      <c r="A1333" s="42" t="s">
        <v>232</v>
      </c>
      <c r="B1333" s="43"/>
      <c r="C1333" s="43"/>
      <c r="D1333" s="44"/>
      <c r="E1333" s="44"/>
      <c r="F1333" s="44"/>
      <c r="G1333" s="44"/>
    </row>
    <row r="1334" spans="1:7" ht="12.75" hidden="1" customHeight="1">
      <c r="A1334" s="42" t="s">
        <v>26</v>
      </c>
      <c r="B1334" s="43"/>
      <c r="C1334" s="43"/>
      <c r="D1334" s="44"/>
      <c r="E1334" s="44"/>
      <c r="F1334" s="44"/>
      <c r="G1334" s="44"/>
    </row>
    <row r="1335" spans="1:7" ht="12.75" hidden="1" customHeight="1">
      <c r="A1335" s="42" t="s">
        <v>27</v>
      </c>
      <c r="B1335" s="43"/>
      <c r="C1335" s="43"/>
      <c r="D1335" s="44"/>
      <c r="E1335" s="44"/>
      <c r="F1335" s="44"/>
      <c r="G1335" s="44"/>
    </row>
    <row r="1336" spans="1:7" ht="12.75" hidden="1" customHeight="1">
      <c r="A1336" s="42" t="s">
        <v>28</v>
      </c>
      <c r="B1336" s="43"/>
      <c r="C1336" s="43"/>
      <c r="D1336" s="44"/>
      <c r="E1336" s="44"/>
      <c r="F1336" s="44"/>
      <c r="G1336" s="44"/>
    </row>
    <row r="1337" spans="1:7" ht="12.75" hidden="1" customHeight="1">
      <c r="A1337" s="46" t="s">
        <v>233</v>
      </c>
      <c r="B1337" s="43"/>
      <c r="C1337" s="43"/>
      <c r="D1337" s="44"/>
      <c r="E1337" s="44"/>
      <c r="F1337" s="44"/>
      <c r="G1337" s="44"/>
    </row>
    <row r="1338" spans="1:7" ht="12.75" hidden="1" customHeight="1">
      <c r="A1338" s="46" t="s">
        <v>234</v>
      </c>
      <c r="B1338" s="43"/>
      <c r="C1338" s="43"/>
      <c r="D1338" s="44"/>
      <c r="E1338" s="44"/>
      <c r="F1338" s="44"/>
      <c r="G1338" s="44"/>
    </row>
    <row r="1339" spans="1:7" ht="12.75" hidden="1" customHeight="1">
      <c r="A1339" s="46" t="s">
        <v>235</v>
      </c>
      <c r="B1339" s="43"/>
      <c r="C1339" s="43"/>
      <c r="D1339" s="44"/>
      <c r="E1339" s="44"/>
      <c r="F1339" s="44"/>
      <c r="G1339" s="44"/>
    </row>
    <row r="1340" spans="1:7" ht="12.75" hidden="1" customHeight="1">
      <c r="A1340" s="46" t="s">
        <v>236</v>
      </c>
      <c r="B1340" s="43"/>
      <c r="C1340" s="43"/>
      <c r="D1340" s="44"/>
      <c r="E1340" s="44"/>
      <c r="F1340" s="44"/>
      <c r="G1340" s="44"/>
    </row>
    <row r="1341" spans="1:7" ht="12.75" hidden="1" customHeight="1">
      <c r="A1341" s="46" t="s">
        <v>411</v>
      </c>
      <c r="B1341" s="43"/>
      <c r="C1341" s="43"/>
      <c r="D1341" s="44"/>
      <c r="E1341" s="44"/>
      <c r="F1341" s="44"/>
      <c r="G1341" s="44"/>
    </row>
    <row r="1342" spans="1:7" ht="12.75" hidden="1" customHeight="1">
      <c r="A1342" s="49" t="s">
        <v>238</v>
      </c>
      <c r="B1342" s="48"/>
      <c r="C1342" s="48"/>
      <c r="D1342" s="44"/>
      <c r="E1342" s="44"/>
      <c r="F1342" s="44"/>
      <c r="G1342" s="44"/>
    </row>
    <row r="1343" spans="1:7" ht="12.75" hidden="1" customHeight="1">
      <c r="A1343" s="39" t="s">
        <v>239</v>
      </c>
      <c r="B1343" s="43"/>
      <c r="C1343" s="45"/>
      <c r="E1343" s="44"/>
      <c r="F1343" s="44"/>
      <c r="G1343" s="44"/>
    </row>
    <row r="1344" spans="1:7" ht="12.75" hidden="1" customHeight="1">
      <c r="A1344" s="39" t="s">
        <v>240</v>
      </c>
      <c r="B1344" s="43"/>
      <c r="C1344" s="45"/>
      <c r="D1344" s="44"/>
      <c r="E1344" s="44"/>
      <c r="F1344" s="44"/>
      <c r="G1344" s="44"/>
    </row>
    <row r="1345" spans="1:7" ht="12.75" hidden="1" customHeight="1">
      <c r="A1345" s="39" t="s">
        <v>241</v>
      </c>
      <c r="B1345" s="43"/>
      <c r="C1345" s="45"/>
      <c r="D1345" s="44"/>
      <c r="E1345" s="44"/>
      <c r="F1345" s="44"/>
      <c r="G1345" s="44"/>
    </row>
    <row r="1346" spans="1:7" ht="12.75" hidden="1" customHeight="1">
      <c r="A1346" s="39" t="s">
        <v>242</v>
      </c>
      <c r="B1346" s="43"/>
      <c r="C1346" s="45"/>
      <c r="D1346" s="44"/>
      <c r="E1346" s="44"/>
      <c r="F1346" s="44"/>
      <c r="G1346" s="44"/>
    </row>
    <row r="1347" spans="1:7" ht="12.75" hidden="1" customHeight="1">
      <c r="A1347" s="110" t="s">
        <v>386</v>
      </c>
      <c r="B1347" s="43"/>
      <c r="C1347" s="39"/>
      <c r="D1347" s="44"/>
      <c r="E1347" s="44"/>
      <c r="F1347" s="44"/>
      <c r="G1347" s="44"/>
    </row>
    <row r="1348" spans="1:7" ht="12.75" hidden="1" customHeight="1">
      <c r="A1348" s="42" t="s">
        <v>244</v>
      </c>
      <c r="B1348" s="45">
        <f>SUM(B1320:B1331)</f>
        <v>676</v>
      </c>
      <c r="C1348" s="45">
        <f>SUM(C1320:C1331)</f>
        <v>2000</v>
      </c>
      <c r="D1348" s="44">
        <v>327015.49</v>
      </c>
      <c r="E1348" s="44">
        <f>8121+90606+16305+64852.52+5592.6</f>
        <v>185477.12</v>
      </c>
      <c r="F1348" s="44">
        <v>230093.75</v>
      </c>
      <c r="G1348" s="44">
        <f>SUM(D1348:F1348)</f>
        <v>742586.36</v>
      </c>
    </row>
    <row r="1349" spans="1:7" ht="12.75" hidden="1" customHeight="1">
      <c r="A1349" s="268" t="s">
        <v>377</v>
      </c>
      <c r="B1349" s="268"/>
      <c r="C1349" s="268"/>
      <c r="D1349" s="268"/>
      <c r="E1349" s="268"/>
      <c r="F1349" s="268"/>
      <c r="G1349" s="268"/>
    </row>
    <row r="1350" spans="1:7" ht="12.75" hidden="1" customHeight="1">
      <c r="A1350" s="113"/>
      <c r="B1350" s="64"/>
      <c r="C1350" s="65"/>
      <c r="D1350" s="65"/>
      <c r="E1350" s="64"/>
      <c r="F1350" s="65"/>
      <c r="G1350" s="40"/>
    </row>
    <row r="1351" spans="1:7" ht="12.75" hidden="1" customHeight="1">
      <c r="A1351" s="65"/>
      <c r="B1351" s="64"/>
      <c r="C1351" s="65"/>
      <c r="D1351" s="65"/>
      <c r="E1351" s="64"/>
      <c r="F1351" s="65"/>
      <c r="G1351" s="40"/>
    </row>
    <row r="1352" spans="1:7" ht="12.75" hidden="1" customHeight="1">
      <c r="A1352" s="65"/>
      <c r="B1352" s="64"/>
      <c r="C1352" s="65"/>
      <c r="D1352" s="65"/>
      <c r="E1352" s="64"/>
      <c r="F1352" s="65"/>
      <c r="G1352" s="40"/>
    </row>
    <row r="1353" spans="1:7" ht="12.75" hidden="1" customHeight="1">
      <c r="A1353" s="65"/>
      <c r="B1353" s="64"/>
      <c r="C1353" s="65"/>
      <c r="D1353" s="65"/>
      <c r="E1353" s="64"/>
      <c r="F1353" s="65"/>
      <c r="G1353" s="40"/>
    </row>
    <row r="1354" spans="1:7" ht="12.75" hidden="1" customHeight="1">
      <c r="A1354" s="269" t="s">
        <v>476</v>
      </c>
      <c r="B1354" s="269"/>
      <c r="C1354" s="269"/>
      <c r="D1354" s="269"/>
      <c r="E1354" s="269"/>
      <c r="F1354" s="269"/>
      <c r="G1354" s="40"/>
    </row>
    <row r="1355" spans="1:7" ht="12.75" hidden="1" customHeight="1">
      <c r="A1355" s="42" t="s">
        <v>86</v>
      </c>
      <c r="B1355" s="43" t="s">
        <v>246</v>
      </c>
      <c r="C1355" s="43" t="s">
        <v>88</v>
      </c>
      <c r="D1355" s="43" t="s">
        <v>89</v>
      </c>
      <c r="E1355" s="43" t="s">
        <v>90</v>
      </c>
      <c r="F1355" s="43" t="s">
        <v>91</v>
      </c>
      <c r="G1355" s="40"/>
    </row>
    <row r="1356" spans="1:7" ht="12.75" hidden="1" customHeight="1">
      <c r="A1356" s="67" t="s">
        <v>247</v>
      </c>
      <c r="B1356" s="43"/>
      <c r="C1356" s="42"/>
      <c r="D1356" s="42"/>
      <c r="E1356" s="42"/>
      <c r="F1356" s="42"/>
      <c r="G1356" s="40"/>
    </row>
    <row r="1357" spans="1:7" ht="12.75" hidden="1" customHeight="1">
      <c r="A1357" s="67" t="s">
        <v>248</v>
      </c>
      <c r="B1357" s="43"/>
      <c r="C1357" s="42"/>
      <c r="D1357" s="42"/>
      <c r="E1357" s="42"/>
      <c r="F1357" s="42"/>
      <c r="G1357" s="40"/>
    </row>
    <row r="1358" spans="1:7" ht="12.75" hidden="1" customHeight="1">
      <c r="A1358" s="67" t="s">
        <v>249</v>
      </c>
      <c r="B1358" s="45"/>
      <c r="C1358" s="42"/>
      <c r="D1358" s="42"/>
      <c r="E1358" s="42"/>
      <c r="F1358" s="42"/>
      <c r="G1358" s="40"/>
    </row>
    <row r="1359" spans="1:7" ht="12.75" hidden="1" customHeight="1">
      <c r="A1359" s="160" t="s">
        <v>250</v>
      </c>
      <c r="B1359" s="158">
        <v>28</v>
      </c>
      <c r="C1359" s="161">
        <f>B1359/B$1391*C$1391</f>
        <v>14259.202601626015</v>
      </c>
      <c r="D1359" s="161">
        <f>C1359/C$1391*D$1391</f>
        <v>10646.345528455284</v>
      </c>
      <c r="E1359" s="161">
        <f>D1359/D$1391*E$1391</f>
        <v>9282.9913821138216</v>
      </c>
      <c r="F1359" s="161">
        <f>SUM(C1359:E1359)</f>
        <v>34188.539512195115</v>
      </c>
      <c r="G1359" s="40"/>
    </row>
    <row r="1360" spans="1:7" ht="12.75" hidden="1" customHeight="1">
      <c r="A1360" s="67" t="s">
        <v>251</v>
      </c>
      <c r="B1360" s="43"/>
      <c r="C1360" s="161">
        <f t="shared" ref="C1360:E1379" si="59">B1360/B$1391*C$1391</f>
        <v>0</v>
      </c>
      <c r="D1360" s="161">
        <f t="shared" si="59"/>
        <v>0</v>
      </c>
      <c r="E1360" s="161">
        <f t="shared" si="59"/>
        <v>0</v>
      </c>
      <c r="F1360" s="161">
        <f t="shared" ref="F1360:F1379" si="60">SUM(C1360:E1360)</f>
        <v>0</v>
      </c>
      <c r="G1360" s="40"/>
    </row>
    <row r="1361" spans="1:7" ht="12.75" hidden="1" customHeight="1">
      <c r="A1361" s="68" t="s">
        <v>252</v>
      </c>
      <c r="B1361" s="69"/>
      <c r="C1361" s="161">
        <f t="shared" si="59"/>
        <v>0</v>
      </c>
      <c r="D1361" s="161">
        <f t="shared" si="59"/>
        <v>0</v>
      </c>
      <c r="E1361" s="161">
        <f t="shared" si="59"/>
        <v>0</v>
      </c>
      <c r="F1361" s="161">
        <f t="shared" si="60"/>
        <v>0</v>
      </c>
      <c r="G1361" s="40"/>
    </row>
    <row r="1362" spans="1:7" ht="12.75" hidden="1" customHeight="1">
      <c r="A1362" s="68" t="s">
        <v>253</v>
      </c>
      <c r="B1362" s="69"/>
      <c r="C1362" s="161">
        <f t="shared" si="59"/>
        <v>0</v>
      </c>
      <c r="D1362" s="161">
        <f t="shared" si="59"/>
        <v>0</v>
      </c>
      <c r="E1362" s="161">
        <f t="shared" si="59"/>
        <v>0</v>
      </c>
      <c r="F1362" s="161">
        <f t="shared" si="60"/>
        <v>0</v>
      </c>
      <c r="G1362" s="40"/>
    </row>
    <row r="1363" spans="1:7" ht="12.75" hidden="1" customHeight="1">
      <c r="A1363" s="67" t="s">
        <v>254</v>
      </c>
      <c r="B1363" s="70">
        <v>50</v>
      </c>
      <c r="C1363" s="53">
        <f t="shared" si="59"/>
        <v>25462.861788617884</v>
      </c>
      <c r="D1363" s="53">
        <f t="shared" si="59"/>
        <v>19011.331300813006</v>
      </c>
      <c r="E1363" s="53">
        <f t="shared" si="59"/>
        <v>16576.770325203252</v>
      </c>
      <c r="F1363" s="42">
        <f t="shared" si="60"/>
        <v>61050.963414634141</v>
      </c>
      <c r="G1363" s="40"/>
    </row>
    <row r="1364" spans="1:7" ht="12.75" hidden="1" customHeight="1">
      <c r="A1364" s="67" t="s">
        <v>255</v>
      </c>
      <c r="B1364" s="70"/>
      <c r="C1364" s="42">
        <f t="shared" si="59"/>
        <v>0</v>
      </c>
      <c r="D1364" s="42">
        <f t="shared" si="59"/>
        <v>0</v>
      </c>
      <c r="E1364" s="42">
        <f t="shared" si="59"/>
        <v>0</v>
      </c>
      <c r="F1364" s="42">
        <f t="shared" si="60"/>
        <v>0</v>
      </c>
      <c r="G1364" s="40"/>
    </row>
    <row r="1365" spans="1:7" ht="12.75" hidden="1" customHeight="1">
      <c r="A1365" s="67" t="s">
        <v>256</v>
      </c>
      <c r="B1365" s="70"/>
      <c r="C1365" s="42">
        <f t="shared" si="59"/>
        <v>0</v>
      </c>
      <c r="D1365" s="42">
        <f t="shared" si="59"/>
        <v>0</v>
      </c>
      <c r="E1365" s="42">
        <f t="shared" si="59"/>
        <v>0</v>
      </c>
      <c r="F1365" s="42">
        <f t="shared" si="60"/>
        <v>0</v>
      </c>
      <c r="G1365" s="40"/>
    </row>
    <row r="1366" spans="1:7" ht="12.75" hidden="1" customHeight="1">
      <c r="A1366" s="67" t="s">
        <v>257</v>
      </c>
      <c r="B1366" s="70">
        <v>85</v>
      </c>
      <c r="C1366" s="53">
        <f t="shared" si="59"/>
        <v>43286.865040650402</v>
      </c>
      <c r="D1366" s="53">
        <f t="shared" si="59"/>
        <v>32319.263211382113</v>
      </c>
      <c r="E1366" s="53">
        <f t="shared" si="59"/>
        <v>28180.509552845531</v>
      </c>
      <c r="F1366" s="42">
        <f t="shared" si="60"/>
        <v>103786.63780487805</v>
      </c>
      <c r="G1366" s="40"/>
    </row>
    <row r="1367" spans="1:7" ht="12.75" hidden="1" customHeight="1">
      <c r="A1367" s="71" t="s">
        <v>258</v>
      </c>
      <c r="B1367" s="72"/>
      <c r="C1367" s="161">
        <f t="shared" si="59"/>
        <v>0</v>
      </c>
      <c r="D1367" s="161">
        <f t="shared" si="59"/>
        <v>0</v>
      </c>
      <c r="E1367" s="161">
        <f t="shared" si="59"/>
        <v>0</v>
      </c>
      <c r="F1367" s="161">
        <f t="shared" si="60"/>
        <v>0</v>
      </c>
      <c r="G1367" s="40"/>
    </row>
    <row r="1368" spans="1:7" ht="12.75" hidden="1" customHeight="1">
      <c r="A1368" s="67" t="s">
        <v>259</v>
      </c>
      <c r="B1368" s="43"/>
      <c r="C1368" s="161">
        <f t="shared" si="59"/>
        <v>0</v>
      </c>
      <c r="D1368" s="161">
        <f t="shared" si="59"/>
        <v>0</v>
      </c>
      <c r="E1368" s="161">
        <f t="shared" si="59"/>
        <v>0</v>
      </c>
      <c r="F1368" s="161">
        <f t="shared" si="60"/>
        <v>0</v>
      </c>
      <c r="G1368" s="40"/>
    </row>
    <row r="1369" spans="1:7" ht="12.75" hidden="1" customHeight="1">
      <c r="A1369" s="162" t="s">
        <v>260</v>
      </c>
      <c r="B1369" s="158">
        <v>12</v>
      </c>
      <c r="C1369" s="161">
        <f t="shared" si="59"/>
        <v>6111.0868292682926</v>
      </c>
      <c r="D1369" s="161">
        <f t="shared" si="59"/>
        <v>4562.7195121951218</v>
      </c>
      <c r="E1369" s="161">
        <f t="shared" si="59"/>
        <v>3978.4248780487806</v>
      </c>
      <c r="F1369" s="161">
        <f t="shared" si="60"/>
        <v>14652.231219512196</v>
      </c>
      <c r="G1369" s="40"/>
    </row>
    <row r="1370" spans="1:7" ht="12.75" hidden="1" customHeight="1">
      <c r="A1370" s="73" t="s">
        <v>261</v>
      </c>
      <c r="B1370" s="43"/>
      <c r="C1370" s="161">
        <f t="shared" si="59"/>
        <v>0</v>
      </c>
      <c r="D1370" s="161">
        <f t="shared" si="59"/>
        <v>0</v>
      </c>
      <c r="E1370" s="161">
        <f t="shared" si="59"/>
        <v>0</v>
      </c>
      <c r="F1370" s="161">
        <f t="shared" si="60"/>
        <v>0</v>
      </c>
      <c r="G1370" s="40"/>
    </row>
    <row r="1371" spans="1:7" ht="12.75" hidden="1" customHeight="1">
      <c r="A1371" s="73" t="s">
        <v>262</v>
      </c>
      <c r="B1371" s="43"/>
      <c r="C1371" s="161">
        <f t="shared" si="59"/>
        <v>0</v>
      </c>
      <c r="D1371" s="161">
        <f t="shared" si="59"/>
        <v>0</v>
      </c>
      <c r="E1371" s="161">
        <f t="shared" si="59"/>
        <v>0</v>
      </c>
      <c r="F1371" s="161">
        <f t="shared" si="60"/>
        <v>0</v>
      </c>
      <c r="G1371" s="40"/>
    </row>
    <row r="1372" spans="1:7" ht="12.75" hidden="1" customHeight="1">
      <c r="A1372" s="74" t="s">
        <v>263</v>
      </c>
      <c r="B1372" s="43"/>
      <c r="C1372" s="161">
        <f t="shared" si="59"/>
        <v>0</v>
      </c>
      <c r="D1372" s="161">
        <f t="shared" si="59"/>
        <v>0</v>
      </c>
      <c r="E1372" s="161">
        <f t="shared" si="59"/>
        <v>0</v>
      </c>
      <c r="F1372" s="161">
        <f t="shared" si="60"/>
        <v>0</v>
      </c>
      <c r="G1372" s="40"/>
    </row>
    <row r="1373" spans="1:7" ht="12.75" hidden="1" customHeight="1">
      <c r="A1373" s="74" t="s">
        <v>264</v>
      </c>
      <c r="B1373" s="43"/>
      <c r="C1373" s="161">
        <f t="shared" si="59"/>
        <v>0</v>
      </c>
      <c r="D1373" s="161">
        <f t="shared" si="59"/>
        <v>0</v>
      </c>
      <c r="E1373" s="161">
        <f t="shared" si="59"/>
        <v>0</v>
      </c>
      <c r="F1373" s="161">
        <f t="shared" si="60"/>
        <v>0</v>
      </c>
      <c r="G1373" s="40"/>
    </row>
    <row r="1374" spans="1:7" ht="12.75" hidden="1" customHeight="1">
      <c r="A1374" s="74" t="s">
        <v>265</v>
      </c>
      <c r="B1374" s="43">
        <v>26</v>
      </c>
      <c r="C1374" s="53">
        <f t="shared" si="59"/>
        <v>13240.688130081302</v>
      </c>
      <c r="D1374" s="53">
        <f t="shared" si="59"/>
        <v>9885.8922764227646</v>
      </c>
      <c r="E1374" s="53">
        <f t="shared" si="59"/>
        <v>8619.9205691056923</v>
      </c>
      <c r="F1374" s="42">
        <f t="shared" si="60"/>
        <v>31746.500975609757</v>
      </c>
      <c r="G1374" s="40"/>
    </row>
    <row r="1375" spans="1:7" ht="12.75" hidden="1" customHeight="1">
      <c r="A1375" s="74" t="s">
        <v>266</v>
      </c>
      <c r="B1375" s="43">
        <v>26</v>
      </c>
      <c r="C1375" s="53">
        <f t="shared" si="59"/>
        <v>13240.688130081302</v>
      </c>
      <c r="D1375" s="53">
        <f t="shared" si="59"/>
        <v>9885.8922764227646</v>
      </c>
      <c r="E1375" s="53">
        <f t="shared" si="59"/>
        <v>8619.9205691056923</v>
      </c>
      <c r="F1375" s="42">
        <f t="shared" si="60"/>
        <v>31746.500975609757</v>
      </c>
      <c r="G1375" s="40"/>
    </row>
    <row r="1376" spans="1:7" ht="12.75" hidden="1" customHeight="1">
      <c r="A1376" s="74" t="s">
        <v>267</v>
      </c>
      <c r="B1376" s="43"/>
      <c r="C1376" s="42">
        <f t="shared" si="59"/>
        <v>0</v>
      </c>
      <c r="D1376" s="42">
        <f t="shared" si="59"/>
        <v>0</v>
      </c>
      <c r="E1376" s="42">
        <f t="shared" si="59"/>
        <v>0</v>
      </c>
      <c r="F1376" s="42">
        <f t="shared" si="60"/>
        <v>0</v>
      </c>
      <c r="G1376" s="40"/>
    </row>
    <row r="1377" spans="1:7" ht="12.75" hidden="1" customHeight="1">
      <c r="A1377" s="74" t="s">
        <v>268</v>
      </c>
      <c r="B1377" s="43"/>
      <c r="C1377" s="42">
        <f t="shared" si="59"/>
        <v>0</v>
      </c>
      <c r="D1377" s="42">
        <f t="shared" si="59"/>
        <v>0</v>
      </c>
      <c r="E1377" s="42">
        <f t="shared" si="59"/>
        <v>0</v>
      </c>
      <c r="F1377" s="42">
        <f t="shared" si="60"/>
        <v>0</v>
      </c>
      <c r="G1377" s="40"/>
    </row>
    <row r="1378" spans="1:7" ht="12.75" hidden="1" customHeight="1">
      <c r="A1378" s="67" t="s">
        <v>269</v>
      </c>
      <c r="B1378" s="43"/>
      <c r="C1378" s="42">
        <f t="shared" si="59"/>
        <v>0</v>
      </c>
      <c r="D1378" s="42">
        <f t="shared" si="59"/>
        <v>0</v>
      </c>
      <c r="E1378" s="42">
        <f t="shared" si="59"/>
        <v>0</v>
      </c>
      <c r="F1378" s="42">
        <f t="shared" si="60"/>
        <v>0</v>
      </c>
      <c r="G1378" s="40"/>
    </row>
    <row r="1379" spans="1:7" ht="12.75" hidden="1" customHeight="1">
      <c r="A1379" s="159" t="s">
        <v>507</v>
      </c>
      <c r="B1379" s="43">
        <v>19</v>
      </c>
      <c r="C1379" s="53">
        <f t="shared" si="59"/>
        <v>9675.8874796747969</v>
      </c>
      <c r="D1379" s="53">
        <f t="shared" si="59"/>
        <v>7224.3058943089436</v>
      </c>
      <c r="E1379" s="53">
        <f t="shared" si="59"/>
        <v>6299.1727235772369</v>
      </c>
      <c r="F1379" s="42">
        <f t="shared" si="60"/>
        <v>23199.366097560978</v>
      </c>
      <c r="G1379" s="40"/>
    </row>
    <row r="1380" spans="1:7" ht="12.75" hidden="1" customHeight="1">
      <c r="A1380" s="67" t="s">
        <v>271</v>
      </c>
      <c r="B1380" s="43"/>
      <c r="C1380" s="42"/>
      <c r="D1380" s="42"/>
      <c r="E1380" s="161">
        <f t="shared" ref="E1380:E1390" si="61">D1380/D$1391*E$1391</f>
        <v>0</v>
      </c>
      <c r="F1380" s="42"/>
      <c r="G1380" s="40"/>
    </row>
    <row r="1381" spans="1:7" ht="12.75" hidden="1" customHeight="1">
      <c r="A1381" s="67" t="s">
        <v>272</v>
      </c>
      <c r="B1381" s="43"/>
      <c r="C1381" s="42"/>
      <c r="D1381" s="42"/>
      <c r="E1381" s="161">
        <f t="shared" si="61"/>
        <v>0</v>
      </c>
      <c r="F1381" s="42"/>
      <c r="G1381" s="40"/>
    </row>
    <row r="1382" spans="1:7" ht="12.75" hidden="1" customHeight="1">
      <c r="A1382" s="67" t="s">
        <v>273</v>
      </c>
      <c r="B1382" s="43"/>
      <c r="C1382" s="42"/>
      <c r="D1382" s="42"/>
      <c r="E1382" s="161">
        <f t="shared" si="61"/>
        <v>0</v>
      </c>
      <c r="F1382" s="42"/>
      <c r="G1382" s="40"/>
    </row>
    <row r="1383" spans="1:7" ht="12.75" hidden="1" customHeight="1">
      <c r="A1383" s="67" t="s">
        <v>274</v>
      </c>
      <c r="B1383" s="43"/>
      <c r="C1383" s="42"/>
      <c r="D1383" s="42"/>
      <c r="E1383" s="161">
        <f t="shared" si="61"/>
        <v>0</v>
      </c>
      <c r="F1383" s="42"/>
      <c r="G1383" s="40"/>
    </row>
    <row r="1384" spans="1:7" ht="12.75" hidden="1" customHeight="1">
      <c r="A1384" s="67" t="s">
        <v>275</v>
      </c>
      <c r="B1384" s="43"/>
      <c r="C1384" s="42"/>
      <c r="D1384" s="42"/>
      <c r="E1384" s="161">
        <f t="shared" si="61"/>
        <v>0</v>
      </c>
      <c r="F1384" s="42"/>
      <c r="G1384" s="40"/>
    </row>
    <row r="1385" spans="1:7" ht="12.75" hidden="1" customHeight="1">
      <c r="A1385" s="67" t="s">
        <v>276</v>
      </c>
      <c r="B1385" s="43"/>
      <c r="C1385" s="42"/>
      <c r="D1385" s="42"/>
      <c r="E1385" s="161">
        <f t="shared" si="61"/>
        <v>0</v>
      </c>
      <c r="F1385" s="42"/>
      <c r="G1385" s="40"/>
    </row>
    <row r="1386" spans="1:7" ht="12.75" hidden="1" customHeight="1">
      <c r="A1386" s="67" t="s">
        <v>277</v>
      </c>
      <c r="B1386" s="43"/>
      <c r="C1386" s="42"/>
      <c r="D1386" s="42"/>
      <c r="E1386" s="161">
        <f t="shared" si="61"/>
        <v>0</v>
      </c>
      <c r="F1386" s="42"/>
      <c r="G1386" s="40"/>
    </row>
    <row r="1387" spans="1:7" ht="12.75" hidden="1" customHeight="1">
      <c r="A1387" s="49" t="s">
        <v>278</v>
      </c>
      <c r="B1387" s="43"/>
      <c r="C1387" s="42"/>
      <c r="D1387" s="42"/>
      <c r="E1387" s="161">
        <f t="shared" si="61"/>
        <v>0</v>
      </c>
      <c r="F1387" s="42"/>
      <c r="G1387" s="40"/>
    </row>
    <row r="1388" spans="1:7" ht="12.75" hidden="1" customHeight="1">
      <c r="A1388" s="39" t="s">
        <v>202</v>
      </c>
      <c r="B1388" s="43"/>
      <c r="C1388" s="42"/>
      <c r="D1388" s="42"/>
      <c r="E1388" s="161">
        <f t="shared" si="61"/>
        <v>0</v>
      </c>
      <c r="F1388" s="42"/>
      <c r="G1388" s="40"/>
    </row>
    <row r="1389" spans="1:7" ht="12.75" hidden="1" customHeight="1">
      <c r="A1389" s="39" t="s">
        <v>279</v>
      </c>
      <c r="B1389" s="43"/>
      <c r="C1389" s="42"/>
      <c r="D1389" s="42"/>
      <c r="E1389" s="161">
        <f t="shared" si="61"/>
        <v>0</v>
      </c>
      <c r="F1389" s="42"/>
      <c r="G1389" s="40"/>
    </row>
    <row r="1390" spans="1:7" ht="12.75" hidden="1" customHeight="1">
      <c r="A1390" s="39" t="s">
        <v>280</v>
      </c>
      <c r="B1390" s="43"/>
      <c r="C1390" s="42"/>
      <c r="D1390" s="42"/>
      <c r="E1390" s="161">
        <f t="shared" si="61"/>
        <v>0</v>
      </c>
      <c r="F1390" s="42"/>
      <c r="G1390" s="40"/>
    </row>
    <row r="1391" spans="1:7" ht="12.75" hidden="1" customHeight="1">
      <c r="A1391" s="75" t="s">
        <v>281</v>
      </c>
      <c r="B1391" s="43">
        <f>SUM(B1359:B1379)</f>
        <v>246</v>
      </c>
      <c r="C1391" s="42">
        <v>125277.28</v>
      </c>
      <c r="D1391" s="42">
        <f>10202+17123+9655.6+51779.55+4775.6</f>
        <v>93535.75</v>
      </c>
      <c r="E1391" s="44">
        <f>81557.71</f>
        <v>81557.710000000006</v>
      </c>
      <c r="F1391" s="42">
        <f>SUM(C1391:E1391)</f>
        <v>300370.74</v>
      </c>
      <c r="G1391" s="40"/>
    </row>
    <row r="1392" spans="1:7" ht="12.75" hidden="1" customHeight="1">
      <c r="A1392" s="109"/>
      <c r="B1392" s="41"/>
      <c r="C1392" s="40"/>
      <c r="D1392" s="40"/>
      <c r="E1392" s="41"/>
      <c r="F1392" s="40"/>
      <c r="G1392" s="40"/>
    </row>
    <row r="1393" spans="1:7" ht="12.75" hidden="1" customHeight="1">
      <c r="A1393" s="76"/>
      <c r="B1393" s="41"/>
      <c r="C1393" s="40"/>
      <c r="D1393" s="40"/>
      <c r="E1393" s="41"/>
      <c r="F1393" s="40"/>
      <c r="G1393" s="40"/>
    </row>
    <row r="1394" spans="1:7" ht="12.75" hidden="1" customHeight="1">
      <c r="A1394" s="269" t="s">
        <v>477</v>
      </c>
      <c r="B1394" s="269"/>
      <c r="C1394" s="269"/>
      <c r="D1394" s="269"/>
      <c r="E1394" s="269"/>
      <c r="F1394" s="269"/>
      <c r="G1394" s="40"/>
    </row>
    <row r="1395" spans="1:7" ht="12.75" hidden="1" customHeight="1">
      <c r="A1395" s="42" t="s">
        <v>86</v>
      </c>
      <c r="B1395" s="43" t="s">
        <v>87</v>
      </c>
      <c r="C1395" s="43" t="s">
        <v>88</v>
      </c>
      <c r="D1395" s="43" t="s">
        <v>89</v>
      </c>
      <c r="E1395" s="43" t="s">
        <v>90</v>
      </c>
      <c r="F1395" s="43" t="s">
        <v>91</v>
      </c>
      <c r="G1395" s="40"/>
    </row>
    <row r="1396" spans="1:7" ht="12.75" hidden="1" customHeight="1">
      <c r="A1396" s="39" t="s">
        <v>284</v>
      </c>
      <c r="B1396" s="43">
        <v>40</v>
      </c>
      <c r="C1396" s="66">
        <f>B1396/B$1460*C$1460</f>
        <v>44880.903826955073</v>
      </c>
      <c r="D1396" s="66">
        <f>C1396/C$1460*D$1460</f>
        <v>62325.97004991681</v>
      </c>
      <c r="E1396" s="66">
        <f>D1396/D$1460*E$1460</f>
        <v>21853.722462562393</v>
      </c>
      <c r="F1396" s="44">
        <f>SUM(C1396:E1396)</f>
        <v>129060.59633943428</v>
      </c>
      <c r="G1396" s="40"/>
    </row>
    <row r="1397" spans="1:7" ht="12.75" hidden="1" customHeight="1">
      <c r="A1397" s="39" t="s">
        <v>285</v>
      </c>
      <c r="B1397" s="43"/>
      <c r="C1397" s="44">
        <f t="shared" ref="C1397:E1458" si="62">B1397/B$1460*C$1460</f>
        <v>0</v>
      </c>
      <c r="D1397" s="44">
        <f t="shared" si="62"/>
        <v>0</v>
      </c>
      <c r="E1397" s="44">
        <f t="shared" si="62"/>
        <v>0</v>
      </c>
      <c r="F1397" s="44">
        <f t="shared" ref="F1397:F1458" si="63">SUM(C1397:E1397)</f>
        <v>0</v>
      </c>
      <c r="G1397" s="40"/>
    </row>
    <row r="1398" spans="1:7" ht="12.75" hidden="1" customHeight="1">
      <c r="A1398" s="39" t="s">
        <v>286</v>
      </c>
      <c r="B1398" s="43">
        <v>10</v>
      </c>
      <c r="C1398" s="66">
        <f t="shared" si="62"/>
        <v>11220.225956738768</v>
      </c>
      <c r="D1398" s="66">
        <f t="shared" si="62"/>
        <v>15581.492512479203</v>
      </c>
      <c r="E1398" s="66">
        <f t="shared" si="62"/>
        <v>5463.4306156405983</v>
      </c>
      <c r="F1398" s="44">
        <f t="shared" si="63"/>
        <v>32265.149084858571</v>
      </c>
      <c r="G1398" s="40"/>
    </row>
    <row r="1399" spans="1:7" ht="12.75" hidden="1" customHeight="1">
      <c r="A1399" s="39" t="s">
        <v>287</v>
      </c>
      <c r="B1399" s="43">
        <v>23.5</v>
      </c>
      <c r="C1399" s="66">
        <f t="shared" si="62"/>
        <v>26367.530998336104</v>
      </c>
      <c r="D1399" s="66">
        <f t="shared" si="62"/>
        <v>36616.507404326127</v>
      </c>
      <c r="E1399" s="66">
        <f t="shared" si="62"/>
        <v>12839.061946755408</v>
      </c>
      <c r="F1399" s="44">
        <f t="shared" si="63"/>
        <v>75823.10034941764</v>
      </c>
      <c r="G1399" s="40"/>
    </row>
    <row r="1400" spans="1:7" ht="12.75" hidden="1" customHeight="1">
      <c r="A1400" s="39" t="s">
        <v>288</v>
      </c>
      <c r="B1400" s="43"/>
      <c r="C1400" s="44">
        <f t="shared" si="62"/>
        <v>0</v>
      </c>
      <c r="D1400" s="44">
        <f t="shared" si="62"/>
        <v>0</v>
      </c>
      <c r="E1400" s="44">
        <f t="shared" si="62"/>
        <v>0</v>
      </c>
      <c r="F1400" s="44">
        <f t="shared" si="63"/>
        <v>0</v>
      </c>
      <c r="G1400" s="40"/>
    </row>
    <row r="1401" spans="1:7" ht="12.75" hidden="1" customHeight="1">
      <c r="A1401" s="39" t="s">
        <v>289</v>
      </c>
      <c r="B1401" s="43"/>
      <c r="C1401" s="44">
        <f t="shared" si="62"/>
        <v>0</v>
      </c>
      <c r="D1401" s="44">
        <f t="shared" si="62"/>
        <v>0</v>
      </c>
      <c r="E1401" s="44">
        <f t="shared" si="62"/>
        <v>0</v>
      </c>
      <c r="F1401" s="44">
        <f t="shared" si="63"/>
        <v>0</v>
      </c>
      <c r="G1401" s="40"/>
    </row>
    <row r="1402" spans="1:7" ht="12.75" hidden="1" customHeight="1">
      <c r="A1402" s="39" t="s">
        <v>290</v>
      </c>
      <c r="B1402" s="43"/>
      <c r="C1402" s="44">
        <f t="shared" si="62"/>
        <v>0</v>
      </c>
      <c r="D1402" s="44">
        <f t="shared" si="62"/>
        <v>0</v>
      </c>
      <c r="E1402" s="44">
        <f t="shared" si="62"/>
        <v>0</v>
      </c>
      <c r="F1402" s="44">
        <f t="shared" si="63"/>
        <v>0</v>
      </c>
      <c r="G1402" s="40"/>
    </row>
    <row r="1403" spans="1:7" ht="12.75" hidden="1" customHeight="1">
      <c r="A1403" s="39" t="s">
        <v>291</v>
      </c>
      <c r="B1403" s="43"/>
      <c r="C1403" s="44">
        <f t="shared" si="62"/>
        <v>0</v>
      </c>
      <c r="D1403" s="44">
        <f t="shared" si="62"/>
        <v>0</v>
      </c>
      <c r="E1403" s="44">
        <f t="shared" si="62"/>
        <v>0</v>
      </c>
      <c r="F1403" s="44">
        <f t="shared" si="63"/>
        <v>0</v>
      </c>
      <c r="G1403" s="40"/>
    </row>
    <row r="1404" spans="1:7" ht="12.75" hidden="1" customHeight="1">
      <c r="A1404" s="39" t="s">
        <v>292</v>
      </c>
      <c r="B1404" s="43"/>
      <c r="C1404" s="44">
        <f t="shared" si="62"/>
        <v>0</v>
      </c>
      <c r="D1404" s="44">
        <f t="shared" si="62"/>
        <v>0</v>
      </c>
      <c r="E1404" s="44">
        <f t="shared" si="62"/>
        <v>0</v>
      </c>
      <c r="F1404" s="44">
        <f t="shared" si="63"/>
        <v>0</v>
      </c>
      <c r="G1404" s="40"/>
    </row>
    <row r="1405" spans="1:7" ht="12.75" hidden="1" customHeight="1">
      <c r="A1405" s="39" t="s">
        <v>293</v>
      </c>
      <c r="B1405" s="43"/>
      <c r="C1405" s="44">
        <f t="shared" si="62"/>
        <v>0</v>
      </c>
      <c r="D1405" s="44">
        <f t="shared" si="62"/>
        <v>0</v>
      </c>
      <c r="E1405" s="44">
        <f t="shared" si="62"/>
        <v>0</v>
      </c>
      <c r="F1405" s="44">
        <f t="shared" si="63"/>
        <v>0</v>
      </c>
      <c r="G1405" s="40"/>
    </row>
    <row r="1406" spans="1:7" ht="12.75" hidden="1" customHeight="1">
      <c r="A1406" s="39" t="s">
        <v>30</v>
      </c>
      <c r="B1406" s="45">
        <v>4</v>
      </c>
      <c r="C1406" s="66">
        <f t="shared" si="62"/>
        <v>4488.0903826955073</v>
      </c>
      <c r="D1406" s="66">
        <f t="shared" si="62"/>
        <v>6232.5970049916814</v>
      </c>
      <c r="E1406" s="66">
        <f t="shared" si="62"/>
        <v>2185.3722462562396</v>
      </c>
      <c r="F1406" s="44">
        <f t="shared" si="63"/>
        <v>12906.059633943429</v>
      </c>
      <c r="G1406" s="40"/>
    </row>
    <row r="1407" spans="1:7" ht="12.75" hidden="1" customHeight="1">
      <c r="A1407" s="39" t="s">
        <v>294</v>
      </c>
      <c r="B1407" s="43">
        <v>19.5</v>
      </c>
      <c r="C1407" s="66">
        <f t="shared" si="62"/>
        <v>21879.440615640597</v>
      </c>
      <c r="D1407" s="66">
        <f t="shared" si="62"/>
        <v>30383.910399334443</v>
      </c>
      <c r="E1407" s="66">
        <f t="shared" si="62"/>
        <v>10653.689700499168</v>
      </c>
      <c r="F1407" s="44">
        <f t="shared" si="63"/>
        <v>62917.040715474206</v>
      </c>
      <c r="G1407" s="40"/>
    </row>
    <row r="1408" spans="1:7" ht="12.75" hidden="1" customHeight="1">
      <c r="A1408" s="39" t="s">
        <v>31</v>
      </c>
      <c r="B1408" s="43"/>
      <c r="C1408" s="44">
        <f t="shared" si="62"/>
        <v>0</v>
      </c>
      <c r="D1408" s="44">
        <f t="shared" si="62"/>
        <v>0</v>
      </c>
      <c r="E1408" s="44">
        <f t="shared" si="62"/>
        <v>0</v>
      </c>
      <c r="F1408" s="44">
        <f t="shared" si="63"/>
        <v>0</v>
      </c>
      <c r="G1408" s="40"/>
    </row>
    <row r="1409" spans="1:7" ht="12.75" hidden="1" customHeight="1">
      <c r="A1409" s="39" t="s">
        <v>295</v>
      </c>
      <c r="B1409" s="43"/>
      <c r="C1409" s="44">
        <f t="shared" si="62"/>
        <v>0</v>
      </c>
      <c r="D1409" s="44">
        <f t="shared" si="62"/>
        <v>0</v>
      </c>
      <c r="E1409" s="44">
        <f t="shared" si="62"/>
        <v>0</v>
      </c>
      <c r="F1409" s="44">
        <f t="shared" si="63"/>
        <v>0</v>
      </c>
      <c r="G1409" s="40"/>
    </row>
    <row r="1410" spans="1:7" ht="12.75" hidden="1" customHeight="1">
      <c r="A1410" s="39" t="s">
        <v>296</v>
      </c>
      <c r="B1410" s="41"/>
      <c r="C1410" s="44">
        <f t="shared" si="62"/>
        <v>0</v>
      </c>
      <c r="D1410" s="44">
        <f t="shared" si="62"/>
        <v>0</v>
      </c>
      <c r="E1410" s="44">
        <f t="shared" si="62"/>
        <v>0</v>
      </c>
      <c r="F1410" s="44">
        <f t="shared" si="63"/>
        <v>0</v>
      </c>
      <c r="G1410" s="40"/>
    </row>
    <row r="1411" spans="1:7" ht="12.75" hidden="1" customHeight="1">
      <c r="A1411" s="39" t="s">
        <v>297</v>
      </c>
      <c r="B1411" s="43"/>
      <c r="C1411" s="44">
        <f t="shared" si="62"/>
        <v>0</v>
      </c>
      <c r="D1411" s="44">
        <f t="shared" si="62"/>
        <v>0</v>
      </c>
      <c r="E1411" s="44">
        <f t="shared" si="62"/>
        <v>0</v>
      </c>
      <c r="F1411" s="44">
        <f t="shared" si="63"/>
        <v>0</v>
      </c>
      <c r="G1411" s="40"/>
    </row>
    <row r="1412" spans="1:7" ht="12.75" hidden="1" customHeight="1">
      <c r="A1412" s="39" t="s">
        <v>492</v>
      </c>
      <c r="B1412" s="43"/>
      <c r="C1412" s="44">
        <f t="shared" si="62"/>
        <v>0</v>
      </c>
      <c r="D1412" s="44">
        <f t="shared" si="62"/>
        <v>0</v>
      </c>
      <c r="E1412" s="44">
        <f t="shared" si="62"/>
        <v>0</v>
      </c>
      <c r="F1412" s="44">
        <f t="shared" si="63"/>
        <v>0</v>
      </c>
      <c r="G1412" s="40"/>
    </row>
    <row r="1413" spans="1:7" ht="12.75" hidden="1" customHeight="1">
      <c r="A1413" s="39" t="s">
        <v>494</v>
      </c>
      <c r="B1413" s="43">
        <v>22.5</v>
      </c>
      <c r="C1413" s="66">
        <f t="shared" si="62"/>
        <v>25245.508402662228</v>
      </c>
      <c r="D1413" s="66">
        <f t="shared" si="62"/>
        <v>35058.35815307821</v>
      </c>
      <c r="E1413" s="66">
        <f t="shared" si="62"/>
        <v>12292.718885191351</v>
      </c>
      <c r="F1413" s="44">
        <f t="shared" si="63"/>
        <v>72596.585440931784</v>
      </c>
      <c r="G1413" s="40"/>
    </row>
    <row r="1414" spans="1:7" ht="12.75" hidden="1" customHeight="1">
      <c r="A1414" s="39" t="s">
        <v>300</v>
      </c>
      <c r="B1414" s="45"/>
      <c r="C1414" s="44">
        <f t="shared" si="62"/>
        <v>0</v>
      </c>
      <c r="D1414" s="44">
        <f t="shared" si="62"/>
        <v>0</v>
      </c>
      <c r="E1414" s="44">
        <f t="shared" si="62"/>
        <v>0</v>
      </c>
      <c r="F1414" s="44">
        <f t="shared" si="63"/>
        <v>0</v>
      </c>
      <c r="G1414" s="40"/>
    </row>
    <row r="1415" spans="1:7" ht="12.75" hidden="1" customHeight="1">
      <c r="A1415" s="39" t="s">
        <v>301</v>
      </c>
      <c r="B1415" s="43">
        <v>10.5</v>
      </c>
      <c r="C1415" s="66">
        <f t="shared" si="62"/>
        <v>11781.237254575706</v>
      </c>
      <c r="D1415" s="66">
        <f t="shared" si="62"/>
        <v>16360.567138103161</v>
      </c>
      <c r="E1415" s="66">
        <f t="shared" si="62"/>
        <v>5736.6021464226287</v>
      </c>
      <c r="F1415" s="44">
        <f t="shared" si="63"/>
        <v>33878.406539101496</v>
      </c>
      <c r="G1415" s="40"/>
    </row>
    <row r="1416" spans="1:7" ht="12.75" hidden="1" customHeight="1">
      <c r="A1416" s="39" t="s">
        <v>32</v>
      </c>
      <c r="B1416" s="43">
        <v>58</v>
      </c>
      <c r="C1416" s="66">
        <f t="shared" si="62"/>
        <v>65077.310549084854</v>
      </c>
      <c r="D1416" s="66">
        <f t="shared" si="62"/>
        <v>90372.656572379376</v>
      </c>
      <c r="E1416" s="66">
        <f t="shared" si="62"/>
        <v>31687.897570715471</v>
      </c>
      <c r="F1416" s="44">
        <f t="shared" si="63"/>
        <v>187137.86469217969</v>
      </c>
      <c r="G1416" s="40"/>
    </row>
    <row r="1417" spans="1:7" ht="12.75" hidden="1" customHeight="1">
      <c r="A1417" s="39" t="s">
        <v>491</v>
      </c>
      <c r="B1417" s="45">
        <v>20.5</v>
      </c>
      <c r="C1417" s="66">
        <f t="shared" si="62"/>
        <v>23001.463211314473</v>
      </c>
      <c r="D1417" s="66">
        <f t="shared" si="62"/>
        <v>31942.059650582363</v>
      </c>
      <c r="E1417" s="66">
        <f t="shared" si="62"/>
        <v>11200.032762063227</v>
      </c>
      <c r="F1417" s="44">
        <f t="shared" si="63"/>
        <v>66143.55562396007</v>
      </c>
      <c r="G1417" s="40"/>
    </row>
    <row r="1418" spans="1:7" ht="12.75" hidden="1" customHeight="1">
      <c r="A1418" s="39" t="s">
        <v>489</v>
      </c>
      <c r="B1418" s="45">
        <v>4.5</v>
      </c>
      <c r="C1418" s="66">
        <f t="shared" si="62"/>
        <v>5049.1016805324462</v>
      </c>
      <c r="D1418" s="66">
        <f t="shared" si="62"/>
        <v>7011.6716306156422</v>
      </c>
      <c r="E1418" s="66">
        <f t="shared" si="62"/>
        <v>2458.54377703827</v>
      </c>
      <c r="F1418" s="44">
        <f t="shared" si="63"/>
        <v>14519.317088186359</v>
      </c>
      <c r="G1418" s="40"/>
    </row>
    <row r="1419" spans="1:7" ht="12.75" hidden="1" customHeight="1">
      <c r="A1419" s="39" t="s">
        <v>303</v>
      </c>
      <c r="B1419" s="43"/>
      <c r="C1419" s="44">
        <f t="shared" si="62"/>
        <v>0</v>
      </c>
      <c r="D1419" s="44">
        <f t="shared" si="62"/>
        <v>0</v>
      </c>
      <c r="E1419" s="44">
        <f t="shared" si="62"/>
        <v>0</v>
      </c>
      <c r="F1419" s="44">
        <f t="shared" si="63"/>
        <v>0</v>
      </c>
      <c r="G1419" s="40"/>
    </row>
    <row r="1420" spans="1:7" ht="12.75" hidden="1" customHeight="1">
      <c r="A1420" s="39" t="s">
        <v>304</v>
      </c>
      <c r="B1420" s="43"/>
      <c r="C1420" s="44">
        <f t="shared" si="62"/>
        <v>0</v>
      </c>
      <c r="D1420" s="44">
        <f t="shared" si="62"/>
        <v>0</v>
      </c>
      <c r="E1420" s="44">
        <f t="shared" si="62"/>
        <v>0</v>
      </c>
      <c r="F1420" s="44">
        <f t="shared" si="63"/>
        <v>0</v>
      </c>
      <c r="G1420" s="40"/>
    </row>
    <row r="1421" spans="1:7" ht="12.75" hidden="1" customHeight="1">
      <c r="A1421" s="39" t="s">
        <v>34</v>
      </c>
      <c r="B1421" s="43">
        <v>7.5</v>
      </c>
      <c r="C1421" s="66">
        <f t="shared" si="62"/>
        <v>8415.1694675540748</v>
      </c>
      <c r="D1421" s="66">
        <f t="shared" si="62"/>
        <v>11686.119384359399</v>
      </c>
      <c r="E1421" s="66">
        <f t="shared" si="62"/>
        <v>4097.5729617304487</v>
      </c>
      <c r="F1421" s="44">
        <f t="shared" si="63"/>
        <v>24198.861813643922</v>
      </c>
      <c r="G1421" s="40"/>
    </row>
    <row r="1422" spans="1:7" ht="12.75" hidden="1" customHeight="1">
      <c r="A1422" s="39" t="s">
        <v>35</v>
      </c>
      <c r="B1422" s="43"/>
      <c r="C1422" s="44">
        <f t="shared" si="62"/>
        <v>0</v>
      </c>
      <c r="D1422" s="44">
        <f t="shared" si="62"/>
        <v>0</v>
      </c>
      <c r="E1422" s="44">
        <f t="shared" si="62"/>
        <v>0</v>
      </c>
      <c r="F1422" s="44">
        <f t="shared" si="63"/>
        <v>0</v>
      </c>
      <c r="G1422" s="40"/>
    </row>
    <row r="1423" spans="1:7" ht="12.75" hidden="1" customHeight="1">
      <c r="A1423" s="39" t="s">
        <v>305</v>
      </c>
      <c r="B1423" s="43"/>
      <c r="C1423" s="44">
        <f t="shared" si="62"/>
        <v>0</v>
      </c>
      <c r="D1423" s="44">
        <f t="shared" si="62"/>
        <v>0</v>
      </c>
      <c r="E1423" s="44">
        <f t="shared" si="62"/>
        <v>0</v>
      </c>
      <c r="F1423" s="44">
        <f t="shared" si="63"/>
        <v>0</v>
      </c>
      <c r="G1423" s="40"/>
    </row>
    <row r="1424" spans="1:7" ht="12.75" hidden="1" customHeight="1">
      <c r="A1424" s="39" t="s">
        <v>306</v>
      </c>
      <c r="B1424" s="45"/>
      <c r="C1424" s="44">
        <f t="shared" si="62"/>
        <v>0</v>
      </c>
      <c r="D1424" s="44">
        <f t="shared" si="62"/>
        <v>0</v>
      </c>
      <c r="E1424" s="44">
        <f t="shared" si="62"/>
        <v>0</v>
      </c>
      <c r="F1424" s="44">
        <f t="shared" si="63"/>
        <v>0</v>
      </c>
      <c r="G1424" s="40"/>
    </row>
    <row r="1425" spans="1:7" ht="12.75" hidden="1" customHeight="1">
      <c r="A1425" s="39" t="s">
        <v>36</v>
      </c>
      <c r="B1425" s="43">
        <v>12</v>
      </c>
      <c r="C1425" s="66">
        <f t="shared" si="62"/>
        <v>13464.271148086522</v>
      </c>
      <c r="D1425" s="66">
        <f t="shared" si="62"/>
        <v>18697.791014975042</v>
      </c>
      <c r="E1425" s="66">
        <f t="shared" si="62"/>
        <v>6556.1167387687183</v>
      </c>
      <c r="F1425" s="44">
        <f t="shared" si="63"/>
        <v>38718.178901830281</v>
      </c>
      <c r="G1425" s="40"/>
    </row>
    <row r="1426" spans="1:7" ht="12.75" hidden="1" customHeight="1">
      <c r="A1426" s="39" t="s">
        <v>37</v>
      </c>
      <c r="B1426" s="45"/>
      <c r="C1426" s="44">
        <f t="shared" si="62"/>
        <v>0</v>
      </c>
      <c r="D1426" s="44">
        <f t="shared" si="62"/>
        <v>0</v>
      </c>
      <c r="E1426" s="44">
        <f t="shared" si="62"/>
        <v>0</v>
      </c>
      <c r="F1426" s="44">
        <f t="shared" si="63"/>
        <v>0</v>
      </c>
      <c r="G1426" s="40"/>
    </row>
    <row r="1427" spans="1:7" ht="12.75" hidden="1" customHeight="1">
      <c r="A1427" s="39" t="s">
        <v>38</v>
      </c>
      <c r="B1427" s="43"/>
      <c r="C1427" s="44">
        <f t="shared" si="62"/>
        <v>0</v>
      </c>
      <c r="D1427" s="44">
        <f t="shared" si="62"/>
        <v>0</v>
      </c>
      <c r="E1427" s="44">
        <f t="shared" si="62"/>
        <v>0</v>
      </c>
      <c r="F1427" s="44">
        <f t="shared" si="63"/>
        <v>0</v>
      </c>
      <c r="G1427" s="40"/>
    </row>
    <row r="1428" spans="1:7" ht="12.75" hidden="1" customHeight="1">
      <c r="A1428" s="39" t="s">
        <v>307</v>
      </c>
      <c r="B1428" s="43"/>
      <c r="C1428" s="44">
        <f t="shared" si="62"/>
        <v>0</v>
      </c>
      <c r="D1428" s="44">
        <f t="shared" si="62"/>
        <v>0</v>
      </c>
      <c r="E1428" s="44">
        <f t="shared" si="62"/>
        <v>0</v>
      </c>
      <c r="F1428" s="44">
        <f t="shared" si="63"/>
        <v>0</v>
      </c>
      <c r="G1428" s="40"/>
    </row>
    <row r="1429" spans="1:7" ht="12.75" hidden="1" customHeight="1">
      <c r="A1429" s="39" t="s">
        <v>308</v>
      </c>
      <c r="B1429" s="43"/>
      <c r="C1429" s="44">
        <f t="shared" si="62"/>
        <v>0</v>
      </c>
      <c r="D1429" s="44">
        <f t="shared" si="62"/>
        <v>0</v>
      </c>
      <c r="E1429" s="44">
        <f t="shared" si="62"/>
        <v>0</v>
      </c>
      <c r="F1429" s="44">
        <f t="shared" si="63"/>
        <v>0</v>
      </c>
      <c r="G1429" s="40"/>
    </row>
    <row r="1430" spans="1:7" ht="12.75" hidden="1" customHeight="1">
      <c r="A1430" s="39" t="s">
        <v>39</v>
      </c>
      <c r="B1430" s="45"/>
      <c r="C1430" s="44">
        <f t="shared" si="62"/>
        <v>0</v>
      </c>
      <c r="D1430" s="44">
        <f t="shared" si="62"/>
        <v>0</v>
      </c>
      <c r="E1430" s="44">
        <f t="shared" si="62"/>
        <v>0</v>
      </c>
      <c r="F1430" s="44">
        <f t="shared" si="63"/>
        <v>0</v>
      </c>
      <c r="G1430" s="40"/>
    </row>
    <row r="1431" spans="1:7" ht="12.75" hidden="1" customHeight="1">
      <c r="A1431" s="39" t="s">
        <v>40</v>
      </c>
      <c r="B1431" s="43"/>
      <c r="C1431" s="44">
        <f t="shared" si="62"/>
        <v>0</v>
      </c>
      <c r="D1431" s="44">
        <f t="shared" si="62"/>
        <v>0</v>
      </c>
      <c r="E1431" s="44">
        <f t="shared" si="62"/>
        <v>0</v>
      </c>
      <c r="F1431" s="44">
        <f t="shared" si="63"/>
        <v>0</v>
      </c>
      <c r="G1431" s="40"/>
    </row>
    <row r="1432" spans="1:7" ht="12.75" hidden="1" customHeight="1">
      <c r="A1432" s="39" t="s">
        <v>41</v>
      </c>
      <c r="B1432" s="43"/>
      <c r="C1432" s="44">
        <f t="shared" si="62"/>
        <v>0</v>
      </c>
      <c r="D1432" s="44">
        <f t="shared" si="62"/>
        <v>0</v>
      </c>
      <c r="E1432" s="44">
        <f t="shared" si="62"/>
        <v>0</v>
      </c>
      <c r="F1432" s="44">
        <f t="shared" si="63"/>
        <v>0</v>
      </c>
      <c r="G1432" s="40"/>
    </row>
    <row r="1433" spans="1:7" ht="12.75" hidden="1" customHeight="1">
      <c r="A1433" s="39" t="s">
        <v>309</v>
      </c>
      <c r="B1433" s="45"/>
      <c r="C1433" s="44">
        <f t="shared" si="62"/>
        <v>0</v>
      </c>
      <c r="D1433" s="44">
        <f t="shared" si="62"/>
        <v>0</v>
      </c>
      <c r="E1433" s="44">
        <f t="shared" si="62"/>
        <v>0</v>
      </c>
      <c r="F1433" s="44">
        <f t="shared" si="63"/>
        <v>0</v>
      </c>
      <c r="G1433" s="40"/>
    </row>
    <row r="1434" spans="1:7" ht="12.75" hidden="1" customHeight="1">
      <c r="A1434" s="39" t="s">
        <v>310</v>
      </c>
      <c r="B1434" s="45"/>
      <c r="C1434" s="44">
        <f t="shared" si="62"/>
        <v>0</v>
      </c>
      <c r="D1434" s="44">
        <f t="shared" si="62"/>
        <v>0</v>
      </c>
      <c r="E1434" s="44">
        <f t="shared" si="62"/>
        <v>0</v>
      </c>
      <c r="F1434" s="44">
        <f t="shared" si="63"/>
        <v>0</v>
      </c>
      <c r="G1434" s="40"/>
    </row>
    <row r="1435" spans="1:7" ht="12.75" hidden="1" customHeight="1">
      <c r="A1435" s="39" t="s">
        <v>311</v>
      </c>
      <c r="B1435" s="43"/>
      <c r="C1435" s="44">
        <f t="shared" si="62"/>
        <v>0</v>
      </c>
      <c r="D1435" s="44">
        <f t="shared" si="62"/>
        <v>0</v>
      </c>
      <c r="E1435" s="44">
        <f t="shared" si="62"/>
        <v>0</v>
      </c>
      <c r="F1435" s="44">
        <f t="shared" si="63"/>
        <v>0</v>
      </c>
      <c r="G1435" s="40"/>
    </row>
    <row r="1436" spans="1:7" ht="12.75" hidden="1" customHeight="1">
      <c r="A1436" s="39" t="s">
        <v>312</v>
      </c>
      <c r="B1436" s="43"/>
      <c r="C1436" s="44">
        <f t="shared" si="62"/>
        <v>0</v>
      </c>
      <c r="D1436" s="44">
        <f t="shared" si="62"/>
        <v>0</v>
      </c>
      <c r="E1436" s="44">
        <f t="shared" si="62"/>
        <v>0</v>
      </c>
      <c r="F1436" s="44">
        <f t="shared" si="63"/>
        <v>0</v>
      </c>
      <c r="G1436" s="40"/>
    </row>
    <row r="1437" spans="1:7" ht="12.75" hidden="1" customHeight="1">
      <c r="A1437" s="39" t="s">
        <v>497</v>
      </c>
      <c r="B1437" s="45"/>
      <c r="C1437" s="44">
        <f t="shared" si="62"/>
        <v>0</v>
      </c>
      <c r="D1437" s="44">
        <f t="shared" si="62"/>
        <v>0</v>
      </c>
      <c r="E1437" s="44">
        <f t="shared" si="62"/>
        <v>0</v>
      </c>
      <c r="F1437" s="44">
        <f t="shared" si="63"/>
        <v>0</v>
      </c>
      <c r="G1437" s="40"/>
    </row>
    <row r="1438" spans="1:7" ht="12.75" hidden="1" customHeight="1">
      <c r="A1438" s="39" t="s">
        <v>314</v>
      </c>
      <c r="B1438" s="45"/>
      <c r="C1438" s="44">
        <f t="shared" si="62"/>
        <v>0</v>
      </c>
      <c r="D1438" s="44">
        <f t="shared" si="62"/>
        <v>0</v>
      </c>
      <c r="E1438" s="44">
        <f t="shared" si="62"/>
        <v>0</v>
      </c>
      <c r="F1438" s="44">
        <f t="shared" si="63"/>
        <v>0</v>
      </c>
      <c r="G1438" s="40"/>
    </row>
    <row r="1439" spans="1:7" ht="12.75" hidden="1" customHeight="1">
      <c r="A1439" s="39" t="s">
        <v>315</v>
      </c>
      <c r="B1439" s="43"/>
      <c r="C1439" s="44">
        <f t="shared" si="62"/>
        <v>0</v>
      </c>
      <c r="D1439" s="44">
        <f t="shared" si="62"/>
        <v>0</v>
      </c>
      <c r="E1439" s="44">
        <f t="shared" si="62"/>
        <v>0</v>
      </c>
      <c r="F1439" s="44">
        <f t="shared" si="63"/>
        <v>0</v>
      </c>
      <c r="G1439" s="40"/>
    </row>
    <row r="1440" spans="1:7" ht="12.75" hidden="1" customHeight="1">
      <c r="A1440" s="39" t="s">
        <v>316</v>
      </c>
      <c r="B1440" s="45"/>
      <c r="C1440" s="44">
        <f t="shared" si="62"/>
        <v>0</v>
      </c>
      <c r="D1440" s="44">
        <f t="shared" si="62"/>
        <v>0</v>
      </c>
      <c r="E1440" s="44">
        <f t="shared" si="62"/>
        <v>0</v>
      </c>
      <c r="F1440" s="44">
        <f t="shared" si="63"/>
        <v>0</v>
      </c>
      <c r="G1440" s="40"/>
    </row>
    <row r="1441" spans="1:7" ht="12.75" hidden="1" customHeight="1">
      <c r="A1441" s="39" t="s">
        <v>317</v>
      </c>
      <c r="B1441" s="45"/>
      <c r="C1441" s="44">
        <f t="shared" si="62"/>
        <v>0</v>
      </c>
      <c r="D1441" s="44">
        <f t="shared" si="62"/>
        <v>0</v>
      </c>
      <c r="E1441" s="44">
        <f t="shared" si="62"/>
        <v>0</v>
      </c>
      <c r="F1441" s="44">
        <f t="shared" si="63"/>
        <v>0</v>
      </c>
      <c r="G1441" s="40"/>
    </row>
    <row r="1442" spans="1:7" ht="12.75" hidden="1" customHeight="1">
      <c r="A1442" s="39" t="s">
        <v>318</v>
      </c>
      <c r="B1442" s="45">
        <v>11</v>
      </c>
      <c r="C1442" s="66">
        <f t="shared" si="62"/>
        <v>12342.248552412646</v>
      </c>
      <c r="D1442" s="66">
        <f t="shared" si="62"/>
        <v>17139.641763727122</v>
      </c>
      <c r="E1442" s="66">
        <f t="shared" si="62"/>
        <v>6009.7736772046592</v>
      </c>
      <c r="F1442" s="44">
        <f t="shared" si="63"/>
        <v>35491.663993344424</v>
      </c>
      <c r="G1442" s="40"/>
    </row>
    <row r="1443" spans="1:7" ht="12.75" hidden="1" customHeight="1">
      <c r="A1443" s="46" t="s">
        <v>319</v>
      </c>
      <c r="B1443" s="45"/>
      <c r="C1443" s="44">
        <f t="shared" si="62"/>
        <v>0</v>
      </c>
      <c r="D1443" s="44">
        <f t="shared" si="62"/>
        <v>0</v>
      </c>
      <c r="E1443" s="44">
        <f t="shared" si="62"/>
        <v>0</v>
      </c>
      <c r="F1443" s="44">
        <f t="shared" si="63"/>
        <v>0</v>
      </c>
      <c r="G1443" s="40"/>
    </row>
    <row r="1444" spans="1:7" ht="12.75" hidden="1" customHeight="1">
      <c r="A1444" s="46" t="s">
        <v>320</v>
      </c>
      <c r="B1444" s="45"/>
      <c r="C1444" s="44">
        <f t="shared" si="62"/>
        <v>0</v>
      </c>
      <c r="D1444" s="44">
        <f t="shared" si="62"/>
        <v>0</v>
      </c>
      <c r="E1444" s="44">
        <f t="shared" si="62"/>
        <v>0</v>
      </c>
      <c r="F1444" s="44">
        <f t="shared" si="63"/>
        <v>0</v>
      </c>
      <c r="G1444" s="40"/>
    </row>
    <row r="1445" spans="1:7" ht="12.75" hidden="1" customHeight="1">
      <c r="A1445" s="46" t="s">
        <v>321</v>
      </c>
      <c r="B1445" s="45"/>
      <c r="C1445" s="44">
        <f t="shared" si="62"/>
        <v>0</v>
      </c>
      <c r="D1445" s="44">
        <f t="shared" si="62"/>
        <v>0</v>
      </c>
      <c r="E1445" s="44">
        <f t="shared" si="62"/>
        <v>0</v>
      </c>
      <c r="F1445" s="44">
        <f t="shared" si="63"/>
        <v>0</v>
      </c>
      <c r="G1445" s="40"/>
    </row>
    <row r="1446" spans="1:7" ht="12.75" hidden="1" customHeight="1">
      <c r="A1446" s="46" t="s">
        <v>322</v>
      </c>
      <c r="B1446" s="45"/>
      <c r="C1446" s="44">
        <f t="shared" si="62"/>
        <v>0</v>
      </c>
      <c r="D1446" s="44">
        <f t="shared" si="62"/>
        <v>0</v>
      </c>
      <c r="E1446" s="44">
        <f t="shared" si="62"/>
        <v>0</v>
      </c>
      <c r="F1446" s="44">
        <f t="shared" si="63"/>
        <v>0</v>
      </c>
      <c r="G1446" s="40"/>
    </row>
    <row r="1447" spans="1:7" ht="12.75" hidden="1" customHeight="1">
      <c r="A1447" s="46" t="s">
        <v>323</v>
      </c>
      <c r="B1447" s="45"/>
      <c r="C1447" s="44">
        <f t="shared" si="62"/>
        <v>0</v>
      </c>
      <c r="D1447" s="44">
        <f t="shared" si="62"/>
        <v>0</v>
      </c>
      <c r="E1447" s="44">
        <f t="shared" si="62"/>
        <v>0</v>
      </c>
      <c r="F1447" s="44">
        <f t="shared" si="63"/>
        <v>0</v>
      </c>
      <c r="G1447" s="40"/>
    </row>
    <row r="1448" spans="1:7" ht="12.75" hidden="1" customHeight="1">
      <c r="A1448" s="46" t="s">
        <v>324</v>
      </c>
      <c r="B1448" s="45"/>
      <c r="C1448" s="44">
        <f t="shared" si="62"/>
        <v>0</v>
      </c>
      <c r="D1448" s="44">
        <f t="shared" si="62"/>
        <v>0</v>
      </c>
      <c r="E1448" s="44">
        <f t="shared" si="62"/>
        <v>0</v>
      </c>
      <c r="F1448" s="44">
        <f t="shared" si="63"/>
        <v>0</v>
      </c>
      <c r="G1448" s="40"/>
    </row>
    <row r="1449" spans="1:7" ht="12.75" hidden="1" customHeight="1">
      <c r="A1449" s="46" t="s">
        <v>325</v>
      </c>
      <c r="B1449" s="45"/>
      <c r="C1449" s="44">
        <f t="shared" si="62"/>
        <v>0</v>
      </c>
      <c r="D1449" s="44">
        <f t="shared" si="62"/>
        <v>0</v>
      </c>
      <c r="E1449" s="44">
        <f t="shared" si="62"/>
        <v>0</v>
      </c>
      <c r="F1449" s="44">
        <f t="shared" si="63"/>
        <v>0</v>
      </c>
      <c r="G1449" s="40"/>
    </row>
    <row r="1450" spans="1:7" ht="12.75" hidden="1" customHeight="1">
      <c r="A1450" s="46" t="s">
        <v>326</v>
      </c>
      <c r="B1450" s="45"/>
      <c r="C1450" s="44">
        <f t="shared" si="62"/>
        <v>0</v>
      </c>
      <c r="D1450" s="44">
        <f t="shared" si="62"/>
        <v>0</v>
      </c>
      <c r="E1450" s="44">
        <f t="shared" si="62"/>
        <v>0</v>
      </c>
      <c r="F1450" s="44">
        <f t="shared" si="63"/>
        <v>0</v>
      </c>
      <c r="G1450" s="40"/>
    </row>
    <row r="1451" spans="1:7" ht="12.75" hidden="1" customHeight="1">
      <c r="A1451" s="46" t="s">
        <v>327</v>
      </c>
      <c r="B1451" s="45"/>
      <c r="C1451" s="44">
        <f t="shared" si="62"/>
        <v>0</v>
      </c>
      <c r="D1451" s="44">
        <f t="shared" si="62"/>
        <v>0</v>
      </c>
      <c r="E1451" s="44">
        <f t="shared" si="62"/>
        <v>0</v>
      </c>
      <c r="F1451" s="44">
        <f t="shared" si="63"/>
        <v>0</v>
      </c>
      <c r="G1451" s="40"/>
    </row>
    <row r="1452" spans="1:7" ht="12.75" hidden="1" customHeight="1">
      <c r="A1452" s="46" t="s">
        <v>328</v>
      </c>
      <c r="B1452" s="45"/>
      <c r="C1452" s="44">
        <f t="shared" si="62"/>
        <v>0</v>
      </c>
      <c r="D1452" s="44">
        <f t="shared" si="62"/>
        <v>0</v>
      </c>
      <c r="E1452" s="44">
        <f t="shared" si="62"/>
        <v>0</v>
      </c>
      <c r="F1452" s="44">
        <f t="shared" si="63"/>
        <v>0</v>
      </c>
      <c r="G1452" s="40"/>
    </row>
    <row r="1453" spans="1:7" ht="12.75" hidden="1" customHeight="1">
      <c r="A1453" s="46" t="s">
        <v>329</v>
      </c>
      <c r="B1453" s="47"/>
      <c r="C1453" s="44">
        <f t="shared" si="62"/>
        <v>0</v>
      </c>
      <c r="D1453" s="44">
        <f t="shared" si="62"/>
        <v>0</v>
      </c>
      <c r="E1453" s="44">
        <f t="shared" si="62"/>
        <v>0</v>
      </c>
      <c r="F1453" s="44">
        <f t="shared" si="63"/>
        <v>0</v>
      </c>
      <c r="G1453" s="40"/>
    </row>
    <row r="1454" spans="1:7" ht="12.75" hidden="1" customHeight="1">
      <c r="A1454" s="152" t="s">
        <v>490</v>
      </c>
      <c r="B1454" s="153">
        <v>11.5</v>
      </c>
      <c r="C1454" s="154">
        <f t="shared" si="62"/>
        <v>12903.259850249584</v>
      </c>
      <c r="D1454" s="154">
        <f t="shared" si="62"/>
        <v>17918.716389351084</v>
      </c>
      <c r="E1454" s="154">
        <f t="shared" si="62"/>
        <v>6282.9452079866887</v>
      </c>
      <c r="F1454" s="154">
        <f t="shared" si="63"/>
        <v>37104.92144758736</v>
      </c>
      <c r="G1454" s="40"/>
    </row>
    <row r="1455" spans="1:7" ht="12.75" hidden="1" customHeight="1">
      <c r="A1455" s="152" t="s">
        <v>493</v>
      </c>
      <c r="B1455" s="153">
        <v>11.5</v>
      </c>
      <c r="C1455" s="154">
        <f t="shared" si="62"/>
        <v>12903.259850249584</v>
      </c>
      <c r="D1455" s="154">
        <f t="shared" si="62"/>
        <v>17918.716389351084</v>
      </c>
      <c r="E1455" s="154">
        <f t="shared" si="62"/>
        <v>6282.9452079866887</v>
      </c>
      <c r="F1455" s="154">
        <f t="shared" si="63"/>
        <v>37104.92144758736</v>
      </c>
      <c r="G1455" s="40"/>
    </row>
    <row r="1456" spans="1:7" ht="12.75" hidden="1" customHeight="1">
      <c r="A1456" s="152" t="s">
        <v>495</v>
      </c>
      <c r="B1456" s="153">
        <v>11</v>
      </c>
      <c r="C1456" s="154">
        <f t="shared" si="62"/>
        <v>12342.248552412646</v>
      </c>
      <c r="D1456" s="154">
        <f t="shared" si="62"/>
        <v>17139.641763727122</v>
      </c>
      <c r="E1456" s="154">
        <f t="shared" si="62"/>
        <v>6009.7736772046592</v>
      </c>
      <c r="F1456" s="154">
        <f t="shared" si="63"/>
        <v>35491.663993344424</v>
      </c>
      <c r="G1456" s="40"/>
    </row>
    <row r="1457" spans="1:9" ht="12.75" hidden="1" customHeight="1">
      <c r="A1457" s="152" t="s">
        <v>496</v>
      </c>
      <c r="B1457" s="153">
        <v>11.5</v>
      </c>
      <c r="C1457" s="154">
        <f t="shared" si="62"/>
        <v>12903.259850249584</v>
      </c>
      <c r="D1457" s="154">
        <f t="shared" si="62"/>
        <v>17918.716389351084</v>
      </c>
      <c r="E1457" s="154">
        <f t="shared" si="62"/>
        <v>6282.9452079866887</v>
      </c>
      <c r="F1457" s="154">
        <f t="shared" si="63"/>
        <v>37104.92144758736</v>
      </c>
      <c r="G1457" s="40"/>
    </row>
    <row r="1458" spans="1:9" ht="12.75" hidden="1" customHeight="1">
      <c r="A1458" s="152" t="s">
        <v>498</v>
      </c>
      <c r="B1458" s="153">
        <v>11.5</v>
      </c>
      <c r="C1458" s="154">
        <f t="shared" si="62"/>
        <v>12903.259850249584</v>
      </c>
      <c r="D1458" s="154">
        <f t="shared" si="62"/>
        <v>17918.716389351084</v>
      </c>
      <c r="E1458" s="154">
        <f t="shared" si="62"/>
        <v>6282.9452079866887</v>
      </c>
      <c r="F1458" s="154">
        <f t="shared" si="63"/>
        <v>37104.92144758736</v>
      </c>
      <c r="G1458" s="40"/>
    </row>
    <row r="1459" spans="1:9" ht="12.75" hidden="1" customHeight="1">
      <c r="A1459" s="46" t="s">
        <v>330</v>
      </c>
      <c r="B1459" s="47"/>
      <c r="C1459" s="44">
        <f>B1459/B$1460*C$1460</f>
        <v>0</v>
      </c>
      <c r="D1459" s="44"/>
      <c r="E1459" s="44"/>
      <c r="F1459" s="44">
        <f>SUM(C1459:E1459)</f>
        <v>0</v>
      </c>
      <c r="G1459" s="40"/>
    </row>
    <row r="1460" spans="1:9" ht="12.75" hidden="1" customHeight="1">
      <c r="A1460" s="48" t="s">
        <v>150</v>
      </c>
      <c r="B1460" s="48">
        <f>SUM(B1396:B1458)</f>
        <v>300.5</v>
      </c>
      <c r="C1460" s="49">
        <f>337167.79</f>
        <v>337167.79</v>
      </c>
      <c r="D1460" s="50">
        <f>29379.8+92338.4+12562.4+307790.09+26153.16</f>
        <v>468223.85000000003</v>
      </c>
      <c r="E1460" s="50">
        <f>164176.09</f>
        <v>164176.09</v>
      </c>
      <c r="F1460" s="50">
        <f>SUM(C1460:E1460)</f>
        <v>969567.73</v>
      </c>
      <c r="G1460" s="40"/>
    </row>
    <row r="1461" spans="1:9" ht="12.75" hidden="1" customHeight="1">
      <c r="A1461" s="155" t="s">
        <v>499</v>
      </c>
    </row>
    <row r="1462" spans="1:9" ht="12.75" hidden="1" customHeight="1"/>
    <row r="1463" spans="1:9" ht="12.75" hidden="1" customHeight="1"/>
    <row r="1464" spans="1:9" ht="12.75" hidden="1" customHeight="1">
      <c r="A1464" s="77" t="s">
        <v>513</v>
      </c>
      <c r="B1464" s="39"/>
      <c r="C1464" s="78"/>
      <c r="D1464" s="78"/>
      <c r="E1464" s="78"/>
      <c r="F1464" s="78"/>
      <c r="G1464" s="40"/>
    </row>
    <row r="1465" spans="1:9" ht="12.75" hidden="1" customHeight="1">
      <c r="A1465" s="80" t="s">
        <v>337</v>
      </c>
      <c r="B1465" s="43" t="s">
        <v>87</v>
      </c>
      <c r="C1465" s="78" t="s">
        <v>338</v>
      </c>
      <c r="D1465" s="78" t="s">
        <v>339</v>
      </c>
      <c r="E1465" s="78" t="s">
        <v>340</v>
      </c>
      <c r="F1465" s="78" t="s">
        <v>341</v>
      </c>
      <c r="G1465" s="40"/>
      <c r="H1465" s="165"/>
      <c r="I1465" s="164"/>
    </row>
    <row r="1466" spans="1:9" ht="12.75" hidden="1" customHeight="1">
      <c r="A1466" s="80" t="s">
        <v>0</v>
      </c>
      <c r="B1466" s="81">
        <f>40*20</f>
        <v>800</v>
      </c>
      <c r="C1466" s="81">
        <v>106241.1</v>
      </c>
      <c r="D1466" s="81">
        <v>37365.480000000003</v>
      </c>
      <c r="E1466" s="81">
        <f>E1471-E1468</f>
        <v>39363.566451612918</v>
      </c>
      <c r="F1466" s="81">
        <f>SUM(C1466:E1466)</f>
        <v>182970.14645161293</v>
      </c>
      <c r="G1466" s="40"/>
    </row>
    <row r="1467" spans="1:9" ht="12.75" hidden="1" customHeight="1">
      <c r="A1467" s="80" t="s">
        <v>342</v>
      </c>
      <c r="B1467" s="81"/>
      <c r="C1467" s="81"/>
      <c r="D1467" s="81"/>
      <c r="E1467" s="81"/>
      <c r="F1467" s="81"/>
      <c r="G1467" s="40"/>
    </row>
    <row r="1468" spans="1:9" ht="12.75" hidden="1" customHeight="1">
      <c r="A1468" s="80" t="s">
        <v>343</v>
      </c>
      <c r="B1468" s="81"/>
      <c r="C1468" s="81"/>
      <c r="D1468" s="81"/>
      <c r="E1468" s="81">
        <f>21/31*90038.9</f>
        <v>60994.093548387085</v>
      </c>
      <c r="F1468" s="81"/>
      <c r="G1468" s="40"/>
    </row>
    <row r="1469" spans="1:9" ht="12.75" hidden="1" customHeight="1">
      <c r="A1469" s="80" t="s">
        <v>344</v>
      </c>
      <c r="B1469" s="81"/>
      <c r="C1469" s="81"/>
      <c r="D1469" s="81"/>
      <c r="E1469" s="81"/>
      <c r="F1469" s="81"/>
      <c r="G1469" s="40"/>
    </row>
    <row r="1470" spans="1:9" ht="12.75" hidden="1" customHeight="1">
      <c r="A1470" s="80" t="s">
        <v>345</v>
      </c>
      <c r="B1470" s="81"/>
      <c r="C1470" s="81"/>
      <c r="D1470" s="81"/>
      <c r="E1470" s="81"/>
      <c r="F1470" s="81"/>
      <c r="G1470" s="40"/>
    </row>
    <row r="1471" spans="1:9" ht="14.25" hidden="1" customHeight="1">
      <c r="A1471" s="77" t="s">
        <v>346</v>
      </c>
      <c r="B1471" s="128"/>
      <c r="C1471" s="82">
        <v>106241.1</v>
      </c>
      <c r="D1471" s="82">
        <v>37365.480000000003</v>
      </c>
      <c r="E1471" s="82">
        <v>100357.66</v>
      </c>
      <c r="F1471" s="82">
        <f>SUM(C1471:E1471)</f>
        <v>243964.24000000002</v>
      </c>
      <c r="G1471" s="40"/>
    </row>
    <row r="1472" spans="1:9" ht="14.25" hidden="1" customHeight="1">
      <c r="A1472" s="177" t="s">
        <v>525</v>
      </c>
      <c r="B1472" s="178"/>
      <c r="C1472" s="179"/>
      <c r="D1472" s="179"/>
      <c r="E1472" s="179"/>
      <c r="F1472" s="179"/>
      <c r="G1472" s="40"/>
    </row>
    <row r="1473" spans="1:7" ht="12.75" hidden="1" customHeight="1">
      <c r="A1473" s="270" t="s">
        <v>488</v>
      </c>
      <c r="B1473" s="271"/>
      <c r="C1473" s="271"/>
      <c r="D1473" s="271"/>
      <c r="E1473" s="271"/>
      <c r="F1473" s="271"/>
      <c r="G1473" s="40"/>
    </row>
    <row r="1474" spans="1:7" ht="12.75" hidden="1" customHeight="1">
      <c r="A1474" s="83"/>
      <c r="B1474" s="84"/>
      <c r="C1474" s="40"/>
      <c r="D1474" s="40"/>
      <c r="E1474" s="41"/>
      <c r="F1474" s="40"/>
      <c r="G1474" s="40"/>
    </row>
    <row r="1475" spans="1:7" ht="12.75" hidden="1" customHeight="1">
      <c r="A1475" s="85"/>
      <c r="B1475" s="84"/>
      <c r="C1475" s="40"/>
      <c r="D1475" s="40"/>
      <c r="E1475" s="41"/>
      <c r="F1475" s="40"/>
      <c r="G1475" s="40"/>
    </row>
    <row r="1476" spans="1:7" ht="12.75" hidden="1" customHeight="1">
      <c r="A1476" s="77"/>
      <c r="B1476" s="82"/>
      <c r="C1476" s="82"/>
      <c r="D1476" s="82"/>
      <c r="E1476" s="82"/>
      <c r="F1476" s="82"/>
      <c r="G1476" s="40"/>
    </row>
    <row r="1477" spans="1:7" ht="12.75" hidden="1" customHeight="1">
      <c r="A1477" s="77" t="s">
        <v>514</v>
      </c>
      <c r="B1477" s="43" t="s">
        <v>87</v>
      </c>
      <c r="C1477" s="86" t="s">
        <v>88</v>
      </c>
      <c r="D1477" s="86" t="s">
        <v>89</v>
      </c>
      <c r="E1477" s="86" t="s">
        <v>90</v>
      </c>
      <c r="F1477" s="86" t="s">
        <v>91</v>
      </c>
      <c r="G1477" s="40"/>
    </row>
    <row r="1478" spans="1:7" ht="12.75" hidden="1" customHeight="1">
      <c r="A1478" s="87" t="s">
        <v>349</v>
      </c>
      <c r="B1478" s="88"/>
      <c r="C1478" s="88"/>
      <c r="D1478" s="88"/>
      <c r="E1478" s="88"/>
      <c r="F1478" s="88"/>
      <c r="G1478" s="40"/>
    </row>
    <row r="1479" spans="1:7" ht="12.75" hidden="1" customHeight="1">
      <c r="A1479" s="87" t="s">
        <v>350</v>
      </c>
      <c r="B1479" s="88"/>
      <c r="C1479" s="88"/>
      <c r="D1479" s="88"/>
      <c r="E1479" s="88"/>
      <c r="F1479" s="88"/>
      <c r="G1479" s="40"/>
    </row>
    <row r="1480" spans="1:7" ht="12.75" hidden="1" customHeight="1">
      <c r="A1480" s="87" t="s">
        <v>351</v>
      </c>
      <c r="B1480" s="88">
        <f>30*48</f>
        <v>1440</v>
      </c>
      <c r="C1480" s="88">
        <v>409697.79</v>
      </c>
      <c r="D1480" s="88">
        <f>B1480/B1488*D1488</f>
        <v>149461.90399999998</v>
      </c>
      <c r="E1480" s="88">
        <v>409710.25</v>
      </c>
      <c r="F1480" s="88">
        <f>SUM(C1480:E1480)</f>
        <v>968869.9439999999</v>
      </c>
      <c r="G1480" s="40"/>
    </row>
    <row r="1481" spans="1:7" ht="12.75" hidden="1" customHeight="1">
      <c r="A1481" s="87" t="s">
        <v>352</v>
      </c>
      <c r="B1481" s="57"/>
      <c r="C1481" s="88"/>
      <c r="D1481" s="88"/>
      <c r="E1481" s="88"/>
      <c r="F1481" s="88"/>
      <c r="G1481" s="40"/>
    </row>
    <row r="1482" spans="1:7" ht="12.75" hidden="1" customHeight="1">
      <c r="A1482" s="87" t="s">
        <v>523</v>
      </c>
      <c r="B1482" s="88">
        <f>18*20</f>
        <v>360</v>
      </c>
      <c r="C1482" s="88"/>
      <c r="D1482" s="88">
        <f>B1482/B1488*D1488</f>
        <v>37365.475999999995</v>
      </c>
      <c r="E1482" s="88"/>
      <c r="F1482" s="88">
        <f>SUM(C1482:E1482)</f>
        <v>37365.475999999995</v>
      </c>
      <c r="G1482" s="40"/>
    </row>
    <row r="1483" spans="1:7" ht="12.75" hidden="1" customHeight="1">
      <c r="A1483" s="87" t="s">
        <v>354</v>
      </c>
      <c r="B1483" s="88"/>
      <c r="C1483" s="88"/>
      <c r="D1483" s="88"/>
      <c r="E1483" s="88"/>
      <c r="F1483" s="88"/>
      <c r="G1483" s="40"/>
    </row>
    <row r="1484" spans="1:7" ht="12.75" hidden="1" customHeight="1">
      <c r="A1484" s="87" t="s">
        <v>355</v>
      </c>
      <c r="B1484" s="88"/>
      <c r="C1484" s="88"/>
      <c r="D1484" s="88"/>
      <c r="E1484" s="88"/>
      <c r="F1484" s="88"/>
      <c r="G1484" s="40"/>
    </row>
    <row r="1485" spans="1:7" ht="12.75" hidden="1" customHeight="1">
      <c r="A1485" s="87" t="s">
        <v>356</v>
      </c>
      <c r="B1485" s="88"/>
      <c r="C1485" s="88"/>
      <c r="D1485" s="88"/>
      <c r="E1485" s="88"/>
      <c r="F1485" s="57"/>
      <c r="G1485" s="40"/>
    </row>
    <row r="1486" spans="1:7" ht="12.75" hidden="1" customHeight="1">
      <c r="A1486" s="87" t="s">
        <v>357</v>
      </c>
      <c r="B1486" s="57"/>
      <c r="C1486" s="88"/>
      <c r="D1486" s="88"/>
      <c r="E1486" s="88"/>
      <c r="F1486" s="88"/>
      <c r="G1486" s="40"/>
    </row>
    <row r="1487" spans="1:7" ht="12.75" hidden="1" customHeight="1">
      <c r="A1487" s="87" t="s">
        <v>243</v>
      </c>
      <c r="B1487" s="57"/>
      <c r="C1487" s="88"/>
      <c r="D1487" s="88"/>
      <c r="E1487" s="88"/>
      <c r="F1487" s="88"/>
      <c r="G1487" s="40"/>
    </row>
    <row r="1488" spans="1:7" ht="12.75" hidden="1" customHeight="1">
      <c r="A1488" s="77" t="s">
        <v>346</v>
      </c>
      <c r="B1488" s="82">
        <f>SUM(B1478:B1487)</f>
        <v>1800</v>
      </c>
      <c r="C1488" s="82">
        <f>409697.79</f>
        <v>409697.79</v>
      </c>
      <c r="D1488" s="82">
        <f>78652.8+24228+20377.6+50183.2+13385.78</f>
        <v>186827.37999999998</v>
      </c>
      <c r="E1488" s="82">
        <f>409710.25</f>
        <v>409710.25</v>
      </c>
      <c r="F1488" s="82">
        <f>SUM(C1488:E1488)</f>
        <v>1006235.4199999999</v>
      </c>
      <c r="G1488" s="40"/>
    </row>
    <row r="1489" spans="1:7" ht="12.75" hidden="1" customHeight="1">
      <c r="A1489" s="151" t="s">
        <v>522</v>
      </c>
      <c r="B1489" s="84"/>
      <c r="C1489" s="84"/>
      <c r="D1489" s="84"/>
      <c r="E1489" s="84"/>
      <c r="F1489" s="84"/>
      <c r="G1489" s="90"/>
    </row>
    <row r="1490" spans="1:7" ht="12.75" hidden="1" customHeight="1">
      <c r="A1490" s="85"/>
      <c r="B1490" s="84"/>
      <c r="C1490" s="84"/>
      <c r="D1490" s="84"/>
      <c r="E1490" s="84"/>
      <c r="F1490" s="84"/>
      <c r="G1490" s="90"/>
    </row>
    <row r="1491" spans="1:7" ht="12.75" hidden="1" customHeight="1">
      <c r="A1491" s="91"/>
      <c r="B1491" s="84"/>
      <c r="C1491" s="84"/>
      <c r="D1491" s="84"/>
      <c r="E1491" s="84"/>
      <c r="F1491" s="84"/>
      <c r="G1491" s="90"/>
    </row>
    <row r="1492" spans="1:7" ht="12.75" hidden="1" customHeight="1">
      <c r="A1492" s="91"/>
      <c r="B1492" s="84"/>
      <c r="C1492" s="84"/>
      <c r="D1492" s="84"/>
      <c r="E1492" s="84"/>
      <c r="F1492" s="84"/>
      <c r="G1492" s="40"/>
    </row>
    <row r="1493" spans="1:7" ht="12.75" hidden="1" customHeight="1">
      <c r="A1493" s="83"/>
      <c r="B1493" s="92"/>
      <c r="C1493" s="92"/>
      <c r="D1493" s="92"/>
      <c r="E1493" s="92"/>
      <c r="F1493" s="92"/>
      <c r="G1493" s="40"/>
    </row>
    <row r="1494" spans="1:7" ht="12.75" hidden="1" customHeight="1">
      <c r="A1494" s="77" t="s">
        <v>515</v>
      </c>
      <c r="B1494" s="43" t="s">
        <v>87</v>
      </c>
      <c r="C1494" s="78" t="s">
        <v>338</v>
      </c>
      <c r="D1494" s="78" t="s">
        <v>339</v>
      </c>
      <c r="E1494" s="78" t="s">
        <v>340</v>
      </c>
      <c r="F1494" s="78" t="s">
        <v>341</v>
      </c>
      <c r="G1494" s="40"/>
    </row>
    <row r="1495" spans="1:7" ht="12.75" hidden="1" customHeight="1">
      <c r="A1495" s="80" t="s">
        <v>361</v>
      </c>
      <c r="B1495" s="93"/>
      <c r="C1495" s="94"/>
      <c r="D1495" s="94"/>
      <c r="E1495" s="94"/>
      <c r="F1495" s="94"/>
      <c r="G1495" s="40"/>
    </row>
    <row r="1496" spans="1:7" ht="12.75" hidden="1" customHeight="1">
      <c r="A1496" s="80" t="s">
        <v>362</v>
      </c>
      <c r="B1496" s="93"/>
      <c r="C1496" s="94"/>
      <c r="D1496" s="94"/>
      <c r="E1496" s="94"/>
      <c r="F1496" s="94"/>
      <c r="G1496" s="40"/>
    </row>
    <row r="1497" spans="1:7" ht="12.75" hidden="1" customHeight="1">
      <c r="A1497" s="80" t="s">
        <v>363</v>
      </c>
      <c r="B1497" s="93"/>
      <c r="C1497" s="94"/>
      <c r="D1497" s="94"/>
      <c r="E1497" s="94"/>
      <c r="F1497" s="94"/>
      <c r="G1497" s="40"/>
    </row>
    <row r="1498" spans="1:7" ht="12.75" hidden="1" customHeight="1">
      <c r="A1498" s="80" t="s">
        <v>364</v>
      </c>
      <c r="B1498" s="93"/>
      <c r="C1498" s="94"/>
      <c r="D1498" s="94"/>
      <c r="E1498" s="94"/>
      <c r="F1498" s="94"/>
      <c r="G1498" s="40"/>
    </row>
    <row r="1499" spans="1:7" ht="12.75" hidden="1" customHeight="1">
      <c r="A1499" s="80" t="s">
        <v>365</v>
      </c>
      <c r="B1499" s="93">
        <f>9*24</f>
        <v>216</v>
      </c>
      <c r="C1499" s="94">
        <f>B1499/B$1507*C$1507</f>
        <v>11463.492</v>
      </c>
      <c r="D1499" s="94">
        <f>C1499/C$1507*D$1507</f>
        <v>53742.071999999993</v>
      </c>
      <c r="E1499" s="94">
        <f>D1499/D$1507*E$1507</f>
        <v>39715.595999999998</v>
      </c>
      <c r="F1499" s="94">
        <f t="shared" ref="F1499:F1504" si="64">SUM(C1499:E1499)</f>
        <v>104921.15999999999</v>
      </c>
      <c r="G1499" s="40"/>
    </row>
    <row r="1500" spans="1:7" ht="12.75" hidden="1" customHeight="1">
      <c r="A1500" s="80" t="s">
        <v>366</v>
      </c>
      <c r="B1500" s="93">
        <f>4*24</f>
        <v>96</v>
      </c>
      <c r="C1500" s="94">
        <f t="shared" ref="C1500:E1504" si="65">B1500/B$1507*C$1507</f>
        <v>5094.8853333333336</v>
      </c>
      <c r="D1500" s="94">
        <f t="shared" si="65"/>
        <v>23885.365333333331</v>
      </c>
      <c r="E1500" s="94">
        <f t="shared" si="65"/>
        <v>17651.376</v>
      </c>
      <c r="F1500" s="94">
        <f t="shared" si="64"/>
        <v>46631.626666666663</v>
      </c>
      <c r="G1500" s="40"/>
    </row>
    <row r="1501" spans="1:7" ht="12.75" hidden="1" customHeight="1">
      <c r="A1501" s="80" t="s">
        <v>367</v>
      </c>
      <c r="B1501" s="93">
        <f>24</f>
        <v>24</v>
      </c>
      <c r="C1501" s="94">
        <f t="shared" si="65"/>
        <v>1273.7213333333334</v>
      </c>
      <c r="D1501" s="94">
        <f t="shared" si="65"/>
        <v>5971.3413333333328</v>
      </c>
      <c r="E1501" s="94">
        <f t="shared" si="65"/>
        <v>4412.8440000000001</v>
      </c>
      <c r="F1501" s="94">
        <f t="shared" si="64"/>
        <v>11657.906666666666</v>
      </c>
      <c r="G1501" s="40"/>
    </row>
    <row r="1502" spans="1:7" ht="12.75" hidden="1" customHeight="1">
      <c r="A1502" s="80" t="s">
        <v>368</v>
      </c>
      <c r="B1502" s="40"/>
      <c r="C1502" s="94">
        <f t="shared" si="65"/>
        <v>0</v>
      </c>
      <c r="D1502" s="94">
        <f t="shared" si="65"/>
        <v>0</v>
      </c>
      <c r="E1502" s="94">
        <f t="shared" si="65"/>
        <v>0</v>
      </c>
      <c r="F1502" s="94">
        <f t="shared" si="64"/>
        <v>0</v>
      </c>
      <c r="G1502" s="40"/>
    </row>
    <row r="1503" spans="1:7" ht="12.75" hidden="1" customHeight="1">
      <c r="A1503" s="80" t="s">
        <v>369</v>
      </c>
      <c r="B1503" s="93"/>
      <c r="C1503" s="94">
        <f t="shared" si="65"/>
        <v>0</v>
      </c>
      <c r="D1503" s="94">
        <f t="shared" si="65"/>
        <v>0</v>
      </c>
      <c r="E1503" s="94">
        <f t="shared" si="65"/>
        <v>0</v>
      </c>
      <c r="F1503" s="94">
        <f t="shared" si="64"/>
        <v>0</v>
      </c>
      <c r="G1503" s="40"/>
    </row>
    <row r="1504" spans="1:7" ht="12.75" hidden="1" customHeight="1">
      <c r="A1504" s="80" t="s">
        <v>370</v>
      </c>
      <c r="B1504" s="93">
        <f>24</f>
        <v>24</v>
      </c>
      <c r="C1504" s="94">
        <f t="shared" si="65"/>
        <v>1273.7213333333334</v>
      </c>
      <c r="D1504" s="94">
        <f t="shared" si="65"/>
        <v>5971.3413333333328</v>
      </c>
      <c r="E1504" s="94">
        <f t="shared" si="65"/>
        <v>4412.8440000000001</v>
      </c>
      <c r="F1504" s="94">
        <f t="shared" si="64"/>
        <v>11657.906666666666</v>
      </c>
      <c r="G1504" s="40"/>
    </row>
    <row r="1505" spans="1:7" ht="12.75" hidden="1" customHeight="1">
      <c r="A1505" s="80" t="s">
        <v>80</v>
      </c>
      <c r="B1505" s="93"/>
      <c r="C1505" s="94"/>
      <c r="D1505" s="94"/>
      <c r="E1505" s="94"/>
      <c r="F1505" s="94"/>
      <c r="G1505" s="40"/>
    </row>
    <row r="1506" spans="1:7" ht="12.75" hidden="1" customHeight="1">
      <c r="A1506" s="80" t="s">
        <v>371</v>
      </c>
      <c r="B1506" s="93"/>
      <c r="C1506" s="94"/>
      <c r="D1506" s="94"/>
      <c r="E1506" s="94"/>
      <c r="F1506" s="94"/>
      <c r="G1506" s="40"/>
    </row>
    <row r="1507" spans="1:7" ht="12.75" hidden="1" customHeight="1">
      <c r="A1507" s="77" t="s">
        <v>346</v>
      </c>
      <c r="B1507" s="95">
        <f>SUM(B1495:B1506)</f>
        <v>360</v>
      </c>
      <c r="C1507" s="96">
        <f>19105.82</f>
        <v>19105.82</v>
      </c>
      <c r="D1507" s="96">
        <f>39075.4+31797+14395.2+4302.52</f>
        <v>89570.12</v>
      </c>
      <c r="E1507" s="96">
        <v>66192.66</v>
      </c>
      <c r="F1507" s="97">
        <f>SUM(C1507:E1507)</f>
        <v>174868.6</v>
      </c>
      <c r="G1507" s="40"/>
    </row>
    <row r="1508" spans="1:7" ht="12.75" hidden="1" customHeight="1">
      <c r="A1508" s="140" t="s">
        <v>521</v>
      </c>
      <c r="B1508" s="99"/>
      <c r="C1508" s="100"/>
      <c r="D1508" s="100"/>
      <c r="E1508" s="100"/>
      <c r="F1508" s="100"/>
      <c r="G1508" s="40"/>
    </row>
    <row r="1509" spans="1:7" ht="12.75" hidden="1" customHeight="1">
      <c r="A1509" s="98"/>
      <c r="B1509" s="99"/>
      <c r="C1509" s="100"/>
      <c r="D1509" s="100"/>
      <c r="E1509" s="100"/>
      <c r="F1509" s="100"/>
      <c r="G1509" s="40"/>
    </row>
    <row r="1510" spans="1:7" ht="12.75" hidden="1" customHeight="1">
      <c r="A1510" s="98"/>
      <c r="B1510" s="99"/>
      <c r="C1510" s="100"/>
      <c r="D1510" s="115"/>
      <c r="E1510" s="115"/>
      <c r="F1510" s="100"/>
      <c r="G1510" s="40"/>
    </row>
    <row r="1511" spans="1:7" ht="12.75" hidden="1" customHeight="1">
      <c r="A1511" s="101"/>
      <c r="B1511" s="92"/>
      <c r="C1511" s="92"/>
      <c r="D1511" s="115"/>
      <c r="E1511" s="116"/>
      <c r="F1511" s="92"/>
      <c r="G1511" s="40"/>
    </row>
    <row r="1512" spans="1:7" ht="12.75" hidden="1" customHeight="1">
      <c r="A1512" s="101"/>
      <c r="B1512" s="92"/>
      <c r="C1512" s="92"/>
      <c r="D1512" s="92"/>
      <c r="E1512" s="92"/>
      <c r="F1512" s="92"/>
      <c r="G1512" s="40"/>
    </row>
    <row r="1513" spans="1:7" ht="12.75" hidden="1" customHeight="1">
      <c r="A1513" s="101"/>
      <c r="B1513" s="92"/>
      <c r="C1513" s="92"/>
      <c r="D1513" s="92"/>
      <c r="E1513" s="92"/>
      <c r="F1513" s="92"/>
      <c r="G1513" s="40"/>
    </row>
    <row r="1514" spans="1:7" ht="12.75" hidden="1" customHeight="1">
      <c r="A1514" s="77" t="s">
        <v>472</v>
      </c>
      <c r="B1514" s="43" t="s">
        <v>87</v>
      </c>
      <c r="C1514" s="78" t="s">
        <v>338</v>
      </c>
      <c r="D1514" s="78" t="s">
        <v>339</v>
      </c>
      <c r="E1514" s="78" t="s">
        <v>340</v>
      </c>
      <c r="F1514" s="78" t="s">
        <v>341</v>
      </c>
      <c r="G1514" s="40"/>
    </row>
    <row r="1515" spans="1:7" ht="12.75" hidden="1" customHeight="1">
      <c r="A1515" s="87" t="s">
        <v>481</v>
      </c>
      <c r="B1515" s="42"/>
      <c r="C1515" s="112"/>
      <c r="D1515" s="112"/>
      <c r="E1515" s="112"/>
      <c r="F1515" s="112"/>
      <c r="G1515" s="40"/>
    </row>
    <row r="1516" spans="1:7" ht="12.75" hidden="1" customHeight="1">
      <c r="A1516" s="87" t="s">
        <v>482</v>
      </c>
      <c r="B1516" s="42"/>
      <c r="C1516" s="112"/>
      <c r="D1516" s="112"/>
      <c r="E1516" s="112"/>
      <c r="F1516" s="112"/>
      <c r="G1516" s="40"/>
    </row>
    <row r="1517" spans="1:7" ht="12.75" hidden="1" customHeight="1">
      <c r="A1517" s="87" t="s">
        <v>451</v>
      </c>
      <c r="B1517" s="42"/>
      <c r="C1517" s="112"/>
      <c r="D1517" s="112"/>
      <c r="E1517" s="112"/>
      <c r="F1517" s="112"/>
      <c r="G1517" s="40"/>
    </row>
    <row r="1518" spans="1:7" ht="12.75" hidden="1" customHeight="1">
      <c r="A1518" s="87" t="s">
        <v>452</v>
      </c>
      <c r="B1518" s="42"/>
      <c r="C1518" s="112"/>
      <c r="D1518" s="112"/>
      <c r="E1518" s="112"/>
      <c r="F1518" s="112"/>
      <c r="G1518" s="40"/>
    </row>
    <row r="1519" spans="1:7" ht="12.75" hidden="1" customHeight="1">
      <c r="A1519" s="87" t="s">
        <v>453</v>
      </c>
      <c r="B1519" s="42"/>
      <c r="C1519" s="112"/>
      <c r="D1519" s="112"/>
      <c r="E1519" s="112"/>
      <c r="F1519" s="112"/>
      <c r="G1519" s="40"/>
    </row>
    <row r="1520" spans="1:7" ht="12.75" hidden="1" customHeight="1">
      <c r="A1520" s="87" t="s">
        <v>454</v>
      </c>
      <c r="B1520" s="42"/>
      <c r="C1520" s="112"/>
      <c r="D1520" s="112"/>
      <c r="E1520" s="112"/>
      <c r="F1520" s="112"/>
      <c r="G1520" s="40"/>
    </row>
    <row r="1521" spans="1:7" ht="12.75" hidden="1" customHeight="1">
      <c r="A1521" s="87" t="s">
        <v>455</v>
      </c>
      <c r="B1521" s="42"/>
      <c r="C1521" s="112">
        <v>86110.43</v>
      </c>
      <c r="D1521" s="112"/>
      <c r="E1521" s="112">
        <v>73366</v>
      </c>
      <c r="F1521" s="112">
        <v>159476.43</v>
      </c>
      <c r="G1521" s="40"/>
    </row>
    <row r="1522" spans="1:7" ht="12.75" hidden="1" customHeight="1">
      <c r="A1522" s="87" t="s">
        <v>456</v>
      </c>
      <c r="B1522" s="93"/>
      <c r="C1522" s="112"/>
      <c r="D1522" s="112"/>
      <c r="E1522" s="112"/>
      <c r="F1522" s="112"/>
      <c r="G1522" s="40"/>
    </row>
    <row r="1523" spans="1:7" ht="12.75" hidden="1" customHeight="1">
      <c r="A1523" s="87" t="s">
        <v>457</v>
      </c>
      <c r="B1523" s="93"/>
      <c r="C1523" s="112"/>
      <c r="D1523" s="112"/>
      <c r="E1523" s="112"/>
      <c r="F1523" s="112"/>
      <c r="G1523" s="40"/>
    </row>
    <row r="1524" spans="1:7" ht="12.75" hidden="1" customHeight="1">
      <c r="A1524" s="87" t="s">
        <v>458</v>
      </c>
      <c r="B1524" s="93"/>
      <c r="C1524" s="112"/>
      <c r="D1524" s="112"/>
      <c r="E1524" s="112"/>
      <c r="F1524" s="112"/>
      <c r="G1524" s="40"/>
    </row>
    <row r="1525" spans="1:7" ht="12.75" hidden="1" customHeight="1">
      <c r="A1525" s="111" t="s">
        <v>480</v>
      </c>
      <c r="B1525" s="93"/>
      <c r="C1525" s="112"/>
      <c r="D1525" s="112"/>
      <c r="E1525" s="112"/>
      <c r="F1525" s="112"/>
      <c r="G1525" s="40"/>
    </row>
    <row r="1526" spans="1:7" ht="12.75" hidden="1" customHeight="1">
      <c r="A1526" s="77" t="s">
        <v>346</v>
      </c>
      <c r="B1526" s="95"/>
      <c r="C1526" s="108">
        <v>86110.43</v>
      </c>
      <c r="D1526" s="108"/>
      <c r="E1526" s="108">
        <v>73366</v>
      </c>
      <c r="F1526" s="108">
        <f>SUM(C1526:E1526)</f>
        <v>159476.43</v>
      </c>
      <c r="G1526" s="40"/>
    </row>
    <row r="1527" spans="1:7" ht="12.75" hidden="1" customHeight="1">
      <c r="A1527" s="114"/>
      <c r="B1527" s="103"/>
      <c r="C1527" s="104"/>
      <c r="D1527" s="104"/>
      <c r="E1527" s="104"/>
      <c r="F1527" s="104"/>
      <c r="G1527" s="40"/>
    </row>
    <row r="1528" spans="1:7" ht="12.75" hidden="1" customHeight="1">
      <c r="A1528" s="114"/>
      <c r="B1528" s="103"/>
      <c r="C1528" s="104"/>
      <c r="D1528" s="104"/>
      <c r="E1528" s="104"/>
      <c r="F1528" s="104"/>
      <c r="G1528" s="40"/>
    </row>
    <row r="1529" spans="1:7" ht="12.75" hidden="1" customHeight="1">
      <c r="A1529" s="114"/>
      <c r="B1529" s="103"/>
      <c r="C1529" s="104"/>
      <c r="D1529" s="104"/>
      <c r="E1529" s="104"/>
      <c r="F1529" s="104"/>
      <c r="G1529" s="40"/>
    </row>
    <row r="1530" spans="1:7" ht="12.75" hidden="1" customHeight="1">
      <c r="A1530" s="269" t="s">
        <v>516</v>
      </c>
      <c r="B1530" s="269"/>
      <c r="C1530" s="269"/>
      <c r="D1530" s="269"/>
      <c r="E1530" s="269"/>
      <c r="F1530" s="269"/>
      <c r="G1530" s="40"/>
    </row>
    <row r="1531" spans="1:7" ht="12.75" hidden="1" customHeight="1">
      <c r="A1531" s="42" t="s">
        <v>86</v>
      </c>
      <c r="B1531" s="43" t="s">
        <v>87</v>
      </c>
      <c r="C1531" s="43" t="s">
        <v>88</v>
      </c>
      <c r="D1531" s="43" t="s">
        <v>89</v>
      </c>
      <c r="E1531" s="43" t="s">
        <v>90</v>
      </c>
      <c r="F1531" s="43" t="s">
        <v>91</v>
      </c>
      <c r="G1531" s="40"/>
    </row>
    <row r="1532" spans="1:7" ht="12.75" hidden="1" customHeight="1">
      <c r="A1532" s="39" t="s">
        <v>1</v>
      </c>
      <c r="B1532" s="167"/>
      <c r="C1532" s="168"/>
      <c r="D1532" s="168"/>
      <c r="E1532" s="168"/>
      <c r="F1532" s="168"/>
      <c r="G1532" s="40"/>
    </row>
    <row r="1533" spans="1:7" ht="12.75" hidden="1" customHeight="1">
      <c r="A1533" s="39" t="s">
        <v>2</v>
      </c>
      <c r="B1533" s="167"/>
      <c r="C1533" s="168"/>
      <c r="D1533" s="168"/>
      <c r="E1533" s="168"/>
      <c r="F1533" s="168"/>
      <c r="G1533" s="40"/>
    </row>
    <row r="1534" spans="1:7" ht="12.75" hidden="1" customHeight="1">
      <c r="A1534" s="39" t="s">
        <v>92</v>
      </c>
      <c r="B1534" s="167"/>
      <c r="C1534" s="168"/>
      <c r="D1534" s="168"/>
      <c r="E1534" s="168"/>
      <c r="F1534" s="168"/>
      <c r="G1534" s="40"/>
    </row>
    <row r="1535" spans="1:7" ht="12.75" hidden="1" customHeight="1">
      <c r="A1535" s="39" t="s">
        <v>93</v>
      </c>
      <c r="B1535" s="167"/>
      <c r="C1535" s="168"/>
      <c r="D1535" s="168"/>
      <c r="E1535" s="168"/>
      <c r="F1535" s="168"/>
      <c r="G1535" s="40"/>
    </row>
    <row r="1536" spans="1:7" ht="12.75" hidden="1" customHeight="1">
      <c r="A1536" s="39" t="s">
        <v>94</v>
      </c>
      <c r="B1536" s="167"/>
      <c r="C1536" s="168"/>
      <c r="D1536" s="168"/>
      <c r="E1536" s="168"/>
      <c r="F1536" s="168"/>
      <c r="G1536" s="40"/>
    </row>
    <row r="1537" spans="1:7" ht="12.75" hidden="1" customHeight="1">
      <c r="A1537" s="39" t="s">
        <v>95</v>
      </c>
      <c r="B1537" s="167"/>
      <c r="C1537" s="168"/>
      <c r="D1537" s="168"/>
      <c r="E1537" s="168"/>
      <c r="F1537" s="168"/>
      <c r="G1537" s="40"/>
    </row>
    <row r="1538" spans="1:7" ht="12.75" hidden="1" customHeight="1">
      <c r="A1538" s="39" t="s">
        <v>96</v>
      </c>
      <c r="B1538" s="167"/>
      <c r="C1538" s="168"/>
      <c r="D1538" s="168"/>
      <c r="E1538" s="168"/>
      <c r="F1538" s="168"/>
      <c r="G1538" s="40"/>
    </row>
    <row r="1539" spans="1:7" ht="12.75" hidden="1" customHeight="1">
      <c r="A1539" s="39" t="s">
        <v>97</v>
      </c>
      <c r="B1539" s="167"/>
      <c r="C1539" s="168"/>
      <c r="D1539" s="168"/>
      <c r="E1539" s="168"/>
      <c r="F1539" s="168"/>
      <c r="G1539" s="40"/>
    </row>
    <row r="1540" spans="1:7" ht="12.75" hidden="1" customHeight="1">
      <c r="A1540" s="39" t="s">
        <v>98</v>
      </c>
      <c r="B1540" s="167"/>
      <c r="C1540" s="168"/>
      <c r="D1540" s="168"/>
      <c r="E1540" s="168"/>
      <c r="F1540" s="168"/>
      <c r="G1540" s="40"/>
    </row>
    <row r="1541" spans="1:7" ht="12.75" hidden="1" customHeight="1">
      <c r="A1541" s="39" t="s">
        <v>99</v>
      </c>
      <c r="B1541" s="167"/>
      <c r="C1541" s="168"/>
      <c r="D1541" s="168"/>
      <c r="E1541" s="168"/>
      <c r="F1541" s="168"/>
      <c r="G1541" s="40"/>
    </row>
    <row r="1542" spans="1:7" ht="12.75" hidden="1" customHeight="1">
      <c r="A1542" s="39" t="s">
        <v>100</v>
      </c>
      <c r="B1542" s="146"/>
      <c r="C1542" s="168"/>
      <c r="D1542" s="168"/>
      <c r="E1542" s="168"/>
      <c r="F1542" s="168"/>
      <c r="G1542" s="40"/>
    </row>
    <row r="1543" spans="1:7" ht="12.75" hidden="1" customHeight="1">
      <c r="A1543" s="39" t="s">
        <v>101</v>
      </c>
      <c r="B1543" s="167"/>
      <c r="C1543" s="168"/>
      <c r="D1543" s="168"/>
      <c r="E1543" s="168"/>
      <c r="F1543" s="168"/>
      <c r="G1543" s="40"/>
    </row>
    <row r="1544" spans="1:7" ht="12.75" hidden="1" customHeight="1">
      <c r="A1544" s="39" t="s">
        <v>102</v>
      </c>
      <c r="B1544" s="167"/>
      <c r="C1544" s="168"/>
      <c r="D1544" s="168"/>
      <c r="E1544" s="168"/>
      <c r="F1544" s="168"/>
      <c r="G1544" s="40"/>
    </row>
    <row r="1545" spans="1:7" ht="12.75" hidden="1" customHeight="1">
      <c r="A1545" s="39" t="s">
        <v>103</v>
      </c>
      <c r="B1545" s="167"/>
      <c r="C1545" s="168"/>
      <c r="D1545" s="168"/>
      <c r="E1545" s="168"/>
      <c r="F1545" s="168"/>
      <c r="G1545" s="40"/>
    </row>
    <row r="1546" spans="1:7" ht="12.75" hidden="1" customHeight="1">
      <c r="A1546" s="39" t="s">
        <v>104</v>
      </c>
      <c r="B1546" s="169"/>
      <c r="C1546" s="168"/>
      <c r="D1546" s="168"/>
      <c r="E1546" s="168"/>
      <c r="F1546" s="168"/>
      <c r="G1546" s="40"/>
    </row>
    <row r="1547" spans="1:7" ht="12.75" hidden="1" customHeight="1">
      <c r="A1547" s="39" t="s">
        <v>105</v>
      </c>
      <c r="B1547" s="167"/>
      <c r="C1547" s="168"/>
      <c r="D1547" s="168"/>
      <c r="E1547" s="168"/>
      <c r="F1547" s="168"/>
      <c r="G1547" s="40"/>
    </row>
    <row r="1548" spans="1:7" ht="12.75" hidden="1" customHeight="1">
      <c r="A1548" s="39" t="s">
        <v>106</v>
      </c>
      <c r="B1548" s="167"/>
      <c r="C1548" s="168"/>
      <c r="D1548" s="168"/>
      <c r="E1548" s="168"/>
      <c r="F1548" s="168"/>
      <c r="G1548" s="40"/>
    </row>
    <row r="1549" spans="1:7" ht="12.75" hidden="1" customHeight="1">
      <c r="A1549" s="39" t="s">
        <v>107</v>
      </c>
      <c r="B1549" s="167"/>
      <c r="C1549" s="168"/>
      <c r="D1549" s="168"/>
      <c r="E1549" s="168"/>
      <c r="F1549" s="168"/>
      <c r="G1549" s="40"/>
    </row>
    <row r="1550" spans="1:7" ht="12.75" hidden="1" customHeight="1">
      <c r="A1550" s="39" t="s">
        <v>108</v>
      </c>
      <c r="B1550" s="146"/>
      <c r="C1550" s="168"/>
      <c r="D1550" s="168"/>
      <c r="E1550" s="168"/>
      <c r="F1550" s="168"/>
      <c r="G1550" s="40"/>
    </row>
    <row r="1551" spans="1:7" ht="12.75" hidden="1" customHeight="1">
      <c r="A1551" s="39" t="s">
        <v>109</v>
      </c>
      <c r="B1551" s="167"/>
      <c r="C1551" s="168"/>
      <c r="D1551" s="168"/>
      <c r="E1551" s="168"/>
      <c r="F1551" s="168"/>
      <c r="G1551" s="40"/>
    </row>
    <row r="1552" spans="1:7" ht="12.75" hidden="1" customHeight="1">
      <c r="A1552" s="39" t="s">
        <v>110</v>
      </c>
      <c r="B1552" s="167"/>
      <c r="C1552" s="168"/>
      <c r="D1552" s="168"/>
      <c r="E1552" s="168"/>
      <c r="F1552" s="168"/>
      <c r="G1552" s="40"/>
    </row>
    <row r="1553" spans="1:7" ht="12.75" hidden="1" customHeight="1">
      <c r="A1553" s="39" t="s">
        <v>407</v>
      </c>
      <c r="B1553" s="146"/>
      <c r="C1553" s="168"/>
      <c r="D1553" s="168"/>
      <c r="E1553" s="168"/>
      <c r="F1553" s="168"/>
      <c r="G1553" s="40"/>
    </row>
    <row r="1554" spans="1:7" ht="12.75" hidden="1" customHeight="1">
      <c r="A1554" s="39" t="s">
        <v>408</v>
      </c>
      <c r="B1554" s="146"/>
      <c r="C1554" s="168"/>
      <c r="D1554" s="168"/>
      <c r="E1554" s="168"/>
      <c r="F1554" s="168"/>
      <c r="G1554" s="40"/>
    </row>
    <row r="1555" spans="1:7" ht="12.75" hidden="1" customHeight="1">
      <c r="A1555" s="39" t="s">
        <v>409</v>
      </c>
      <c r="B1555" s="167"/>
      <c r="C1555" s="168"/>
      <c r="D1555" s="168"/>
      <c r="E1555" s="168"/>
      <c r="F1555" s="168"/>
      <c r="G1555" s="40"/>
    </row>
    <row r="1556" spans="1:7" ht="12.75" hidden="1" customHeight="1">
      <c r="A1556" s="39" t="s">
        <v>501</v>
      </c>
      <c r="B1556" s="167"/>
      <c r="C1556" s="168"/>
      <c r="D1556" s="168"/>
      <c r="E1556" s="168"/>
      <c r="F1556" s="168"/>
      <c r="G1556" s="40"/>
    </row>
    <row r="1557" spans="1:7" ht="12.75" hidden="1" customHeight="1">
      <c r="A1557" s="39" t="s">
        <v>115</v>
      </c>
      <c r="B1557" s="167"/>
      <c r="C1557" s="168"/>
      <c r="D1557" s="168"/>
      <c r="E1557" s="168"/>
      <c r="F1557" s="168"/>
      <c r="G1557" s="40"/>
    </row>
    <row r="1558" spans="1:7" ht="12.75" hidden="1" customHeight="1">
      <c r="A1558" s="39" t="s">
        <v>116</v>
      </c>
      <c r="B1558" s="167"/>
      <c r="C1558" s="168"/>
      <c r="D1558" s="168"/>
      <c r="E1558" s="168"/>
      <c r="F1558" s="168"/>
      <c r="G1558" s="40"/>
    </row>
    <row r="1559" spans="1:7" ht="12.75" hidden="1" customHeight="1">
      <c r="A1559" s="39" t="s">
        <v>117</v>
      </c>
      <c r="B1559" s="167"/>
      <c r="C1559" s="168"/>
      <c r="D1559" s="168"/>
      <c r="E1559" s="168"/>
      <c r="F1559" s="168"/>
      <c r="G1559" s="40"/>
    </row>
    <row r="1560" spans="1:7" ht="12.75" hidden="1" customHeight="1">
      <c r="A1560" s="39" t="s">
        <v>118</v>
      </c>
      <c r="B1560" s="146"/>
      <c r="C1560" s="168"/>
      <c r="D1560" s="168"/>
      <c r="E1560" s="168"/>
      <c r="F1560" s="168"/>
      <c r="G1560" s="40"/>
    </row>
    <row r="1561" spans="1:7" ht="12.75" hidden="1" customHeight="1">
      <c r="A1561" s="39" t="s">
        <v>119</v>
      </c>
      <c r="B1561" s="167">
        <v>11.5</v>
      </c>
      <c r="C1561" s="66">
        <f>B1561/B$1592*C$1590</f>
        <v>23957.41744966443</v>
      </c>
      <c r="D1561" s="66">
        <f>C1561/C$1592*D$1590</f>
        <v>40494.355704697984</v>
      </c>
      <c r="E1561" s="66">
        <f>D1561/D$1592*E$1590</f>
        <v>35605.142431262175</v>
      </c>
      <c r="F1561" s="168">
        <f>SUM(C1561:E1561)</f>
        <v>100056.91558562458</v>
      </c>
      <c r="G1561" s="40"/>
    </row>
    <row r="1562" spans="1:7" ht="12.75" hidden="1" customHeight="1">
      <c r="A1562" s="39" t="s">
        <v>120</v>
      </c>
      <c r="B1562" s="146">
        <v>12.5</v>
      </c>
      <c r="C1562" s="66">
        <f t="shared" ref="C1562:E1579" si="66">B1562/B$1592*C$1590</f>
        <v>26040.671140939598</v>
      </c>
      <c r="D1562" s="66">
        <f t="shared" si="66"/>
        <v>44015.604026845642</v>
      </c>
      <c r="E1562" s="66">
        <f t="shared" si="66"/>
        <v>38701.241773111062</v>
      </c>
      <c r="F1562" s="168">
        <f t="shared" ref="F1562:F1579" si="67">SUM(C1562:E1562)</f>
        <v>108757.5169408963</v>
      </c>
      <c r="G1562" s="40"/>
    </row>
    <row r="1563" spans="1:7" ht="12.75" hidden="1" customHeight="1">
      <c r="A1563" s="39" t="s">
        <v>121</v>
      </c>
      <c r="B1563" s="146"/>
      <c r="C1563" s="168">
        <f t="shared" si="66"/>
        <v>0</v>
      </c>
      <c r="D1563" s="168">
        <f t="shared" si="66"/>
        <v>0</v>
      </c>
      <c r="E1563" s="168">
        <f t="shared" si="66"/>
        <v>0</v>
      </c>
      <c r="F1563" s="168">
        <f t="shared" si="67"/>
        <v>0</v>
      </c>
      <c r="G1563" s="40"/>
    </row>
    <row r="1564" spans="1:7" ht="12.75" hidden="1" customHeight="1">
      <c r="A1564" s="39" t="s">
        <v>122</v>
      </c>
      <c r="B1564" s="167">
        <v>11</v>
      </c>
      <c r="C1564" s="66">
        <f t="shared" si="66"/>
        <v>22915.790604026846</v>
      </c>
      <c r="D1564" s="66">
        <f t="shared" si="66"/>
        <v>38733.731543624162</v>
      </c>
      <c r="E1564" s="66">
        <f t="shared" si="66"/>
        <v>34057.092760337735</v>
      </c>
      <c r="F1564" s="168">
        <f t="shared" si="67"/>
        <v>95706.61490798874</v>
      </c>
      <c r="G1564" s="40"/>
    </row>
    <row r="1565" spans="1:7" ht="12.75" hidden="1" customHeight="1">
      <c r="A1565" s="39" t="s">
        <v>123</v>
      </c>
      <c r="B1565" s="167"/>
      <c r="C1565" s="168">
        <f t="shared" si="66"/>
        <v>0</v>
      </c>
      <c r="D1565" s="168">
        <f t="shared" si="66"/>
        <v>0</v>
      </c>
      <c r="E1565" s="168">
        <f t="shared" si="66"/>
        <v>0</v>
      </c>
      <c r="F1565" s="168">
        <f t="shared" si="67"/>
        <v>0</v>
      </c>
      <c r="G1565" s="40"/>
    </row>
    <row r="1566" spans="1:7" ht="12.75" hidden="1" customHeight="1">
      <c r="A1566" s="39" t="s">
        <v>124</v>
      </c>
      <c r="B1566" s="167"/>
      <c r="C1566" s="168">
        <f t="shared" si="66"/>
        <v>0</v>
      </c>
      <c r="D1566" s="168">
        <f t="shared" si="66"/>
        <v>0</v>
      </c>
      <c r="E1566" s="168">
        <f t="shared" si="66"/>
        <v>0</v>
      </c>
      <c r="F1566" s="168">
        <f t="shared" si="67"/>
        <v>0</v>
      </c>
      <c r="G1566" s="40"/>
    </row>
    <row r="1567" spans="1:7" ht="12.75" hidden="1" customHeight="1">
      <c r="A1567" s="39" t="s">
        <v>125</v>
      </c>
      <c r="B1567" s="167"/>
      <c r="C1567" s="168">
        <f t="shared" si="66"/>
        <v>0</v>
      </c>
      <c r="D1567" s="168">
        <f t="shared" si="66"/>
        <v>0</v>
      </c>
      <c r="E1567" s="168">
        <f t="shared" si="66"/>
        <v>0</v>
      </c>
      <c r="F1567" s="168">
        <f t="shared" si="67"/>
        <v>0</v>
      </c>
      <c r="G1567" s="40"/>
    </row>
    <row r="1568" spans="1:7" ht="12.75" hidden="1" customHeight="1">
      <c r="A1568" s="39" t="s">
        <v>126</v>
      </c>
      <c r="B1568" s="146"/>
      <c r="C1568" s="168">
        <f t="shared" si="66"/>
        <v>0</v>
      </c>
      <c r="D1568" s="168">
        <f t="shared" si="66"/>
        <v>0</v>
      </c>
      <c r="E1568" s="168">
        <f t="shared" si="66"/>
        <v>0</v>
      </c>
      <c r="F1568" s="168">
        <f t="shared" si="67"/>
        <v>0</v>
      </c>
      <c r="G1568" s="40"/>
    </row>
    <row r="1569" spans="1:7" ht="12.75" hidden="1" customHeight="1">
      <c r="A1569" s="39" t="s">
        <v>127</v>
      </c>
      <c r="B1569" s="167"/>
      <c r="C1569" s="168">
        <f t="shared" si="66"/>
        <v>0</v>
      </c>
      <c r="D1569" s="168">
        <f t="shared" si="66"/>
        <v>0</v>
      </c>
      <c r="E1569" s="168">
        <f t="shared" si="66"/>
        <v>0</v>
      </c>
      <c r="F1569" s="168">
        <f t="shared" si="67"/>
        <v>0</v>
      </c>
      <c r="G1569" s="40"/>
    </row>
    <row r="1570" spans="1:7" ht="12.75" hidden="1" customHeight="1">
      <c r="A1570" s="39" t="s">
        <v>128</v>
      </c>
      <c r="B1570" s="167">
        <v>11</v>
      </c>
      <c r="C1570" s="66">
        <f t="shared" si="66"/>
        <v>22915.790604026846</v>
      </c>
      <c r="D1570" s="66">
        <f t="shared" si="66"/>
        <v>38733.731543624162</v>
      </c>
      <c r="E1570" s="66">
        <f t="shared" si="66"/>
        <v>34057.092760337735</v>
      </c>
      <c r="F1570" s="168">
        <f t="shared" si="67"/>
        <v>95706.61490798874</v>
      </c>
      <c r="G1570" s="40"/>
    </row>
    <row r="1571" spans="1:7" ht="12.75" hidden="1" customHeight="1">
      <c r="A1571" s="39" t="s">
        <v>129</v>
      </c>
      <c r="B1571" s="146"/>
      <c r="C1571" s="168">
        <f t="shared" si="66"/>
        <v>0</v>
      </c>
      <c r="D1571" s="168">
        <f t="shared" si="66"/>
        <v>0</v>
      </c>
      <c r="E1571" s="168">
        <f t="shared" si="66"/>
        <v>0</v>
      </c>
      <c r="F1571" s="168">
        <f t="shared" si="67"/>
        <v>0</v>
      </c>
      <c r="G1571" s="40"/>
    </row>
    <row r="1572" spans="1:7" ht="12.75" hidden="1" customHeight="1">
      <c r="A1572" s="39" t="s">
        <v>130</v>
      </c>
      <c r="B1572" s="146"/>
      <c r="C1572" s="168">
        <f t="shared" si="66"/>
        <v>0</v>
      </c>
      <c r="D1572" s="168">
        <f t="shared" si="66"/>
        <v>0</v>
      </c>
      <c r="E1572" s="168">
        <f t="shared" si="66"/>
        <v>0</v>
      </c>
      <c r="F1572" s="168">
        <f t="shared" si="67"/>
        <v>0</v>
      </c>
      <c r="G1572" s="40"/>
    </row>
    <row r="1573" spans="1:7" ht="12.75" hidden="1" customHeight="1">
      <c r="A1573" s="39" t="s">
        <v>131</v>
      </c>
      <c r="B1573" s="146"/>
      <c r="C1573" s="168">
        <f t="shared" si="66"/>
        <v>0</v>
      </c>
      <c r="D1573" s="168">
        <f t="shared" si="66"/>
        <v>0</v>
      </c>
      <c r="E1573" s="168">
        <f t="shared" si="66"/>
        <v>0</v>
      </c>
      <c r="F1573" s="168">
        <f t="shared" si="67"/>
        <v>0</v>
      </c>
      <c r="G1573" s="40"/>
    </row>
    <row r="1574" spans="1:7" ht="12.75" hidden="1" customHeight="1">
      <c r="A1574" s="39" t="s">
        <v>132</v>
      </c>
      <c r="B1574" s="167"/>
      <c r="C1574" s="168">
        <f t="shared" si="66"/>
        <v>0</v>
      </c>
      <c r="D1574" s="168">
        <f t="shared" si="66"/>
        <v>0</v>
      </c>
      <c r="E1574" s="168">
        <f t="shared" si="66"/>
        <v>0</v>
      </c>
      <c r="F1574" s="168">
        <f t="shared" si="67"/>
        <v>0</v>
      </c>
      <c r="G1574" s="40"/>
    </row>
    <row r="1575" spans="1:7" ht="12.75" hidden="1" customHeight="1">
      <c r="A1575" s="39" t="s">
        <v>133</v>
      </c>
      <c r="B1575" s="167">
        <v>6.5</v>
      </c>
      <c r="C1575" s="66">
        <f t="shared" si="66"/>
        <v>13541.148993288591</v>
      </c>
      <c r="D1575" s="66">
        <f t="shared" si="66"/>
        <v>22888.114093959732</v>
      </c>
      <c r="E1575" s="66">
        <f t="shared" si="66"/>
        <v>20124.645722017751</v>
      </c>
      <c r="F1575" s="168">
        <f t="shared" si="67"/>
        <v>56553.908809266068</v>
      </c>
      <c r="G1575" s="40"/>
    </row>
    <row r="1576" spans="1:7" ht="12.75" hidden="1" customHeight="1">
      <c r="A1576" s="39" t="s">
        <v>134</v>
      </c>
      <c r="B1576" s="146"/>
      <c r="C1576" s="168">
        <f t="shared" si="66"/>
        <v>0</v>
      </c>
      <c r="D1576" s="168">
        <f t="shared" si="66"/>
        <v>0</v>
      </c>
      <c r="E1576" s="168">
        <f t="shared" si="66"/>
        <v>0</v>
      </c>
      <c r="F1576" s="168">
        <f t="shared" si="67"/>
        <v>0</v>
      </c>
      <c r="G1576" s="40"/>
    </row>
    <row r="1577" spans="1:7" ht="12.75" hidden="1" customHeight="1">
      <c r="A1577" s="39" t="s">
        <v>135</v>
      </c>
      <c r="B1577" s="146"/>
      <c r="C1577" s="168">
        <f t="shared" si="66"/>
        <v>0</v>
      </c>
      <c r="D1577" s="168">
        <f t="shared" si="66"/>
        <v>0</v>
      </c>
      <c r="E1577" s="168">
        <f t="shared" si="66"/>
        <v>0</v>
      </c>
      <c r="F1577" s="168">
        <f t="shared" si="67"/>
        <v>0</v>
      </c>
      <c r="G1577" s="40"/>
    </row>
    <row r="1578" spans="1:7" ht="12.75" hidden="1" customHeight="1">
      <c r="A1578" s="39" t="s">
        <v>136</v>
      </c>
      <c r="B1578" s="167"/>
      <c r="C1578" s="168">
        <f t="shared" si="66"/>
        <v>0</v>
      </c>
      <c r="D1578" s="168">
        <f t="shared" si="66"/>
        <v>0</v>
      </c>
      <c r="E1578" s="168">
        <f t="shared" si="66"/>
        <v>0</v>
      </c>
      <c r="F1578" s="168">
        <f t="shared" si="67"/>
        <v>0</v>
      </c>
      <c r="G1578" s="40"/>
    </row>
    <row r="1579" spans="1:7" ht="12.75" hidden="1" customHeight="1">
      <c r="A1579" s="39" t="s">
        <v>137</v>
      </c>
      <c r="B1579" s="146">
        <v>22</v>
      </c>
      <c r="C1579" s="66">
        <f t="shared" si="66"/>
        <v>45831.581208053693</v>
      </c>
      <c r="D1579" s="66">
        <f t="shared" si="66"/>
        <v>77467.463087248325</v>
      </c>
      <c r="E1579" s="66">
        <f t="shared" si="66"/>
        <v>68114.18552067547</v>
      </c>
      <c r="F1579" s="168">
        <f t="shared" si="67"/>
        <v>191413.22981597748</v>
      </c>
      <c r="G1579" s="40"/>
    </row>
    <row r="1580" spans="1:7" ht="12.75" hidden="1" customHeight="1">
      <c r="A1580" s="39" t="s">
        <v>138</v>
      </c>
      <c r="B1580" s="146"/>
      <c r="C1580" s="168"/>
      <c r="D1580" s="168"/>
      <c r="E1580" s="168"/>
      <c r="F1580" s="168"/>
      <c r="G1580" s="40"/>
    </row>
    <row r="1581" spans="1:7" ht="12.75" hidden="1" customHeight="1">
      <c r="A1581" s="39" t="s">
        <v>502</v>
      </c>
      <c r="B1581" s="146"/>
      <c r="C1581" s="168"/>
      <c r="D1581" s="168"/>
      <c r="E1581" s="168"/>
      <c r="F1581" s="168"/>
      <c r="G1581" s="40"/>
    </row>
    <row r="1582" spans="1:7" ht="12.75" hidden="1" customHeight="1">
      <c r="A1582" s="39" t="s">
        <v>503</v>
      </c>
      <c r="B1582" s="146"/>
      <c r="C1582" s="168"/>
      <c r="D1582" s="168"/>
      <c r="E1582" s="168"/>
      <c r="F1582" s="168"/>
      <c r="G1582" s="40"/>
    </row>
    <row r="1583" spans="1:7" ht="12.75" hidden="1" customHeight="1">
      <c r="A1583" s="46" t="s">
        <v>140</v>
      </c>
      <c r="B1583" s="146"/>
      <c r="C1583" s="168"/>
      <c r="D1583" s="168"/>
      <c r="E1583" s="168"/>
      <c r="F1583" s="168"/>
      <c r="G1583" s="40"/>
    </row>
    <row r="1584" spans="1:7" ht="12.75" hidden="1" customHeight="1">
      <c r="A1584" s="46" t="s">
        <v>141</v>
      </c>
      <c r="B1584" s="146"/>
      <c r="C1584" s="168"/>
      <c r="D1584" s="168"/>
      <c r="E1584" s="168"/>
      <c r="F1584" s="168"/>
      <c r="G1584" s="40"/>
    </row>
    <row r="1585" spans="1:7" ht="12.75" hidden="1" customHeight="1">
      <c r="A1585" s="46" t="s">
        <v>142</v>
      </c>
      <c r="B1585" s="146"/>
      <c r="C1585" s="168"/>
      <c r="D1585" s="168"/>
      <c r="E1585" s="168"/>
      <c r="F1585" s="168"/>
      <c r="G1585" s="40"/>
    </row>
    <row r="1586" spans="1:7" ht="12.75" hidden="1" customHeight="1">
      <c r="A1586" s="46" t="s">
        <v>143</v>
      </c>
      <c r="B1586" s="146"/>
      <c r="C1586" s="168"/>
      <c r="D1586" s="168"/>
      <c r="E1586" s="168"/>
      <c r="F1586" s="168"/>
      <c r="G1586" s="40"/>
    </row>
    <row r="1587" spans="1:7" ht="12.75" hidden="1" customHeight="1">
      <c r="A1587" s="46" t="s">
        <v>146</v>
      </c>
      <c r="B1587" s="146"/>
      <c r="C1587" s="168"/>
      <c r="D1587" s="168"/>
      <c r="E1587" s="168"/>
      <c r="F1587" s="168"/>
      <c r="G1587" s="40"/>
    </row>
    <row r="1588" spans="1:7" ht="12.75" hidden="1" customHeight="1">
      <c r="A1588" s="46" t="s">
        <v>147</v>
      </c>
      <c r="B1588" s="146"/>
      <c r="C1588" s="168"/>
      <c r="D1588" s="168"/>
      <c r="E1588" s="168"/>
      <c r="F1588" s="168"/>
      <c r="G1588" s="40"/>
    </row>
    <row r="1589" spans="1:7" ht="12.75" hidden="1" customHeight="1">
      <c r="A1589" s="46" t="s">
        <v>148</v>
      </c>
      <c r="B1589" s="146"/>
      <c r="C1589" s="168"/>
      <c r="D1589" s="168"/>
      <c r="E1589" s="168"/>
      <c r="F1589" s="168"/>
      <c r="G1589" s="40"/>
    </row>
    <row r="1590" spans="1:7" ht="12.75" hidden="1" customHeight="1">
      <c r="A1590" s="126" t="s">
        <v>526</v>
      </c>
      <c r="B1590" s="170"/>
      <c r="C1590" s="168">
        <v>155202.4</v>
      </c>
      <c r="D1590" s="168">
        <v>262333</v>
      </c>
      <c r="E1590" s="168">
        <f>E1592-E1591</f>
        <v>230659.40096774191</v>
      </c>
      <c r="F1590" s="168">
        <f>SUM(C1590:E1590)</f>
        <v>648194.80096774199</v>
      </c>
      <c r="G1590" s="40"/>
    </row>
    <row r="1591" spans="1:7" ht="12.75" hidden="1" customHeight="1">
      <c r="A1591" s="126" t="s">
        <v>406</v>
      </c>
      <c r="B1591" s="170"/>
      <c r="C1591" s="168"/>
      <c r="D1591" s="168"/>
      <c r="E1591" s="168">
        <f>9/31*160119.13</f>
        <v>46486.199032258068</v>
      </c>
      <c r="F1591" s="168">
        <f>SUM(C1591:E1591)</f>
        <v>46486.199032258068</v>
      </c>
      <c r="G1591" s="40"/>
    </row>
    <row r="1592" spans="1:7" ht="12.75" hidden="1" customHeight="1">
      <c r="A1592" s="48" t="s">
        <v>150</v>
      </c>
      <c r="B1592" s="171">
        <f>SUM(B1561:B1591)</f>
        <v>74.5</v>
      </c>
      <c r="C1592" s="172">
        <f>155202.4</f>
        <v>155202.4</v>
      </c>
      <c r="D1592" s="173">
        <f>44610+5400+17681+160318+33911+413</f>
        <v>262333</v>
      </c>
      <c r="E1592" s="173">
        <f>277145.6</f>
        <v>277145.59999999998</v>
      </c>
      <c r="F1592" s="173">
        <f>SUM(C1592:E1592)</f>
        <v>694681</v>
      </c>
      <c r="G1592" s="40"/>
    </row>
    <row r="1593" spans="1:7" ht="12.75" hidden="1" customHeight="1">
      <c r="A1593" s="180" t="s">
        <v>527</v>
      </c>
      <c r="B1593" s="106"/>
      <c r="C1593" s="106"/>
      <c r="D1593" s="106"/>
      <c r="E1593" s="106"/>
      <c r="F1593" s="106"/>
      <c r="G1593" s="107"/>
    </row>
    <row r="1594" spans="1:7" ht="12.75" hidden="1" customHeight="1">
      <c r="A1594" s="51"/>
      <c r="B1594" s="52"/>
      <c r="C1594" s="51"/>
      <c r="D1594" s="51"/>
      <c r="E1594" s="52"/>
      <c r="F1594" s="51"/>
      <c r="G1594" s="40"/>
    </row>
    <row r="1595" spans="1:7" ht="12.75" hidden="1" customHeight="1">
      <c r="A1595" s="51"/>
      <c r="B1595" s="52"/>
      <c r="C1595" s="51"/>
      <c r="D1595" s="51"/>
      <c r="E1595" s="52"/>
      <c r="F1595" s="51"/>
      <c r="G1595" s="40"/>
    </row>
    <row r="1596" spans="1:7" ht="12.75" hidden="1" customHeight="1">
      <c r="A1596" s="51"/>
      <c r="B1596" s="52"/>
      <c r="C1596" s="51"/>
      <c r="D1596" s="51"/>
      <c r="E1596" s="52"/>
      <c r="F1596" s="51"/>
      <c r="G1596" s="40"/>
    </row>
    <row r="1597" spans="1:7" ht="12.75" hidden="1" customHeight="1">
      <c r="A1597" s="269" t="s">
        <v>517</v>
      </c>
      <c r="B1597" s="269"/>
      <c r="C1597" s="269"/>
      <c r="D1597" s="269"/>
      <c r="E1597" s="269"/>
      <c r="F1597" s="269"/>
      <c r="G1597" s="40"/>
    </row>
    <row r="1598" spans="1:7" ht="12.75" hidden="1" customHeight="1">
      <c r="A1598" s="43" t="s">
        <v>86</v>
      </c>
      <c r="B1598" s="43" t="s">
        <v>87</v>
      </c>
      <c r="C1598" s="43" t="s">
        <v>88</v>
      </c>
      <c r="D1598" s="43" t="s">
        <v>89</v>
      </c>
      <c r="E1598" s="43" t="s">
        <v>90</v>
      </c>
      <c r="F1598" s="45" t="s">
        <v>152</v>
      </c>
      <c r="G1598" s="43" t="s">
        <v>91</v>
      </c>
    </row>
    <row r="1599" spans="1:7" ht="12.75" hidden="1" customHeight="1">
      <c r="A1599" s="39" t="s">
        <v>153</v>
      </c>
      <c r="B1599" s="167"/>
      <c r="C1599" s="174"/>
      <c r="D1599" s="174"/>
      <c r="E1599" s="174"/>
      <c r="F1599" s="146"/>
      <c r="G1599" s="174"/>
    </row>
    <row r="1600" spans="1:7" ht="12.75" hidden="1" customHeight="1">
      <c r="A1600" s="39" t="s">
        <v>154</v>
      </c>
      <c r="B1600" s="167">
        <v>6</v>
      </c>
      <c r="C1600" s="53">
        <f>B1600/B$1674*C$1672</f>
        <v>11235.797848101267</v>
      </c>
      <c r="D1600" s="53">
        <f>C1600/C$1674*D$1672</f>
        <v>9891.683544303798</v>
      </c>
      <c r="E1600" s="53">
        <f>B1600/B$1674*E$1672</f>
        <v>4832.2306329113926</v>
      </c>
      <c r="F1600" s="146"/>
      <c r="G1600" s="174">
        <f>SUM(C1600:E1600)</f>
        <v>25959.712025316458</v>
      </c>
    </row>
    <row r="1601" spans="1:7" ht="12.75" hidden="1" customHeight="1">
      <c r="A1601" s="39" t="s">
        <v>155</v>
      </c>
      <c r="B1601" s="167"/>
      <c r="C1601" s="174">
        <f t="shared" ref="C1601:D1654" si="68">B1601/B$1674*C$1672</f>
        <v>0</v>
      </c>
      <c r="D1601" s="174">
        <f t="shared" si="68"/>
        <v>0</v>
      </c>
      <c r="E1601" s="174">
        <f t="shared" ref="E1601:E1654" si="69">B1601/B$1674*E$1672</f>
        <v>0</v>
      </c>
      <c r="F1601" s="146"/>
      <c r="G1601" s="174">
        <f t="shared" ref="G1601:G1654" si="70">SUM(C1601:E1601)</f>
        <v>0</v>
      </c>
    </row>
    <row r="1602" spans="1:7" ht="12.75" hidden="1" customHeight="1">
      <c r="A1602" s="39" t="s">
        <v>156</v>
      </c>
      <c r="B1602" s="167"/>
      <c r="C1602" s="174">
        <f t="shared" si="68"/>
        <v>0</v>
      </c>
      <c r="D1602" s="174">
        <f t="shared" si="68"/>
        <v>0</v>
      </c>
      <c r="E1602" s="174">
        <f t="shared" si="69"/>
        <v>0</v>
      </c>
      <c r="F1602" s="146"/>
      <c r="G1602" s="174">
        <f t="shared" si="70"/>
        <v>0</v>
      </c>
    </row>
    <row r="1603" spans="1:7" ht="12.75" hidden="1" customHeight="1">
      <c r="A1603" s="39" t="s">
        <v>3</v>
      </c>
      <c r="B1603" s="167"/>
      <c r="C1603" s="174">
        <f t="shared" si="68"/>
        <v>0</v>
      </c>
      <c r="D1603" s="174">
        <f t="shared" si="68"/>
        <v>0</v>
      </c>
      <c r="E1603" s="174">
        <f t="shared" si="69"/>
        <v>0</v>
      </c>
      <c r="F1603" s="146"/>
      <c r="G1603" s="174">
        <f t="shared" si="70"/>
        <v>0</v>
      </c>
    </row>
    <row r="1604" spans="1:7" ht="12.75" hidden="1" customHeight="1">
      <c r="A1604" s="39" t="s">
        <v>4</v>
      </c>
      <c r="B1604" s="167">
        <v>9</v>
      </c>
      <c r="C1604" s="53">
        <f t="shared" si="68"/>
        <v>16853.696772151899</v>
      </c>
      <c r="D1604" s="53">
        <f t="shared" si="68"/>
        <v>14837.525316455696</v>
      </c>
      <c r="E1604" s="53">
        <f t="shared" si="69"/>
        <v>7248.3459493670889</v>
      </c>
      <c r="F1604" s="146"/>
      <c r="G1604" s="174">
        <f t="shared" si="70"/>
        <v>38939.568037974685</v>
      </c>
    </row>
    <row r="1605" spans="1:7" ht="12.75" hidden="1" customHeight="1">
      <c r="A1605" s="39" t="s">
        <v>5</v>
      </c>
      <c r="B1605" s="167"/>
      <c r="C1605" s="174">
        <f t="shared" si="68"/>
        <v>0</v>
      </c>
      <c r="D1605" s="174">
        <f t="shared" si="68"/>
        <v>0</v>
      </c>
      <c r="E1605" s="174">
        <f t="shared" si="69"/>
        <v>0</v>
      </c>
      <c r="F1605" s="146"/>
      <c r="G1605" s="174">
        <f t="shared" si="70"/>
        <v>0</v>
      </c>
    </row>
    <row r="1606" spans="1:7" ht="12.75" hidden="1" customHeight="1">
      <c r="A1606" s="39" t="s">
        <v>157</v>
      </c>
      <c r="B1606" s="167"/>
      <c r="C1606" s="174">
        <f t="shared" si="68"/>
        <v>0</v>
      </c>
      <c r="D1606" s="174">
        <f t="shared" si="68"/>
        <v>0</v>
      </c>
      <c r="E1606" s="174">
        <f t="shared" si="69"/>
        <v>0</v>
      </c>
      <c r="F1606" s="175"/>
      <c r="G1606" s="174">
        <f t="shared" si="70"/>
        <v>0</v>
      </c>
    </row>
    <row r="1607" spans="1:7" ht="12.75" hidden="1" customHeight="1">
      <c r="A1607" s="39" t="s">
        <v>158</v>
      </c>
      <c r="B1607" s="167"/>
      <c r="C1607" s="174">
        <f t="shared" si="68"/>
        <v>0</v>
      </c>
      <c r="D1607" s="174">
        <f t="shared" si="68"/>
        <v>0</v>
      </c>
      <c r="E1607" s="174">
        <f t="shared" si="69"/>
        <v>0</v>
      </c>
      <c r="F1607" s="175"/>
      <c r="G1607" s="174">
        <f t="shared" si="70"/>
        <v>0</v>
      </c>
    </row>
    <row r="1608" spans="1:7" ht="12.75" hidden="1" customHeight="1">
      <c r="A1608" s="39" t="s">
        <v>159</v>
      </c>
      <c r="B1608" s="167"/>
      <c r="C1608" s="174">
        <f t="shared" si="68"/>
        <v>0</v>
      </c>
      <c r="D1608" s="174">
        <f t="shared" si="68"/>
        <v>0</v>
      </c>
      <c r="E1608" s="174">
        <f t="shared" si="69"/>
        <v>0</v>
      </c>
      <c r="F1608" s="175"/>
      <c r="G1608" s="174">
        <f t="shared" si="70"/>
        <v>0</v>
      </c>
    </row>
    <row r="1609" spans="1:7" ht="12.75" hidden="1" customHeight="1">
      <c r="A1609" s="39" t="s">
        <v>160</v>
      </c>
      <c r="B1609" s="167"/>
      <c r="C1609" s="174">
        <f t="shared" si="68"/>
        <v>0</v>
      </c>
      <c r="D1609" s="174">
        <f t="shared" si="68"/>
        <v>0</v>
      </c>
      <c r="E1609" s="174">
        <f t="shared" si="69"/>
        <v>0</v>
      </c>
      <c r="F1609" s="175"/>
      <c r="G1609" s="174">
        <f t="shared" si="70"/>
        <v>0</v>
      </c>
    </row>
    <row r="1610" spans="1:7" ht="12.75" hidden="1" customHeight="1">
      <c r="A1610" s="39" t="s">
        <v>161</v>
      </c>
      <c r="B1610" s="167">
        <v>10.5</v>
      </c>
      <c r="C1610" s="53">
        <f t="shared" si="68"/>
        <v>19662.646234177213</v>
      </c>
      <c r="D1610" s="53">
        <f t="shared" si="68"/>
        <v>17310.446202531642</v>
      </c>
      <c r="E1610" s="53">
        <f t="shared" si="69"/>
        <v>8456.4036075949371</v>
      </c>
      <c r="F1610" s="175"/>
      <c r="G1610" s="174">
        <f t="shared" si="70"/>
        <v>45429.4960443038</v>
      </c>
    </row>
    <row r="1611" spans="1:7" ht="12.75" hidden="1" customHeight="1">
      <c r="A1611" s="39" t="s">
        <v>6</v>
      </c>
      <c r="B1611" s="167"/>
      <c r="C1611" s="174">
        <f t="shared" si="68"/>
        <v>0</v>
      </c>
      <c r="D1611" s="174">
        <f t="shared" si="68"/>
        <v>0</v>
      </c>
      <c r="E1611" s="174">
        <f t="shared" si="69"/>
        <v>0</v>
      </c>
      <c r="F1611" s="175"/>
      <c r="G1611" s="174">
        <f t="shared" si="70"/>
        <v>0</v>
      </c>
    </row>
    <row r="1612" spans="1:7" ht="12.75" hidden="1" customHeight="1">
      <c r="A1612" s="39" t="s">
        <v>7</v>
      </c>
      <c r="B1612" s="167"/>
      <c r="C1612" s="174">
        <f t="shared" si="68"/>
        <v>0</v>
      </c>
      <c r="D1612" s="174">
        <f t="shared" si="68"/>
        <v>0</v>
      </c>
      <c r="E1612" s="174">
        <f t="shared" si="69"/>
        <v>0</v>
      </c>
      <c r="F1612" s="175"/>
      <c r="G1612" s="174">
        <f t="shared" si="70"/>
        <v>0</v>
      </c>
    </row>
    <row r="1613" spans="1:7" ht="12.75" hidden="1" customHeight="1">
      <c r="A1613" s="39" t="s">
        <v>162</v>
      </c>
      <c r="B1613" s="167"/>
      <c r="C1613" s="174">
        <f t="shared" si="68"/>
        <v>0</v>
      </c>
      <c r="D1613" s="174">
        <f t="shared" si="68"/>
        <v>0</v>
      </c>
      <c r="E1613" s="174">
        <f t="shared" si="69"/>
        <v>0</v>
      </c>
      <c r="F1613" s="175"/>
      <c r="G1613" s="174">
        <f t="shared" si="70"/>
        <v>0</v>
      </c>
    </row>
    <row r="1614" spans="1:7" ht="12.75" hidden="1" customHeight="1">
      <c r="A1614" s="39" t="s">
        <v>401</v>
      </c>
      <c r="B1614" s="146"/>
      <c r="C1614" s="174">
        <f t="shared" si="68"/>
        <v>0</v>
      </c>
      <c r="D1614" s="174">
        <f t="shared" si="68"/>
        <v>0</v>
      </c>
      <c r="E1614" s="174">
        <f t="shared" si="69"/>
        <v>0</v>
      </c>
      <c r="F1614" s="175"/>
      <c r="G1614" s="174">
        <f t="shared" si="70"/>
        <v>0</v>
      </c>
    </row>
    <row r="1615" spans="1:7" ht="12.75" hidden="1" customHeight="1">
      <c r="A1615" s="145" t="s">
        <v>402</v>
      </c>
      <c r="B1615" s="146"/>
      <c r="C1615" s="174">
        <f t="shared" si="68"/>
        <v>0</v>
      </c>
      <c r="D1615" s="174">
        <f t="shared" si="68"/>
        <v>0</v>
      </c>
      <c r="E1615" s="174">
        <f t="shared" si="69"/>
        <v>0</v>
      </c>
      <c r="F1615" s="175"/>
      <c r="G1615" s="174">
        <f t="shared" si="70"/>
        <v>0</v>
      </c>
    </row>
    <row r="1616" spans="1:7" ht="12.75" hidden="1" customHeight="1">
      <c r="A1616" s="39" t="s">
        <v>8</v>
      </c>
      <c r="B1616" s="167">
        <v>11</v>
      </c>
      <c r="C1616" s="53">
        <f t="shared" si="68"/>
        <v>20598.962721518987</v>
      </c>
      <c r="D1616" s="53">
        <f t="shared" si="68"/>
        <v>18134.753164556962</v>
      </c>
      <c r="E1616" s="53">
        <f t="shared" si="69"/>
        <v>8859.0894936708864</v>
      </c>
      <c r="F1616" s="175"/>
      <c r="G1616" s="174">
        <f t="shared" si="70"/>
        <v>47592.805379746838</v>
      </c>
    </row>
    <row r="1617" spans="1:7" ht="12.75" hidden="1" customHeight="1">
      <c r="A1617" s="39" t="s">
        <v>9</v>
      </c>
      <c r="B1617" s="167"/>
      <c r="C1617" s="174">
        <f t="shared" si="68"/>
        <v>0</v>
      </c>
      <c r="D1617" s="174">
        <f t="shared" si="68"/>
        <v>0</v>
      </c>
      <c r="E1617" s="174">
        <f t="shared" si="69"/>
        <v>0</v>
      </c>
      <c r="F1617" s="175"/>
      <c r="G1617" s="174">
        <f t="shared" si="70"/>
        <v>0</v>
      </c>
    </row>
    <row r="1618" spans="1:7" ht="12.75" hidden="1" customHeight="1">
      <c r="A1618" s="39" t="s">
        <v>10</v>
      </c>
      <c r="B1618" s="167"/>
      <c r="C1618" s="174">
        <f t="shared" si="68"/>
        <v>0</v>
      </c>
      <c r="D1618" s="174">
        <f t="shared" si="68"/>
        <v>0</v>
      </c>
      <c r="E1618" s="174">
        <f t="shared" si="69"/>
        <v>0</v>
      </c>
      <c r="F1618" s="175"/>
      <c r="G1618" s="174">
        <f t="shared" si="70"/>
        <v>0</v>
      </c>
    </row>
    <row r="1619" spans="1:7" ht="12.75" hidden="1" customHeight="1">
      <c r="A1619" s="39" t="s">
        <v>11</v>
      </c>
      <c r="B1619" s="167"/>
      <c r="C1619" s="174">
        <f t="shared" si="68"/>
        <v>0</v>
      </c>
      <c r="D1619" s="174">
        <f t="shared" si="68"/>
        <v>0</v>
      </c>
      <c r="E1619" s="174">
        <f t="shared" si="69"/>
        <v>0</v>
      </c>
      <c r="F1619" s="175"/>
      <c r="G1619" s="174">
        <f t="shared" si="70"/>
        <v>0</v>
      </c>
    </row>
    <row r="1620" spans="1:7" ht="12.75" hidden="1" customHeight="1">
      <c r="A1620" s="39" t="s">
        <v>164</v>
      </c>
      <c r="B1620" s="167"/>
      <c r="C1620" s="174">
        <f t="shared" si="68"/>
        <v>0</v>
      </c>
      <c r="D1620" s="174">
        <f t="shared" si="68"/>
        <v>0</v>
      </c>
      <c r="E1620" s="174">
        <f t="shared" si="69"/>
        <v>0</v>
      </c>
      <c r="F1620" s="175"/>
      <c r="G1620" s="174">
        <f t="shared" si="70"/>
        <v>0</v>
      </c>
    </row>
    <row r="1621" spans="1:7" ht="12.75" hidden="1" customHeight="1">
      <c r="A1621" s="39" t="s">
        <v>165</v>
      </c>
      <c r="B1621" s="167"/>
      <c r="C1621" s="174">
        <f t="shared" si="68"/>
        <v>0</v>
      </c>
      <c r="D1621" s="174">
        <f t="shared" si="68"/>
        <v>0</v>
      </c>
      <c r="E1621" s="174">
        <f t="shared" si="69"/>
        <v>0</v>
      </c>
      <c r="F1621" s="175"/>
      <c r="G1621" s="174">
        <f t="shared" si="70"/>
        <v>0</v>
      </c>
    </row>
    <row r="1622" spans="1:7" ht="12.75" hidden="1" customHeight="1">
      <c r="A1622" s="39" t="s">
        <v>505</v>
      </c>
      <c r="B1622" s="167"/>
      <c r="C1622" s="174">
        <f t="shared" si="68"/>
        <v>0</v>
      </c>
      <c r="D1622" s="174">
        <f t="shared" si="68"/>
        <v>0</v>
      </c>
      <c r="E1622" s="174">
        <f t="shared" si="69"/>
        <v>0</v>
      </c>
      <c r="F1622" s="175"/>
      <c r="G1622" s="174">
        <f t="shared" si="70"/>
        <v>0</v>
      </c>
    </row>
    <row r="1623" spans="1:7" ht="12.75" hidden="1" customHeight="1">
      <c r="A1623" s="39" t="s">
        <v>166</v>
      </c>
      <c r="B1623" s="167"/>
      <c r="C1623" s="174">
        <f t="shared" si="68"/>
        <v>0</v>
      </c>
      <c r="D1623" s="174">
        <f t="shared" si="68"/>
        <v>0</v>
      </c>
      <c r="E1623" s="174">
        <f t="shared" si="69"/>
        <v>0</v>
      </c>
      <c r="F1623" s="175"/>
      <c r="G1623" s="174">
        <f t="shared" si="70"/>
        <v>0</v>
      </c>
    </row>
    <row r="1624" spans="1:7" ht="12.75" hidden="1" customHeight="1">
      <c r="A1624" s="39" t="s">
        <v>167</v>
      </c>
      <c r="B1624" s="167">
        <v>9.5</v>
      </c>
      <c r="C1624" s="53">
        <f t="shared" si="68"/>
        <v>17790.013259493673</v>
      </c>
      <c r="D1624" s="53">
        <f t="shared" si="68"/>
        <v>15661.832278481015</v>
      </c>
      <c r="E1624" s="53">
        <f t="shared" si="69"/>
        <v>7651.0318354430383</v>
      </c>
      <c r="F1624" s="175"/>
      <c r="G1624" s="174">
        <f t="shared" si="70"/>
        <v>41102.877373417723</v>
      </c>
    </row>
    <row r="1625" spans="1:7" ht="12.75" hidden="1" customHeight="1">
      <c r="A1625" s="39" t="s">
        <v>168</v>
      </c>
      <c r="B1625" s="167"/>
      <c r="C1625" s="174">
        <f t="shared" si="68"/>
        <v>0</v>
      </c>
      <c r="D1625" s="174">
        <f t="shared" si="68"/>
        <v>0</v>
      </c>
      <c r="E1625" s="174">
        <f t="shared" si="69"/>
        <v>0</v>
      </c>
      <c r="F1625" s="175"/>
      <c r="G1625" s="174">
        <f t="shared" si="70"/>
        <v>0</v>
      </c>
    </row>
    <row r="1626" spans="1:7" ht="12.75" hidden="1" customHeight="1">
      <c r="A1626" s="39" t="s">
        <v>169</v>
      </c>
      <c r="B1626" s="167"/>
      <c r="C1626" s="174">
        <f t="shared" si="68"/>
        <v>0</v>
      </c>
      <c r="D1626" s="174">
        <f t="shared" si="68"/>
        <v>0</v>
      </c>
      <c r="E1626" s="174">
        <f t="shared" si="69"/>
        <v>0</v>
      </c>
      <c r="F1626" s="175"/>
      <c r="G1626" s="174">
        <f t="shared" si="70"/>
        <v>0</v>
      </c>
    </row>
    <row r="1627" spans="1:7" ht="12.75" hidden="1" customHeight="1">
      <c r="A1627" s="39" t="s">
        <v>170</v>
      </c>
      <c r="B1627" s="167"/>
      <c r="C1627" s="174">
        <f t="shared" si="68"/>
        <v>0</v>
      </c>
      <c r="D1627" s="174">
        <f t="shared" si="68"/>
        <v>0</v>
      </c>
      <c r="E1627" s="174">
        <f t="shared" si="69"/>
        <v>0</v>
      </c>
      <c r="F1627" s="175"/>
      <c r="G1627" s="174">
        <f t="shared" si="70"/>
        <v>0</v>
      </c>
    </row>
    <row r="1628" spans="1:7" ht="12.75" hidden="1" customHeight="1">
      <c r="A1628" s="39" t="s">
        <v>171</v>
      </c>
      <c r="B1628" s="167"/>
      <c r="C1628" s="174">
        <f t="shared" si="68"/>
        <v>0</v>
      </c>
      <c r="D1628" s="174">
        <f t="shared" si="68"/>
        <v>0</v>
      </c>
      <c r="E1628" s="174">
        <f t="shared" si="69"/>
        <v>0</v>
      </c>
      <c r="F1628" s="175"/>
      <c r="G1628" s="174">
        <f t="shared" si="70"/>
        <v>0</v>
      </c>
    </row>
    <row r="1629" spans="1:7" ht="12.75" hidden="1" customHeight="1">
      <c r="A1629" s="39" t="s">
        <v>172</v>
      </c>
      <c r="B1629" s="169"/>
      <c r="C1629" s="174">
        <f t="shared" si="68"/>
        <v>0</v>
      </c>
      <c r="D1629" s="174">
        <f t="shared" si="68"/>
        <v>0</v>
      </c>
      <c r="E1629" s="174">
        <f t="shared" si="69"/>
        <v>0</v>
      </c>
      <c r="F1629" s="175"/>
      <c r="G1629" s="174">
        <f t="shared" si="70"/>
        <v>0</v>
      </c>
    </row>
    <row r="1630" spans="1:7" ht="12.75" hidden="1" customHeight="1">
      <c r="A1630" s="39" t="s">
        <v>12</v>
      </c>
      <c r="B1630" s="167"/>
      <c r="C1630" s="174">
        <f t="shared" si="68"/>
        <v>0</v>
      </c>
      <c r="D1630" s="174">
        <f t="shared" si="68"/>
        <v>0</v>
      </c>
      <c r="E1630" s="174">
        <f t="shared" si="69"/>
        <v>0</v>
      </c>
      <c r="F1630" s="175"/>
      <c r="G1630" s="174">
        <f t="shared" si="70"/>
        <v>0</v>
      </c>
    </row>
    <row r="1631" spans="1:7" ht="12.75" hidden="1" customHeight="1">
      <c r="A1631" s="39" t="s">
        <v>13</v>
      </c>
      <c r="B1631" s="167"/>
      <c r="C1631" s="174">
        <f t="shared" si="68"/>
        <v>0</v>
      </c>
      <c r="D1631" s="174">
        <f t="shared" si="68"/>
        <v>0</v>
      </c>
      <c r="E1631" s="174">
        <f t="shared" si="69"/>
        <v>0</v>
      </c>
      <c r="F1631" s="175"/>
      <c r="G1631" s="174">
        <f t="shared" si="70"/>
        <v>0</v>
      </c>
    </row>
    <row r="1632" spans="1:7" ht="12.75" hidden="1" customHeight="1">
      <c r="A1632" s="39" t="s">
        <v>14</v>
      </c>
      <c r="B1632" s="167">
        <v>10.5</v>
      </c>
      <c r="C1632" s="53">
        <f t="shared" si="68"/>
        <v>19662.646234177213</v>
      </c>
      <c r="D1632" s="53">
        <f t="shared" si="68"/>
        <v>17310.446202531642</v>
      </c>
      <c r="E1632" s="53">
        <f t="shared" si="69"/>
        <v>8456.4036075949371</v>
      </c>
      <c r="F1632" s="175"/>
      <c r="G1632" s="174">
        <f t="shared" si="70"/>
        <v>45429.4960443038</v>
      </c>
    </row>
    <row r="1633" spans="1:7" ht="12.75" hidden="1" customHeight="1">
      <c r="A1633" s="39" t="s">
        <v>15</v>
      </c>
      <c r="B1633" s="167">
        <v>11</v>
      </c>
      <c r="C1633" s="53">
        <f t="shared" si="68"/>
        <v>20598.962721518987</v>
      </c>
      <c r="D1633" s="53">
        <f t="shared" si="68"/>
        <v>18134.753164556962</v>
      </c>
      <c r="E1633" s="53">
        <f t="shared" si="69"/>
        <v>8859.0894936708864</v>
      </c>
      <c r="F1633" s="175"/>
      <c r="G1633" s="174">
        <f t="shared" si="70"/>
        <v>47592.805379746838</v>
      </c>
    </row>
    <row r="1634" spans="1:7" ht="12.75" hidden="1" customHeight="1">
      <c r="A1634" s="39" t="s">
        <v>16</v>
      </c>
      <c r="B1634" s="167"/>
      <c r="C1634" s="174">
        <f t="shared" si="68"/>
        <v>0</v>
      </c>
      <c r="D1634" s="174">
        <f t="shared" si="68"/>
        <v>0</v>
      </c>
      <c r="E1634" s="174">
        <f t="shared" si="69"/>
        <v>0</v>
      </c>
      <c r="F1634" s="175"/>
      <c r="G1634" s="174">
        <f t="shared" si="70"/>
        <v>0</v>
      </c>
    </row>
    <row r="1635" spans="1:7" ht="12.75" hidden="1" customHeight="1">
      <c r="A1635" s="39" t="s">
        <v>173</v>
      </c>
      <c r="B1635" s="167"/>
      <c r="C1635" s="174">
        <f t="shared" si="68"/>
        <v>0</v>
      </c>
      <c r="D1635" s="174">
        <f t="shared" si="68"/>
        <v>0</v>
      </c>
      <c r="E1635" s="174">
        <f t="shared" si="69"/>
        <v>0</v>
      </c>
      <c r="F1635" s="175"/>
      <c r="G1635" s="174">
        <f t="shared" si="70"/>
        <v>0</v>
      </c>
    </row>
    <row r="1636" spans="1:7" ht="12.75" hidden="1" customHeight="1">
      <c r="A1636" s="39" t="s">
        <v>174</v>
      </c>
      <c r="B1636" s="146"/>
      <c r="C1636" s="174">
        <f t="shared" si="68"/>
        <v>0</v>
      </c>
      <c r="D1636" s="174">
        <f t="shared" si="68"/>
        <v>0</v>
      </c>
      <c r="E1636" s="174">
        <f t="shared" si="69"/>
        <v>0</v>
      </c>
      <c r="F1636" s="175"/>
      <c r="G1636" s="174">
        <f t="shared" si="70"/>
        <v>0</v>
      </c>
    </row>
    <row r="1637" spans="1:7" ht="12.75" hidden="1" customHeight="1">
      <c r="A1637" s="39" t="s">
        <v>175</v>
      </c>
      <c r="B1637" s="146"/>
      <c r="C1637" s="174">
        <f t="shared" si="68"/>
        <v>0</v>
      </c>
      <c r="D1637" s="174">
        <f t="shared" si="68"/>
        <v>0</v>
      </c>
      <c r="E1637" s="174">
        <f t="shared" si="69"/>
        <v>0</v>
      </c>
      <c r="F1637" s="175"/>
      <c r="G1637" s="174">
        <f t="shared" si="70"/>
        <v>0</v>
      </c>
    </row>
    <row r="1638" spans="1:7" ht="12.75" hidden="1" customHeight="1">
      <c r="A1638" s="39" t="s">
        <v>176</v>
      </c>
      <c r="B1638" s="167">
        <v>11</v>
      </c>
      <c r="C1638" s="53">
        <f t="shared" si="68"/>
        <v>20598.962721518987</v>
      </c>
      <c r="D1638" s="53">
        <f t="shared" si="68"/>
        <v>18134.753164556962</v>
      </c>
      <c r="E1638" s="53">
        <f t="shared" si="69"/>
        <v>8859.0894936708864</v>
      </c>
      <c r="F1638" s="175"/>
      <c r="G1638" s="174">
        <f t="shared" si="70"/>
        <v>47592.805379746838</v>
      </c>
    </row>
    <row r="1639" spans="1:7" ht="12.75" hidden="1" customHeight="1">
      <c r="A1639" s="39" t="s">
        <v>466</v>
      </c>
      <c r="B1639" s="167">
        <v>10.5</v>
      </c>
      <c r="C1639" s="53">
        <f t="shared" si="68"/>
        <v>19662.646234177213</v>
      </c>
      <c r="D1639" s="53">
        <f t="shared" si="68"/>
        <v>17310.446202531642</v>
      </c>
      <c r="E1639" s="53">
        <f t="shared" si="69"/>
        <v>8456.4036075949371</v>
      </c>
      <c r="F1639" s="175"/>
      <c r="G1639" s="174">
        <f t="shared" si="70"/>
        <v>45429.4960443038</v>
      </c>
    </row>
    <row r="1640" spans="1:7" ht="12.75" hidden="1" customHeight="1">
      <c r="A1640" s="156" t="s">
        <v>178</v>
      </c>
      <c r="B1640" s="167"/>
      <c r="C1640" s="174">
        <f t="shared" si="68"/>
        <v>0</v>
      </c>
      <c r="D1640" s="174">
        <f t="shared" si="68"/>
        <v>0</v>
      </c>
      <c r="E1640" s="174">
        <f t="shared" si="69"/>
        <v>0</v>
      </c>
      <c r="F1640" s="175"/>
      <c r="G1640" s="174">
        <f t="shared" si="70"/>
        <v>0</v>
      </c>
    </row>
    <row r="1641" spans="1:7" ht="12.75" hidden="1" customHeight="1">
      <c r="A1641" s="39" t="s">
        <v>179</v>
      </c>
      <c r="B1641" s="167"/>
      <c r="C1641" s="174">
        <f t="shared" si="68"/>
        <v>0</v>
      </c>
      <c r="D1641" s="174">
        <f t="shared" si="68"/>
        <v>0</v>
      </c>
      <c r="E1641" s="174">
        <f t="shared" si="69"/>
        <v>0</v>
      </c>
      <c r="F1641" s="175"/>
      <c r="G1641" s="174">
        <f t="shared" si="70"/>
        <v>0</v>
      </c>
    </row>
    <row r="1642" spans="1:7" ht="12.75" hidden="1" customHeight="1">
      <c r="A1642" s="39" t="s">
        <v>180</v>
      </c>
      <c r="B1642" s="167">
        <v>4.5</v>
      </c>
      <c r="C1642" s="53">
        <f t="shared" si="68"/>
        <v>8426.8483860759497</v>
      </c>
      <c r="D1642" s="53">
        <f t="shared" si="68"/>
        <v>7418.7626582278481</v>
      </c>
      <c r="E1642" s="53">
        <f t="shared" si="69"/>
        <v>3624.1729746835445</v>
      </c>
      <c r="F1642" s="175"/>
      <c r="G1642" s="174">
        <f t="shared" si="70"/>
        <v>19469.784018987342</v>
      </c>
    </row>
    <row r="1643" spans="1:7" ht="12.75" hidden="1" customHeight="1">
      <c r="A1643" s="39" t="s">
        <v>181</v>
      </c>
      <c r="B1643" s="167"/>
      <c r="C1643" s="174">
        <f t="shared" si="68"/>
        <v>0</v>
      </c>
      <c r="D1643" s="174">
        <f t="shared" si="68"/>
        <v>0</v>
      </c>
      <c r="E1643" s="174">
        <f t="shared" si="69"/>
        <v>0</v>
      </c>
      <c r="F1643" s="175"/>
      <c r="G1643" s="174">
        <f t="shared" si="70"/>
        <v>0</v>
      </c>
    </row>
    <row r="1644" spans="1:7" ht="12.75" hidden="1" customHeight="1">
      <c r="A1644" s="39" t="s">
        <v>182</v>
      </c>
      <c r="B1644" s="169">
        <v>8.5</v>
      </c>
      <c r="C1644" s="53">
        <f t="shared" si="68"/>
        <v>15917.380284810128</v>
      </c>
      <c r="D1644" s="53">
        <f t="shared" si="68"/>
        <v>14013.218354430381</v>
      </c>
      <c r="E1644" s="53">
        <f t="shared" si="69"/>
        <v>6845.6600632911395</v>
      </c>
      <c r="F1644" s="175"/>
      <c r="G1644" s="174">
        <f t="shared" si="70"/>
        <v>36776.258702531646</v>
      </c>
    </row>
    <row r="1645" spans="1:7" ht="12.75" hidden="1" customHeight="1">
      <c r="A1645" s="156" t="s">
        <v>183</v>
      </c>
      <c r="B1645" s="167"/>
      <c r="C1645" s="174">
        <f t="shared" si="68"/>
        <v>0</v>
      </c>
      <c r="D1645" s="174">
        <f t="shared" si="68"/>
        <v>0</v>
      </c>
      <c r="E1645" s="174">
        <f t="shared" si="69"/>
        <v>0</v>
      </c>
      <c r="F1645" s="175"/>
      <c r="G1645" s="174">
        <f t="shared" si="70"/>
        <v>0</v>
      </c>
    </row>
    <row r="1646" spans="1:7" ht="12.75" hidden="1" customHeight="1">
      <c r="A1646" s="39" t="s">
        <v>184</v>
      </c>
      <c r="B1646" s="167">
        <v>7</v>
      </c>
      <c r="C1646" s="53">
        <f t="shared" si="68"/>
        <v>13108.430822784811</v>
      </c>
      <c r="D1646" s="53">
        <f t="shared" si="68"/>
        <v>11540.297468354431</v>
      </c>
      <c r="E1646" s="53">
        <f t="shared" si="69"/>
        <v>5637.6024050632914</v>
      </c>
      <c r="F1646" s="175"/>
      <c r="G1646" s="174">
        <f t="shared" si="70"/>
        <v>30286.330696202531</v>
      </c>
    </row>
    <row r="1647" spans="1:7" ht="12.75" hidden="1" customHeight="1">
      <c r="A1647" s="39" t="s">
        <v>185</v>
      </c>
      <c r="B1647" s="167">
        <v>4</v>
      </c>
      <c r="C1647" s="53">
        <f t="shared" si="68"/>
        <v>7490.531898734177</v>
      </c>
      <c r="D1647" s="53">
        <f t="shared" si="68"/>
        <v>6594.4556962025317</v>
      </c>
      <c r="E1647" s="53">
        <f t="shared" si="69"/>
        <v>3221.4870886075951</v>
      </c>
      <c r="F1647" s="175"/>
      <c r="G1647" s="174">
        <f t="shared" si="70"/>
        <v>17306.474683544304</v>
      </c>
    </row>
    <row r="1648" spans="1:7" ht="12.75" hidden="1" customHeight="1">
      <c r="A1648" s="39" t="s">
        <v>186</v>
      </c>
      <c r="B1648" s="167">
        <v>17.5</v>
      </c>
      <c r="C1648" s="53">
        <f t="shared" si="68"/>
        <v>32771.077056962022</v>
      </c>
      <c r="D1648" s="53">
        <f t="shared" si="68"/>
        <v>28850.74367088607</v>
      </c>
      <c r="E1648" s="53">
        <f t="shared" si="69"/>
        <v>14094.006012658228</v>
      </c>
      <c r="F1648" s="175"/>
      <c r="G1648" s="174">
        <f t="shared" si="70"/>
        <v>75715.826740506323</v>
      </c>
    </row>
    <row r="1649" spans="1:7" ht="12.75" hidden="1" customHeight="1">
      <c r="A1649" s="39" t="s">
        <v>187</v>
      </c>
      <c r="B1649" s="167">
        <v>3.5</v>
      </c>
      <c r="C1649" s="53">
        <f t="shared" si="68"/>
        <v>6554.2154113924053</v>
      </c>
      <c r="D1649" s="53">
        <f t="shared" si="68"/>
        <v>5770.1487341772154</v>
      </c>
      <c r="E1649" s="53">
        <f t="shared" si="69"/>
        <v>2818.8012025316457</v>
      </c>
      <c r="F1649" s="175"/>
      <c r="G1649" s="174">
        <f t="shared" si="70"/>
        <v>15143.165348101265</v>
      </c>
    </row>
    <row r="1650" spans="1:7" ht="12.75" hidden="1" customHeight="1">
      <c r="A1650" s="39" t="s">
        <v>188</v>
      </c>
      <c r="B1650" s="167"/>
      <c r="C1650" s="174">
        <f t="shared" si="68"/>
        <v>0</v>
      </c>
      <c r="D1650" s="174">
        <f t="shared" si="68"/>
        <v>0</v>
      </c>
      <c r="E1650" s="174">
        <f t="shared" si="69"/>
        <v>0</v>
      </c>
      <c r="F1650" s="175"/>
      <c r="G1650" s="174">
        <f t="shared" si="70"/>
        <v>0</v>
      </c>
    </row>
    <row r="1651" spans="1:7" ht="12.75" hidden="1" customHeight="1">
      <c r="A1651" s="39" t="s">
        <v>189</v>
      </c>
      <c r="B1651" s="167"/>
      <c r="C1651" s="174">
        <f t="shared" si="68"/>
        <v>0</v>
      </c>
      <c r="D1651" s="174">
        <f t="shared" si="68"/>
        <v>0</v>
      </c>
      <c r="E1651" s="174">
        <f t="shared" si="69"/>
        <v>0</v>
      </c>
      <c r="F1651" s="175"/>
      <c r="G1651" s="174">
        <f t="shared" si="70"/>
        <v>0</v>
      </c>
    </row>
    <row r="1652" spans="1:7" ht="12.75" hidden="1" customHeight="1">
      <c r="A1652" s="156" t="s">
        <v>190</v>
      </c>
      <c r="B1652" s="167"/>
      <c r="C1652" s="174">
        <f t="shared" si="68"/>
        <v>0</v>
      </c>
      <c r="D1652" s="174">
        <f t="shared" si="68"/>
        <v>0</v>
      </c>
      <c r="E1652" s="174">
        <f t="shared" si="69"/>
        <v>0</v>
      </c>
      <c r="F1652" s="175"/>
      <c r="G1652" s="174">
        <f t="shared" si="70"/>
        <v>0</v>
      </c>
    </row>
    <row r="1653" spans="1:7" ht="12.75" hidden="1" customHeight="1">
      <c r="A1653" s="39" t="s">
        <v>190</v>
      </c>
      <c r="B1653" s="167"/>
      <c r="C1653" s="174">
        <f t="shared" si="68"/>
        <v>0</v>
      </c>
      <c r="D1653" s="174">
        <f t="shared" si="68"/>
        <v>0</v>
      </c>
      <c r="E1653" s="174">
        <f t="shared" si="69"/>
        <v>0</v>
      </c>
      <c r="F1653" s="175"/>
      <c r="G1653" s="174">
        <f t="shared" si="70"/>
        <v>0</v>
      </c>
    </row>
    <row r="1654" spans="1:7" ht="12.75" hidden="1" customHeight="1">
      <c r="A1654" s="39" t="s">
        <v>191</v>
      </c>
      <c r="B1654" s="146">
        <v>24</v>
      </c>
      <c r="C1654" s="53">
        <f t="shared" si="68"/>
        <v>44943.191392405068</v>
      </c>
      <c r="D1654" s="53">
        <f t="shared" si="68"/>
        <v>39566.734177215192</v>
      </c>
      <c r="E1654" s="53">
        <f t="shared" si="69"/>
        <v>19328.92253164557</v>
      </c>
      <c r="F1654" s="175"/>
      <c r="G1654" s="174">
        <f t="shared" si="70"/>
        <v>103838.84810126583</v>
      </c>
    </row>
    <row r="1655" spans="1:7" ht="12.75" hidden="1" customHeight="1">
      <c r="A1655" s="39" t="s">
        <v>17</v>
      </c>
      <c r="B1655" s="169"/>
      <c r="C1655" s="174"/>
      <c r="D1655" s="174"/>
      <c r="E1655" s="174"/>
      <c r="F1655" s="146"/>
      <c r="G1655" s="174"/>
    </row>
    <row r="1656" spans="1:7" ht="12.75" hidden="1" customHeight="1">
      <c r="A1656" s="39" t="s">
        <v>18</v>
      </c>
      <c r="B1656" s="167"/>
      <c r="C1656" s="174"/>
      <c r="D1656" s="174"/>
      <c r="E1656" s="174"/>
      <c r="F1656" s="146"/>
      <c r="G1656" s="174"/>
    </row>
    <row r="1657" spans="1:7" ht="12.75" hidden="1" customHeight="1">
      <c r="A1657" s="39" t="s">
        <v>192</v>
      </c>
      <c r="B1657" s="167"/>
      <c r="C1657" s="174"/>
      <c r="D1657" s="174"/>
      <c r="E1657" s="174"/>
      <c r="F1657" s="146"/>
      <c r="G1657" s="174"/>
    </row>
    <row r="1658" spans="1:7" ht="12.75" hidden="1" customHeight="1">
      <c r="A1658" s="39" t="s">
        <v>19</v>
      </c>
      <c r="B1658" s="167"/>
      <c r="C1658" s="174"/>
      <c r="D1658" s="174"/>
      <c r="E1658" s="174"/>
      <c r="F1658" s="146"/>
      <c r="G1658" s="174"/>
    </row>
    <row r="1659" spans="1:7" ht="12.75" hidden="1" customHeight="1">
      <c r="A1659" s="39" t="s">
        <v>193</v>
      </c>
      <c r="B1659" s="167"/>
      <c r="C1659" s="174"/>
      <c r="D1659" s="174"/>
      <c r="E1659" s="174"/>
      <c r="F1659" s="146"/>
      <c r="G1659" s="174"/>
    </row>
    <row r="1660" spans="1:7" ht="12.75" hidden="1" customHeight="1">
      <c r="A1660" s="39" t="s">
        <v>194</v>
      </c>
      <c r="B1660" s="167"/>
      <c r="C1660" s="174"/>
      <c r="D1660" s="174"/>
      <c r="E1660" s="174"/>
      <c r="F1660" s="146"/>
      <c r="G1660" s="174"/>
    </row>
    <row r="1661" spans="1:7" ht="12.75" hidden="1" customHeight="1">
      <c r="A1661" s="39" t="s">
        <v>195</v>
      </c>
      <c r="B1661" s="167"/>
      <c r="C1661" s="174"/>
      <c r="D1661" s="174"/>
      <c r="E1661" s="174"/>
      <c r="F1661" s="146"/>
      <c r="G1661" s="174"/>
    </row>
    <row r="1662" spans="1:7" ht="12.75" hidden="1" customHeight="1">
      <c r="A1662" s="39" t="s">
        <v>196</v>
      </c>
      <c r="B1662" s="167"/>
      <c r="C1662" s="174"/>
      <c r="D1662" s="174"/>
      <c r="E1662" s="174"/>
      <c r="F1662" s="146"/>
      <c r="G1662" s="174"/>
    </row>
    <row r="1663" spans="1:7" ht="12.75" hidden="1" customHeight="1">
      <c r="A1663" s="39" t="s">
        <v>197</v>
      </c>
      <c r="B1663" s="167"/>
      <c r="C1663" s="174"/>
      <c r="D1663" s="174"/>
      <c r="E1663" s="174"/>
      <c r="F1663" s="146"/>
      <c r="G1663" s="174"/>
    </row>
    <row r="1664" spans="1:7" ht="12.75" hidden="1" customHeight="1">
      <c r="A1664" s="39" t="s">
        <v>198</v>
      </c>
      <c r="B1664" s="167"/>
      <c r="C1664" s="174"/>
      <c r="D1664" s="174"/>
      <c r="E1664" s="174"/>
      <c r="F1664" s="146"/>
      <c r="G1664" s="174"/>
    </row>
    <row r="1665" spans="1:7" ht="12.75" hidden="1" customHeight="1">
      <c r="A1665" s="39" t="s">
        <v>199</v>
      </c>
      <c r="B1665" s="167"/>
      <c r="C1665" s="174"/>
      <c r="D1665" s="174"/>
      <c r="E1665" s="174"/>
      <c r="F1665" s="146"/>
      <c r="G1665" s="174"/>
    </row>
    <row r="1666" spans="1:7" ht="12.75" hidden="1" customHeight="1">
      <c r="A1666" s="39" t="s">
        <v>200</v>
      </c>
      <c r="B1666" s="167"/>
      <c r="C1666" s="174"/>
      <c r="D1666" s="174"/>
      <c r="E1666" s="174"/>
      <c r="F1666" s="146"/>
      <c r="G1666" s="174"/>
    </row>
    <row r="1667" spans="1:7" ht="12.75" hidden="1" customHeight="1">
      <c r="A1667" s="39" t="s">
        <v>201</v>
      </c>
      <c r="B1667" s="167"/>
      <c r="C1667" s="174"/>
      <c r="D1667" s="174"/>
      <c r="E1667" s="174"/>
      <c r="F1667" s="146"/>
      <c r="G1667" s="174"/>
    </row>
    <row r="1668" spans="1:7" ht="12.75" hidden="1" customHeight="1">
      <c r="A1668" s="49" t="s">
        <v>207</v>
      </c>
      <c r="B1668" s="167"/>
      <c r="C1668" s="174"/>
      <c r="D1668" s="174"/>
      <c r="E1668" s="174"/>
      <c r="F1668" s="174"/>
      <c r="G1668" s="174"/>
    </row>
    <row r="1669" spans="1:7" ht="12.75" hidden="1" customHeight="1">
      <c r="A1669" s="46" t="s">
        <v>203</v>
      </c>
      <c r="B1669" s="167"/>
      <c r="C1669" s="174"/>
      <c r="D1669" s="174"/>
      <c r="E1669" s="174"/>
      <c r="F1669" s="146"/>
      <c r="G1669" s="174"/>
    </row>
    <row r="1670" spans="1:7" ht="12.75" hidden="1" customHeight="1">
      <c r="A1670" s="46" t="s">
        <v>204</v>
      </c>
      <c r="B1670" s="167"/>
      <c r="C1670" s="174"/>
      <c r="D1670" s="174"/>
      <c r="E1670" s="174"/>
      <c r="F1670" s="146"/>
      <c r="G1670" s="174"/>
    </row>
    <row r="1671" spans="1:7" ht="12.75" hidden="1" customHeight="1">
      <c r="A1671" s="46" t="s">
        <v>205</v>
      </c>
      <c r="B1671" s="167"/>
      <c r="C1671" s="174"/>
      <c r="D1671" s="174"/>
      <c r="E1671" s="174"/>
      <c r="F1671" s="146"/>
      <c r="G1671" s="174"/>
    </row>
    <row r="1672" spans="1:7" ht="12.75" hidden="1" customHeight="1">
      <c r="A1672" s="39" t="s">
        <v>202</v>
      </c>
      <c r="B1672" s="167"/>
      <c r="C1672" s="174">
        <v>295876.01</v>
      </c>
      <c r="D1672" s="174">
        <v>260481</v>
      </c>
      <c r="E1672" s="174">
        <f>E1674-E1673</f>
        <v>127248.74</v>
      </c>
      <c r="F1672" s="175"/>
      <c r="G1672" s="174">
        <f>SUM(C1672:F1672)</f>
        <v>683605.75</v>
      </c>
    </row>
    <row r="1673" spans="1:7" ht="12.75" hidden="1" customHeight="1">
      <c r="A1673" s="39" t="s">
        <v>208</v>
      </c>
      <c r="B1673" s="171"/>
      <c r="C1673" s="174"/>
      <c r="D1673" s="174"/>
      <c r="E1673" s="174">
        <v>83727.64</v>
      </c>
      <c r="F1673" s="175"/>
      <c r="G1673" s="174">
        <f>SUM(C1673:F1673)</f>
        <v>83727.64</v>
      </c>
    </row>
    <row r="1674" spans="1:7" ht="12.75" hidden="1" customHeight="1">
      <c r="A1674" s="48" t="s">
        <v>209</v>
      </c>
      <c r="B1674" s="167">
        <f>SUM(B1600:B1673)</f>
        <v>158</v>
      </c>
      <c r="C1674" s="174">
        <f>295876.01</f>
        <v>295876.01</v>
      </c>
      <c r="D1674" s="174">
        <f>28999+9650+20778+163809+37245</f>
        <v>260481</v>
      </c>
      <c r="E1674" s="174">
        <f>210976.38</f>
        <v>210976.38</v>
      </c>
      <c r="F1674" s="145"/>
      <c r="G1674" s="174">
        <f>SUM(C1674:F1674)</f>
        <v>767333.39</v>
      </c>
    </row>
    <row r="1675" spans="1:7" ht="12.75" hidden="1" customHeight="1">
      <c r="A1675" s="63" t="s">
        <v>528</v>
      </c>
      <c r="B1675" s="52"/>
      <c r="C1675" s="51"/>
      <c r="D1675" s="51"/>
      <c r="E1675" s="64"/>
      <c r="F1675" s="65"/>
      <c r="G1675" s="40"/>
    </row>
    <row r="1676" spans="1:7" ht="12.75" hidden="1" customHeight="1">
      <c r="A1676" s="63"/>
      <c r="B1676" s="52"/>
      <c r="C1676" s="51"/>
      <c r="D1676" s="51"/>
      <c r="E1676" s="51"/>
      <c r="F1676" s="65"/>
      <c r="G1676" s="40"/>
    </row>
    <row r="1677" spans="1:7" ht="12.75" hidden="1" customHeight="1">
      <c r="A1677" s="51"/>
      <c r="B1677" s="52"/>
      <c r="C1677" s="51"/>
      <c r="D1677" s="51"/>
      <c r="E1677" s="64"/>
      <c r="F1677" s="65"/>
      <c r="G1677" s="40"/>
    </row>
    <row r="1678" spans="1:7" ht="12.75" hidden="1" customHeight="1">
      <c r="A1678" s="269" t="s">
        <v>518</v>
      </c>
      <c r="B1678" s="269"/>
      <c r="C1678" s="269"/>
      <c r="D1678" s="269"/>
      <c r="E1678" s="269"/>
      <c r="F1678" s="269"/>
      <c r="G1678" s="40"/>
    </row>
    <row r="1679" spans="1:7" ht="12.75" hidden="1" customHeight="1">
      <c r="A1679" s="42" t="s">
        <v>86</v>
      </c>
      <c r="B1679" s="43" t="s">
        <v>211</v>
      </c>
      <c r="C1679" s="43" t="s">
        <v>212</v>
      </c>
      <c r="D1679" s="43" t="s">
        <v>88</v>
      </c>
      <c r="E1679" s="43" t="s">
        <v>89</v>
      </c>
      <c r="F1679" s="43" t="s">
        <v>90</v>
      </c>
      <c r="G1679" s="45" t="s">
        <v>213</v>
      </c>
    </row>
    <row r="1680" spans="1:7" ht="12.75" hidden="1" customHeight="1">
      <c r="A1680" s="42" t="s">
        <v>20</v>
      </c>
      <c r="B1680" s="43"/>
      <c r="C1680" s="43"/>
      <c r="D1680" s="44"/>
      <c r="E1680" s="44"/>
      <c r="F1680" s="44"/>
      <c r="G1680" s="39"/>
    </row>
    <row r="1681" spans="1:7" ht="12.75" hidden="1" customHeight="1">
      <c r="A1681" s="42" t="s">
        <v>214</v>
      </c>
      <c r="B1681" s="43"/>
      <c r="C1681" s="43"/>
      <c r="D1681" s="44"/>
      <c r="E1681" s="44"/>
      <c r="F1681" s="44"/>
      <c r="G1681" s="44"/>
    </row>
    <row r="1682" spans="1:7" ht="12.75" hidden="1" customHeight="1">
      <c r="A1682" s="42" t="s">
        <v>215</v>
      </c>
      <c r="B1682" s="43"/>
      <c r="C1682" s="43"/>
      <c r="D1682" s="44"/>
      <c r="E1682" s="44"/>
      <c r="F1682" s="44"/>
      <c r="G1682" s="44"/>
    </row>
    <row r="1683" spans="1:7" ht="12.75" hidden="1" customHeight="1">
      <c r="A1683" s="42" t="s">
        <v>216</v>
      </c>
      <c r="B1683" s="43"/>
      <c r="C1683" s="43"/>
      <c r="D1683" s="44"/>
      <c r="E1683" s="44"/>
      <c r="F1683" s="44"/>
      <c r="G1683" s="44"/>
    </row>
    <row r="1684" spans="1:7" ht="12.75" hidden="1" customHeight="1">
      <c r="A1684" s="42" t="s">
        <v>217</v>
      </c>
      <c r="B1684" s="43"/>
      <c r="C1684" s="43"/>
      <c r="D1684" s="44"/>
      <c r="E1684" s="44"/>
      <c r="F1684" s="44"/>
      <c r="G1684" s="44"/>
    </row>
    <row r="1685" spans="1:7" ht="12.75" hidden="1" customHeight="1">
      <c r="A1685" s="42" t="s">
        <v>218</v>
      </c>
      <c r="B1685" s="45"/>
      <c r="C1685" s="45"/>
      <c r="D1685" s="44"/>
      <c r="E1685" s="44"/>
      <c r="F1685" s="44"/>
      <c r="G1685" s="44"/>
    </row>
    <row r="1686" spans="1:7" ht="12.75" hidden="1" customHeight="1">
      <c r="A1686" s="42" t="s">
        <v>219</v>
      </c>
      <c r="B1686" s="45">
        <v>80</v>
      </c>
      <c r="C1686" s="45">
        <v>192</v>
      </c>
      <c r="D1686" s="66">
        <f>C1686/C$1720*D$1720</f>
        <v>36688.852561983469</v>
      </c>
      <c r="E1686" s="66">
        <f>B1686/B$1720*E$1720</f>
        <v>23955.811560693641</v>
      </c>
      <c r="F1686" s="66">
        <f>C1686/C$1720*F$1720</f>
        <v>24584.400000000001</v>
      </c>
      <c r="G1686" s="44">
        <f>SUM(D1686:F1686)</f>
        <v>85229.064122677111</v>
      </c>
    </row>
    <row r="1687" spans="1:7" ht="12.75" hidden="1" customHeight="1">
      <c r="A1687" s="42" t="s">
        <v>21</v>
      </c>
      <c r="B1687" s="43"/>
      <c r="C1687" s="43"/>
      <c r="D1687" s="44">
        <f t="shared" ref="D1687:D1717" si="71">C1687/C$1720*D$1720</f>
        <v>0</v>
      </c>
      <c r="E1687" s="44">
        <f t="shared" ref="E1687:E1719" si="72">B1687/B$1720*E$1720</f>
        <v>0</v>
      </c>
      <c r="F1687" s="44">
        <f t="shared" ref="F1687:F1717" si="73">C1687/C$1720*F$1720</f>
        <v>0</v>
      </c>
      <c r="G1687" s="44">
        <f t="shared" ref="G1687:G1719" si="74">SUM(D1687:F1687)</f>
        <v>0</v>
      </c>
    </row>
    <row r="1688" spans="1:7" ht="12.75" hidden="1" customHeight="1">
      <c r="A1688" s="42" t="s">
        <v>220</v>
      </c>
      <c r="B1688" s="43"/>
      <c r="C1688" s="43"/>
      <c r="D1688" s="44">
        <f t="shared" si="71"/>
        <v>0</v>
      </c>
      <c r="E1688" s="44">
        <f t="shared" si="72"/>
        <v>0</v>
      </c>
      <c r="F1688" s="44">
        <f t="shared" si="73"/>
        <v>0</v>
      </c>
      <c r="G1688" s="44">
        <f t="shared" si="74"/>
        <v>0</v>
      </c>
    </row>
    <row r="1689" spans="1:7" ht="12.75" hidden="1" customHeight="1">
      <c r="A1689" s="42" t="s">
        <v>221</v>
      </c>
      <c r="B1689" s="43"/>
      <c r="C1689" s="43"/>
      <c r="D1689" s="44">
        <f t="shared" si="71"/>
        <v>0</v>
      </c>
      <c r="E1689" s="44">
        <f t="shared" si="72"/>
        <v>0</v>
      </c>
      <c r="F1689" s="44">
        <f t="shared" si="73"/>
        <v>0</v>
      </c>
      <c r="G1689" s="44">
        <f t="shared" si="74"/>
        <v>0</v>
      </c>
    </row>
    <row r="1690" spans="1:7" ht="12.75" hidden="1" customHeight="1">
      <c r="A1690" s="42" t="s">
        <v>22</v>
      </c>
      <c r="B1690" s="43"/>
      <c r="C1690" s="43"/>
      <c r="D1690" s="44">
        <f t="shared" si="71"/>
        <v>0</v>
      </c>
      <c r="E1690" s="44">
        <f t="shared" si="72"/>
        <v>0</v>
      </c>
      <c r="F1690" s="44">
        <f t="shared" si="73"/>
        <v>0</v>
      </c>
      <c r="G1690" s="44">
        <f t="shared" si="74"/>
        <v>0</v>
      </c>
    </row>
    <row r="1691" spans="1:7" ht="12.75" hidden="1" customHeight="1">
      <c r="A1691" s="42" t="s">
        <v>23</v>
      </c>
      <c r="B1691" s="43"/>
      <c r="C1691" s="43"/>
      <c r="D1691" s="44">
        <f t="shared" si="71"/>
        <v>0</v>
      </c>
      <c r="E1691" s="44">
        <f t="shared" si="72"/>
        <v>0</v>
      </c>
      <c r="F1691" s="44">
        <f t="shared" si="73"/>
        <v>0</v>
      </c>
      <c r="G1691" s="44">
        <f t="shared" si="74"/>
        <v>0</v>
      </c>
    </row>
    <row r="1692" spans="1:7" ht="12.75" hidden="1" customHeight="1">
      <c r="A1692" s="42" t="s">
        <v>24</v>
      </c>
      <c r="B1692" s="43"/>
      <c r="C1692" s="43"/>
      <c r="D1692" s="44">
        <f t="shared" si="71"/>
        <v>0</v>
      </c>
      <c r="E1692" s="44">
        <f t="shared" si="72"/>
        <v>0</v>
      </c>
      <c r="F1692" s="44">
        <f t="shared" si="73"/>
        <v>0</v>
      </c>
      <c r="G1692" s="44">
        <f t="shared" si="74"/>
        <v>0</v>
      </c>
    </row>
    <row r="1693" spans="1:7" ht="12.75" hidden="1" customHeight="1">
      <c r="A1693" s="42" t="s">
        <v>222</v>
      </c>
      <c r="B1693" s="43"/>
      <c r="C1693" s="43"/>
      <c r="D1693" s="44">
        <f t="shared" si="71"/>
        <v>0</v>
      </c>
      <c r="E1693" s="44">
        <f t="shared" si="72"/>
        <v>0</v>
      </c>
      <c r="F1693" s="44">
        <f t="shared" si="73"/>
        <v>0</v>
      </c>
      <c r="G1693" s="44">
        <f t="shared" si="74"/>
        <v>0</v>
      </c>
    </row>
    <row r="1694" spans="1:7" ht="12.75" hidden="1" customHeight="1">
      <c r="A1694" s="42" t="s">
        <v>223</v>
      </c>
      <c r="B1694" s="43"/>
      <c r="C1694" s="43"/>
      <c r="D1694" s="44">
        <f t="shared" si="71"/>
        <v>0</v>
      </c>
      <c r="E1694" s="44">
        <f t="shared" si="72"/>
        <v>0</v>
      </c>
      <c r="F1694" s="44">
        <f t="shared" si="73"/>
        <v>0</v>
      </c>
      <c r="G1694" s="44">
        <f t="shared" si="74"/>
        <v>0</v>
      </c>
    </row>
    <row r="1695" spans="1:7" ht="12.75" hidden="1" customHeight="1">
      <c r="A1695" s="42" t="s">
        <v>224</v>
      </c>
      <c r="B1695" s="43"/>
      <c r="C1695" s="43"/>
      <c r="D1695" s="44">
        <f t="shared" si="71"/>
        <v>0</v>
      </c>
      <c r="E1695" s="44">
        <f t="shared" si="72"/>
        <v>0</v>
      </c>
      <c r="F1695" s="44">
        <f t="shared" si="73"/>
        <v>0</v>
      </c>
      <c r="G1695" s="44">
        <f t="shared" si="74"/>
        <v>0</v>
      </c>
    </row>
    <row r="1696" spans="1:7" ht="12.75" hidden="1" customHeight="1">
      <c r="A1696" s="42" t="s">
        <v>225</v>
      </c>
      <c r="B1696" s="43">
        <v>144</v>
      </c>
      <c r="C1696" s="43">
        <v>384</v>
      </c>
      <c r="D1696" s="66">
        <f t="shared" si="71"/>
        <v>73377.705123966938</v>
      </c>
      <c r="E1696" s="66">
        <f t="shared" si="72"/>
        <v>43120.460809248558</v>
      </c>
      <c r="F1696" s="66">
        <f t="shared" si="73"/>
        <v>49168.800000000003</v>
      </c>
      <c r="G1696" s="44">
        <f t="shared" si="74"/>
        <v>165666.96593321551</v>
      </c>
    </row>
    <row r="1697" spans="1:7" ht="12.75" hidden="1" customHeight="1">
      <c r="A1697" s="42" t="s">
        <v>226</v>
      </c>
      <c r="B1697" s="43"/>
      <c r="C1697" s="43"/>
      <c r="D1697" s="44">
        <f t="shared" si="71"/>
        <v>0</v>
      </c>
      <c r="E1697" s="44">
        <f t="shared" si="72"/>
        <v>0</v>
      </c>
      <c r="F1697" s="44">
        <f t="shared" si="73"/>
        <v>0</v>
      </c>
      <c r="G1697" s="44">
        <f t="shared" si="74"/>
        <v>0</v>
      </c>
    </row>
    <row r="1698" spans="1:7" ht="12.75" hidden="1" customHeight="1">
      <c r="A1698" s="42" t="s">
        <v>227</v>
      </c>
      <c r="B1698" s="43"/>
      <c r="C1698" s="43"/>
      <c r="D1698" s="44">
        <f t="shared" si="71"/>
        <v>0</v>
      </c>
      <c r="E1698" s="44">
        <f t="shared" si="72"/>
        <v>0</v>
      </c>
      <c r="F1698" s="44">
        <f t="shared" si="73"/>
        <v>0</v>
      </c>
      <c r="G1698" s="44">
        <f t="shared" si="74"/>
        <v>0</v>
      </c>
    </row>
    <row r="1699" spans="1:7" ht="12.75" hidden="1" customHeight="1">
      <c r="A1699" s="46" t="s">
        <v>228</v>
      </c>
      <c r="B1699" s="43"/>
      <c r="C1699" s="43"/>
      <c r="D1699" s="44">
        <f t="shared" si="71"/>
        <v>0</v>
      </c>
      <c r="E1699" s="44">
        <f t="shared" si="72"/>
        <v>0</v>
      </c>
      <c r="F1699" s="44">
        <f t="shared" si="73"/>
        <v>0</v>
      </c>
      <c r="G1699" s="44">
        <f t="shared" si="74"/>
        <v>0</v>
      </c>
    </row>
    <row r="1700" spans="1:7" ht="12.75" hidden="1" customHeight="1">
      <c r="A1700" s="42" t="s">
        <v>25</v>
      </c>
      <c r="B1700" s="43"/>
      <c r="C1700" s="43"/>
      <c r="D1700" s="44">
        <f t="shared" si="71"/>
        <v>0</v>
      </c>
      <c r="E1700" s="44">
        <f t="shared" si="72"/>
        <v>0</v>
      </c>
      <c r="F1700" s="44">
        <f t="shared" si="73"/>
        <v>0</v>
      </c>
      <c r="G1700" s="44">
        <f t="shared" si="74"/>
        <v>0</v>
      </c>
    </row>
    <row r="1701" spans="1:7" ht="12.75" hidden="1" customHeight="1">
      <c r="A1701" s="46" t="s">
        <v>463</v>
      </c>
      <c r="B1701" s="43">
        <v>36</v>
      </c>
      <c r="C1701" s="43">
        <v>96</v>
      </c>
      <c r="D1701" s="66">
        <f t="shared" si="71"/>
        <v>18344.426280991735</v>
      </c>
      <c r="E1701" s="66">
        <f t="shared" si="72"/>
        <v>10780.115202312139</v>
      </c>
      <c r="F1701" s="66">
        <f t="shared" si="73"/>
        <v>12292.2</v>
      </c>
      <c r="G1701" s="44">
        <f t="shared" si="74"/>
        <v>41416.741483303878</v>
      </c>
    </row>
    <row r="1702" spans="1:7" ht="12.75" hidden="1" customHeight="1">
      <c r="A1702" s="142" t="s">
        <v>464</v>
      </c>
      <c r="B1702" s="59">
        <v>72</v>
      </c>
      <c r="C1702" s="59">
        <v>192</v>
      </c>
      <c r="D1702" s="181">
        <f t="shared" si="71"/>
        <v>36688.852561983469</v>
      </c>
      <c r="E1702" s="181">
        <f t="shared" si="72"/>
        <v>21560.230404624279</v>
      </c>
      <c r="F1702" s="181">
        <f t="shared" si="73"/>
        <v>24584.400000000001</v>
      </c>
      <c r="G1702" s="181">
        <f t="shared" si="74"/>
        <v>82833.482966607757</v>
      </c>
    </row>
    <row r="1703" spans="1:7" ht="12.75" hidden="1" customHeight="1">
      <c r="A1703" s="42" t="s">
        <v>508</v>
      </c>
      <c r="B1703" s="43"/>
      <c r="C1703" s="43"/>
      <c r="D1703" s="44">
        <f t="shared" si="71"/>
        <v>0</v>
      </c>
      <c r="E1703" s="44">
        <f t="shared" si="72"/>
        <v>0</v>
      </c>
      <c r="F1703" s="44">
        <f t="shared" si="73"/>
        <v>0</v>
      </c>
      <c r="G1703" s="44">
        <f t="shared" si="74"/>
        <v>0</v>
      </c>
    </row>
    <row r="1704" spans="1:7" ht="12.75" hidden="1" customHeight="1">
      <c r="A1704" s="42" t="s">
        <v>509</v>
      </c>
      <c r="B1704" s="43">
        <v>144</v>
      </c>
      <c r="C1704" s="43">
        <v>528</v>
      </c>
      <c r="D1704" s="66">
        <f t="shared" si="71"/>
        <v>100894.34454545453</v>
      </c>
      <c r="E1704" s="66">
        <f t="shared" si="72"/>
        <v>43120.460809248558</v>
      </c>
      <c r="F1704" s="66">
        <f t="shared" si="73"/>
        <v>67607.099999999991</v>
      </c>
      <c r="G1704" s="44">
        <f t="shared" si="74"/>
        <v>211621.90535470308</v>
      </c>
    </row>
    <row r="1705" spans="1:7" ht="12.75" hidden="1" customHeight="1">
      <c r="A1705" s="42" t="s">
        <v>231</v>
      </c>
      <c r="B1705" s="43"/>
      <c r="C1705" s="43"/>
      <c r="D1705" s="44">
        <f t="shared" si="71"/>
        <v>0</v>
      </c>
      <c r="E1705" s="44">
        <f t="shared" si="72"/>
        <v>0</v>
      </c>
      <c r="F1705" s="44">
        <f t="shared" si="73"/>
        <v>0</v>
      </c>
      <c r="G1705" s="44">
        <f t="shared" si="74"/>
        <v>0</v>
      </c>
    </row>
    <row r="1706" spans="1:7" ht="12.75" hidden="1" customHeight="1">
      <c r="A1706" s="42" t="s">
        <v>232</v>
      </c>
      <c r="B1706" s="43"/>
      <c r="C1706" s="43"/>
      <c r="D1706" s="44">
        <f t="shared" si="71"/>
        <v>0</v>
      </c>
      <c r="E1706" s="44">
        <f t="shared" si="72"/>
        <v>0</v>
      </c>
      <c r="F1706" s="44">
        <f t="shared" si="73"/>
        <v>0</v>
      </c>
      <c r="G1706" s="44">
        <f t="shared" si="74"/>
        <v>0</v>
      </c>
    </row>
    <row r="1707" spans="1:7" ht="12.75" hidden="1" customHeight="1">
      <c r="A1707" s="42" t="s">
        <v>26</v>
      </c>
      <c r="B1707" s="43"/>
      <c r="C1707" s="43"/>
      <c r="D1707" s="44">
        <f t="shared" si="71"/>
        <v>0</v>
      </c>
      <c r="E1707" s="44">
        <f t="shared" si="72"/>
        <v>0</v>
      </c>
      <c r="F1707" s="44">
        <f t="shared" si="73"/>
        <v>0</v>
      </c>
      <c r="G1707" s="44">
        <f t="shared" si="74"/>
        <v>0</v>
      </c>
    </row>
    <row r="1708" spans="1:7" ht="12.75" hidden="1" customHeight="1">
      <c r="A1708" s="42" t="s">
        <v>27</v>
      </c>
      <c r="B1708" s="43">
        <v>42</v>
      </c>
      <c r="C1708" s="43">
        <v>128</v>
      </c>
      <c r="D1708" s="66">
        <f t="shared" si="71"/>
        <v>24459.235041322314</v>
      </c>
      <c r="E1708" s="66">
        <f t="shared" si="72"/>
        <v>12576.801069364161</v>
      </c>
      <c r="F1708" s="66">
        <f t="shared" si="73"/>
        <v>16389.600000000002</v>
      </c>
      <c r="G1708" s="44">
        <f t="shared" si="74"/>
        <v>53425.636110686479</v>
      </c>
    </row>
    <row r="1709" spans="1:7" ht="12.75" hidden="1" customHeight="1">
      <c r="A1709" s="42" t="s">
        <v>28</v>
      </c>
      <c r="B1709" s="43"/>
      <c r="C1709" s="43"/>
      <c r="D1709" s="44">
        <f t="shared" si="71"/>
        <v>0</v>
      </c>
      <c r="E1709" s="44">
        <f t="shared" si="72"/>
        <v>0</v>
      </c>
      <c r="F1709" s="44">
        <f t="shared" si="73"/>
        <v>0</v>
      </c>
      <c r="G1709" s="44">
        <f t="shared" si="74"/>
        <v>0</v>
      </c>
    </row>
    <row r="1710" spans="1:7" ht="12.75" hidden="1" customHeight="1">
      <c r="A1710" s="46" t="s">
        <v>233</v>
      </c>
      <c r="B1710" s="43"/>
      <c r="C1710" s="43"/>
      <c r="D1710" s="44">
        <f t="shared" si="71"/>
        <v>0</v>
      </c>
      <c r="E1710" s="44">
        <f t="shared" si="72"/>
        <v>0</v>
      </c>
      <c r="F1710" s="44">
        <f t="shared" si="73"/>
        <v>0</v>
      </c>
      <c r="G1710" s="44">
        <f t="shared" si="74"/>
        <v>0</v>
      </c>
    </row>
    <row r="1711" spans="1:7" ht="12.75" hidden="1" customHeight="1">
      <c r="A1711" s="46" t="s">
        <v>235</v>
      </c>
      <c r="B1711" s="43"/>
      <c r="C1711" s="43"/>
      <c r="D1711" s="44">
        <f t="shared" si="71"/>
        <v>0</v>
      </c>
      <c r="E1711" s="44">
        <f t="shared" si="72"/>
        <v>0</v>
      </c>
      <c r="F1711" s="44">
        <f t="shared" si="73"/>
        <v>0</v>
      </c>
      <c r="G1711" s="44">
        <f t="shared" si="74"/>
        <v>0</v>
      </c>
    </row>
    <row r="1712" spans="1:7" ht="12.75" hidden="1" customHeight="1">
      <c r="A1712" s="46" t="s">
        <v>236</v>
      </c>
      <c r="B1712" s="43"/>
      <c r="C1712" s="43"/>
      <c r="D1712" s="44">
        <f t="shared" si="71"/>
        <v>0</v>
      </c>
      <c r="E1712" s="44">
        <f t="shared" si="72"/>
        <v>0</v>
      </c>
      <c r="F1712" s="44">
        <f t="shared" si="73"/>
        <v>0</v>
      </c>
      <c r="G1712" s="44">
        <f t="shared" si="74"/>
        <v>0</v>
      </c>
    </row>
    <row r="1713" spans="1:7" ht="12.75" hidden="1" customHeight="1">
      <c r="A1713" s="46" t="s">
        <v>411</v>
      </c>
      <c r="B1713" s="43"/>
      <c r="C1713" s="43"/>
      <c r="D1713" s="44">
        <f t="shared" si="71"/>
        <v>0</v>
      </c>
      <c r="E1713" s="44">
        <f t="shared" si="72"/>
        <v>0</v>
      </c>
      <c r="F1713" s="44">
        <f t="shared" si="73"/>
        <v>0</v>
      </c>
      <c r="G1713" s="44">
        <f t="shared" si="74"/>
        <v>0</v>
      </c>
    </row>
    <row r="1714" spans="1:7" ht="12.75" hidden="1" customHeight="1">
      <c r="A1714" s="39" t="s">
        <v>239</v>
      </c>
      <c r="B1714" s="43"/>
      <c r="C1714" s="45"/>
      <c r="D1714" s="44">
        <f t="shared" si="71"/>
        <v>0</v>
      </c>
      <c r="E1714" s="44">
        <f t="shared" si="72"/>
        <v>0</v>
      </c>
      <c r="F1714" s="44">
        <f t="shared" si="73"/>
        <v>0</v>
      </c>
      <c r="G1714" s="44">
        <f t="shared" si="74"/>
        <v>0</v>
      </c>
    </row>
    <row r="1715" spans="1:7" ht="12.75" hidden="1" customHeight="1">
      <c r="A1715" s="110" t="s">
        <v>529</v>
      </c>
      <c r="B1715" s="43">
        <f>52+8</f>
        <v>60</v>
      </c>
      <c r="C1715" s="45">
        <f>128+11</f>
        <v>139</v>
      </c>
      <c r="D1715" s="66">
        <f t="shared" si="71"/>
        <v>26561.20055268595</v>
      </c>
      <c r="E1715" s="66">
        <f t="shared" si="72"/>
        <v>17966.858670520229</v>
      </c>
      <c r="F1715" s="66">
        <f t="shared" si="73"/>
        <v>17798.081249999999</v>
      </c>
      <c r="G1715" s="44">
        <f t="shared" si="74"/>
        <v>62326.140473206178</v>
      </c>
    </row>
    <row r="1716" spans="1:7" ht="12.75" hidden="1" customHeight="1">
      <c r="A1716" s="110" t="s">
        <v>530</v>
      </c>
      <c r="B1716" s="43">
        <f>48+8</f>
        <v>56</v>
      </c>
      <c r="C1716" s="45">
        <f>128+11</f>
        <v>139</v>
      </c>
      <c r="D1716" s="66">
        <f t="shared" si="71"/>
        <v>26561.20055268595</v>
      </c>
      <c r="E1716" s="66">
        <f t="shared" si="72"/>
        <v>16769.068092485548</v>
      </c>
      <c r="F1716" s="66">
        <f t="shared" si="73"/>
        <v>17798.081249999999</v>
      </c>
      <c r="G1716" s="44">
        <f t="shared" si="74"/>
        <v>61128.349895171501</v>
      </c>
    </row>
    <row r="1717" spans="1:7" ht="12.75" hidden="1" customHeight="1">
      <c r="A1717" s="110" t="s">
        <v>531</v>
      </c>
      <c r="B1717" s="43">
        <f>50+8</f>
        <v>58</v>
      </c>
      <c r="C1717" s="45">
        <f>128+10</f>
        <v>138</v>
      </c>
      <c r="D1717" s="66">
        <f t="shared" si="71"/>
        <v>26370.112778925617</v>
      </c>
      <c r="E1717" s="66">
        <f t="shared" si="72"/>
        <v>17367.96338150289</v>
      </c>
      <c r="F1717" s="66">
        <f t="shared" si="73"/>
        <v>17670.037500000002</v>
      </c>
      <c r="G1717" s="44">
        <f t="shared" si="74"/>
        <v>61408.113660428513</v>
      </c>
    </row>
    <row r="1718" spans="1:7" ht="12.75" hidden="1" customHeight="1">
      <c r="A1718" s="49" t="s">
        <v>238</v>
      </c>
      <c r="B1718" s="43"/>
      <c r="C1718" s="45"/>
      <c r="D1718" s="44"/>
      <c r="E1718" s="44">
        <f t="shared" si="72"/>
        <v>0</v>
      </c>
      <c r="F1718" s="44"/>
      <c r="G1718" s="44">
        <f t="shared" si="74"/>
        <v>0</v>
      </c>
    </row>
    <row r="1719" spans="1:7" ht="12.75" hidden="1" customHeight="1">
      <c r="A1719" s="110" t="s">
        <v>386</v>
      </c>
      <c r="B1719" s="43"/>
      <c r="C1719" s="39"/>
      <c r="D1719" s="44"/>
      <c r="E1719" s="44">
        <f t="shared" si="72"/>
        <v>0</v>
      </c>
      <c r="F1719" s="44"/>
      <c r="G1719" s="44">
        <f t="shared" si="74"/>
        <v>0</v>
      </c>
    </row>
    <row r="1720" spans="1:7" ht="12.75" hidden="1" customHeight="1">
      <c r="A1720" s="42" t="s">
        <v>244</v>
      </c>
      <c r="B1720" s="45">
        <f>SUM(B1680:B1719)</f>
        <v>692</v>
      </c>
      <c r="C1720" s="45">
        <f>SUM(C1680:C1719)</f>
        <v>1936</v>
      </c>
      <c r="D1720" s="44">
        <f>369945.93</f>
        <v>369945.93</v>
      </c>
      <c r="E1720" s="44">
        <f>87979.8+15661+11370.2+67433.8+24772.97</f>
        <v>207217.77</v>
      </c>
      <c r="F1720" s="44">
        <v>247892.7</v>
      </c>
      <c r="G1720" s="44">
        <f>SUM(D1720:F1720)</f>
        <v>825056.39999999991</v>
      </c>
    </row>
    <row r="1721" spans="1:7" ht="12.75" hidden="1" customHeight="1">
      <c r="A1721" s="268" t="s">
        <v>377</v>
      </c>
      <c r="B1721" s="268"/>
      <c r="C1721" s="268"/>
      <c r="D1721" s="268"/>
      <c r="E1721" s="268"/>
      <c r="F1721" s="268"/>
      <c r="G1721" s="268"/>
    </row>
    <row r="1722" spans="1:7" ht="12.75" hidden="1" customHeight="1">
      <c r="A1722" s="113"/>
      <c r="B1722" s="64"/>
      <c r="C1722" s="65"/>
      <c r="D1722" s="65"/>
      <c r="E1722" s="64"/>
      <c r="F1722" s="65"/>
      <c r="G1722" s="40"/>
    </row>
    <row r="1723" spans="1:7" ht="12.75" hidden="1" customHeight="1">
      <c r="A1723" s="65"/>
      <c r="B1723" s="64"/>
      <c r="C1723" s="65"/>
      <c r="D1723" s="65"/>
      <c r="E1723" s="64"/>
      <c r="F1723" s="65"/>
      <c r="G1723" s="40"/>
    </row>
    <row r="1724" spans="1:7" ht="12.75" hidden="1" customHeight="1">
      <c r="A1724" s="65"/>
      <c r="B1724" s="64"/>
      <c r="C1724" s="65"/>
      <c r="D1724" s="65"/>
      <c r="E1724" s="64"/>
      <c r="F1724" s="65"/>
      <c r="G1724" s="40"/>
    </row>
    <row r="1725" spans="1:7" ht="12.75" hidden="1" customHeight="1">
      <c r="A1725" s="65"/>
      <c r="B1725" s="64"/>
      <c r="C1725" s="65"/>
      <c r="D1725" s="65"/>
      <c r="E1725" s="64"/>
      <c r="F1725" s="65"/>
      <c r="G1725" s="40"/>
    </row>
    <row r="1726" spans="1:7" ht="12.75" hidden="1" customHeight="1">
      <c r="A1726" s="269" t="s">
        <v>519</v>
      </c>
      <c r="B1726" s="269"/>
      <c r="C1726" s="269"/>
      <c r="D1726" s="269"/>
      <c r="E1726" s="269"/>
      <c r="F1726" s="269"/>
      <c r="G1726" s="40"/>
    </row>
    <row r="1727" spans="1:7" ht="12.75" hidden="1" customHeight="1">
      <c r="A1727" s="42" t="s">
        <v>86</v>
      </c>
      <c r="B1727" s="43" t="s">
        <v>246</v>
      </c>
      <c r="C1727" s="43" t="s">
        <v>88</v>
      </c>
      <c r="D1727" s="43" t="s">
        <v>89</v>
      </c>
      <c r="E1727" s="43" t="s">
        <v>90</v>
      </c>
      <c r="F1727" s="43" t="s">
        <v>91</v>
      </c>
      <c r="G1727" s="40"/>
    </row>
    <row r="1728" spans="1:7" ht="12.75" hidden="1" customHeight="1">
      <c r="A1728" s="67" t="s">
        <v>247</v>
      </c>
      <c r="B1728" s="43"/>
      <c r="C1728" s="42"/>
      <c r="D1728" s="42"/>
      <c r="E1728" s="42"/>
      <c r="F1728" s="42"/>
      <c r="G1728" s="40"/>
    </row>
    <row r="1729" spans="1:7" ht="12.75" hidden="1" customHeight="1">
      <c r="A1729" s="67" t="s">
        <v>248</v>
      </c>
      <c r="B1729" s="43"/>
      <c r="C1729" s="42"/>
      <c r="D1729" s="42"/>
      <c r="E1729" s="42"/>
      <c r="F1729" s="42"/>
      <c r="G1729" s="40"/>
    </row>
    <row r="1730" spans="1:7" ht="12.75" hidden="1" customHeight="1">
      <c r="A1730" s="67" t="s">
        <v>249</v>
      </c>
      <c r="B1730" s="45"/>
      <c r="C1730" s="42"/>
      <c r="D1730" s="42"/>
      <c r="E1730" s="42"/>
      <c r="F1730" s="42"/>
      <c r="G1730" s="40"/>
    </row>
    <row r="1731" spans="1:7" ht="12.75" hidden="1" customHeight="1">
      <c r="A1731" s="67" t="s">
        <v>250</v>
      </c>
      <c r="B1731" s="43">
        <v>32</v>
      </c>
      <c r="C1731" s="53">
        <f t="shared" ref="C1731:E1736" si="75">B1731/B$1764*C$1764</f>
        <v>19807.866666666665</v>
      </c>
      <c r="D1731" s="53">
        <f t="shared" si="75"/>
        <v>14799.588148148145</v>
      </c>
      <c r="E1731" s="53">
        <f t="shared" si="75"/>
        <v>12047.124444444444</v>
      </c>
      <c r="F1731" s="42">
        <f>SUM(C1731:E1731)</f>
        <v>46654.579259259255</v>
      </c>
      <c r="G1731" s="40"/>
    </row>
    <row r="1732" spans="1:7" ht="12.75" hidden="1" customHeight="1">
      <c r="A1732" s="67" t="s">
        <v>251</v>
      </c>
      <c r="B1732" s="43"/>
      <c r="C1732" s="42">
        <f t="shared" si="75"/>
        <v>0</v>
      </c>
      <c r="D1732" s="42">
        <f t="shared" si="75"/>
        <v>0</v>
      </c>
      <c r="E1732" s="42">
        <f t="shared" si="75"/>
        <v>0</v>
      </c>
      <c r="F1732" s="42">
        <f t="shared" ref="F1732:F1762" si="76">SUM(C1732:E1732)</f>
        <v>0</v>
      </c>
      <c r="G1732" s="40"/>
    </row>
    <row r="1733" spans="1:7" ht="12.75" hidden="1" customHeight="1">
      <c r="A1733" s="68" t="s">
        <v>252</v>
      </c>
      <c r="B1733" s="69"/>
      <c r="C1733" s="42">
        <f t="shared" si="75"/>
        <v>0</v>
      </c>
      <c r="D1733" s="42">
        <f t="shared" si="75"/>
        <v>0</v>
      </c>
      <c r="E1733" s="42">
        <f t="shared" si="75"/>
        <v>0</v>
      </c>
      <c r="F1733" s="42">
        <f t="shared" si="76"/>
        <v>0</v>
      </c>
      <c r="G1733" s="40"/>
    </row>
    <row r="1734" spans="1:7" ht="12.75" hidden="1" customHeight="1">
      <c r="A1734" s="68" t="s">
        <v>253</v>
      </c>
      <c r="B1734" s="69">
        <v>41</v>
      </c>
      <c r="C1734" s="53">
        <f t="shared" si="75"/>
        <v>25378.82916666667</v>
      </c>
      <c r="D1734" s="53">
        <f t="shared" si="75"/>
        <v>18961.972314814815</v>
      </c>
      <c r="E1734" s="53">
        <f t="shared" si="75"/>
        <v>15435.378194444447</v>
      </c>
      <c r="F1734" s="42">
        <f t="shared" si="76"/>
        <v>59776.17967592593</v>
      </c>
      <c r="G1734" s="40"/>
    </row>
    <row r="1735" spans="1:7" ht="12.75" hidden="1" customHeight="1">
      <c r="A1735" s="67" t="s">
        <v>254</v>
      </c>
      <c r="B1735" s="70"/>
      <c r="C1735" s="42">
        <f t="shared" si="75"/>
        <v>0</v>
      </c>
      <c r="D1735" s="42">
        <f t="shared" si="75"/>
        <v>0</v>
      </c>
      <c r="E1735" s="42">
        <f t="shared" si="75"/>
        <v>0</v>
      </c>
      <c r="F1735" s="42">
        <f t="shared" si="76"/>
        <v>0</v>
      </c>
      <c r="G1735" s="40"/>
    </row>
    <row r="1736" spans="1:7" ht="12.75" hidden="1" customHeight="1">
      <c r="A1736" s="67" t="s">
        <v>255</v>
      </c>
      <c r="B1736" s="70"/>
      <c r="C1736" s="42">
        <f t="shared" si="75"/>
        <v>0</v>
      </c>
      <c r="D1736" s="42">
        <f t="shared" si="75"/>
        <v>0</v>
      </c>
      <c r="E1736" s="42">
        <f t="shared" si="75"/>
        <v>0</v>
      </c>
      <c r="F1736" s="42">
        <f t="shared" si="76"/>
        <v>0</v>
      </c>
      <c r="G1736" s="40"/>
    </row>
    <row r="1737" spans="1:7" ht="12.75" hidden="1" customHeight="1">
      <c r="A1737" s="67" t="s">
        <v>256</v>
      </c>
      <c r="B1737" s="184"/>
      <c r="C1737" s="184"/>
      <c r="D1737" s="184"/>
      <c r="E1737" s="184"/>
      <c r="F1737" s="184"/>
      <c r="G1737" s="40"/>
    </row>
    <row r="1738" spans="1:7" ht="12.75" hidden="1" customHeight="1">
      <c r="A1738" s="67" t="s">
        <v>257</v>
      </c>
      <c r="B1738" s="70"/>
      <c r="C1738" s="42">
        <f t="shared" ref="C1738:E1745" si="77">B1738/B$1764*C$1764</f>
        <v>0</v>
      </c>
      <c r="D1738" s="42">
        <f t="shared" si="77"/>
        <v>0</v>
      </c>
      <c r="E1738" s="42">
        <f t="shared" si="77"/>
        <v>0</v>
      </c>
      <c r="F1738" s="42">
        <f t="shared" si="76"/>
        <v>0</v>
      </c>
      <c r="G1738" s="40"/>
    </row>
    <row r="1739" spans="1:7" ht="12.75" hidden="1" customHeight="1">
      <c r="A1739" s="67" t="s">
        <v>535</v>
      </c>
      <c r="B1739" s="70">
        <v>31</v>
      </c>
      <c r="C1739" s="53">
        <f t="shared" si="77"/>
        <v>19188.870833333334</v>
      </c>
      <c r="D1739" s="53">
        <f t="shared" si="77"/>
        <v>14337.101018518517</v>
      </c>
      <c r="E1739" s="53">
        <f t="shared" si="77"/>
        <v>11670.651805555555</v>
      </c>
      <c r="F1739" s="42">
        <f>SUM(C1739:E1739)</f>
        <v>45196.623657407406</v>
      </c>
      <c r="G1739" s="40"/>
    </row>
    <row r="1740" spans="1:7" ht="12.75" hidden="1" customHeight="1">
      <c r="A1740" s="71" t="s">
        <v>258</v>
      </c>
      <c r="B1740" s="72"/>
      <c r="C1740" s="42">
        <f t="shared" si="77"/>
        <v>0</v>
      </c>
      <c r="D1740" s="42">
        <f t="shared" si="77"/>
        <v>0</v>
      </c>
      <c r="E1740" s="42">
        <f t="shared" si="77"/>
        <v>0</v>
      </c>
      <c r="F1740" s="42">
        <f t="shared" si="76"/>
        <v>0</v>
      </c>
      <c r="G1740" s="40"/>
    </row>
    <row r="1741" spans="1:7" ht="12.75" hidden="1" customHeight="1">
      <c r="A1741" s="67" t="s">
        <v>259</v>
      </c>
      <c r="B1741" s="43"/>
      <c r="C1741" s="42">
        <f t="shared" si="77"/>
        <v>0</v>
      </c>
      <c r="D1741" s="42">
        <f t="shared" si="77"/>
        <v>0</v>
      </c>
      <c r="E1741" s="42">
        <f t="shared" si="77"/>
        <v>0</v>
      </c>
      <c r="F1741" s="42">
        <f t="shared" si="76"/>
        <v>0</v>
      </c>
      <c r="G1741" s="40"/>
    </row>
    <row r="1742" spans="1:7" ht="12.75" hidden="1" customHeight="1">
      <c r="A1742" s="162" t="s">
        <v>260</v>
      </c>
      <c r="B1742" s="43"/>
      <c r="C1742" s="42">
        <f t="shared" si="77"/>
        <v>0</v>
      </c>
      <c r="D1742" s="42">
        <f t="shared" si="77"/>
        <v>0</v>
      </c>
      <c r="E1742" s="42">
        <f t="shared" si="77"/>
        <v>0</v>
      </c>
      <c r="F1742" s="42">
        <f t="shared" si="76"/>
        <v>0</v>
      </c>
      <c r="G1742" s="40"/>
    </row>
    <row r="1743" spans="1:7" ht="12.75" hidden="1" customHeight="1">
      <c r="A1743" s="73" t="s">
        <v>261</v>
      </c>
      <c r="B1743" s="43">
        <v>15</v>
      </c>
      <c r="C1743" s="53">
        <f t="shared" si="77"/>
        <v>9284.9375</v>
      </c>
      <c r="D1743" s="53">
        <f t="shared" si="77"/>
        <v>6937.3069444444436</v>
      </c>
      <c r="E1743" s="53">
        <f t="shared" si="77"/>
        <v>5647.0895833333334</v>
      </c>
      <c r="F1743" s="42">
        <f t="shared" si="76"/>
        <v>21869.334027777779</v>
      </c>
      <c r="G1743" s="40"/>
    </row>
    <row r="1744" spans="1:7" ht="12.75" hidden="1" customHeight="1">
      <c r="A1744" s="73" t="s">
        <v>262</v>
      </c>
      <c r="B1744" s="43">
        <v>12</v>
      </c>
      <c r="C1744" s="53">
        <f t="shared" si="77"/>
        <v>7427.95</v>
      </c>
      <c r="D1744" s="53">
        <f t="shared" si="77"/>
        <v>5549.8455555555547</v>
      </c>
      <c r="E1744" s="53">
        <f t="shared" si="77"/>
        <v>4517.6716666666662</v>
      </c>
      <c r="F1744" s="42">
        <f t="shared" si="76"/>
        <v>17495.467222222222</v>
      </c>
      <c r="G1744" s="40"/>
    </row>
    <row r="1745" spans="1:7" ht="12.75" hidden="1" customHeight="1">
      <c r="A1745" s="74" t="s">
        <v>263</v>
      </c>
      <c r="B1745" s="43"/>
      <c r="C1745" s="42">
        <f t="shared" si="77"/>
        <v>0</v>
      </c>
      <c r="D1745" s="42">
        <f t="shared" si="77"/>
        <v>0</v>
      </c>
      <c r="E1745" s="42">
        <f t="shared" si="77"/>
        <v>0</v>
      </c>
      <c r="F1745" s="42">
        <f t="shared" si="76"/>
        <v>0</v>
      </c>
      <c r="G1745" s="40"/>
    </row>
    <row r="1746" spans="1:7" ht="12.75" hidden="1" customHeight="1">
      <c r="A1746" s="74" t="s">
        <v>264</v>
      </c>
      <c r="B1746" s="184"/>
      <c r="C1746" s="184"/>
      <c r="D1746" s="184"/>
      <c r="E1746" s="184"/>
      <c r="F1746" s="184"/>
      <c r="G1746" s="40"/>
    </row>
    <row r="1747" spans="1:7" ht="12.75" hidden="1" customHeight="1">
      <c r="A1747" s="74" t="s">
        <v>265</v>
      </c>
      <c r="B1747" s="43"/>
      <c r="C1747" s="42">
        <f t="shared" ref="C1747:E1762" si="78">B1747/B$1764*C$1764</f>
        <v>0</v>
      </c>
      <c r="D1747" s="42">
        <f t="shared" si="78"/>
        <v>0</v>
      </c>
      <c r="E1747" s="42">
        <f t="shared" si="78"/>
        <v>0</v>
      </c>
      <c r="F1747" s="42">
        <f t="shared" si="76"/>
        <v>0</v>
      </c>
      <c r="G1747" s="40"/>
    </row>
    <row r="1748" spans="1:7" ht="12.75" hidden="1" customHeight="1">
      <c r="A1748" s="74" t="s">
        <v>534</v>
      </c>
      <c r="B1748" s="43">
        <v>18</v>
      </c>
      <c r="C1748" s="53">
        <f t="shared" si="78"/>
        <v>11141.924999999999</v>
      </c>
      <c r="D1748" s="53">
        <f t="shared" si="78"/>
        <v>8324.7683333333316</v>
      </c>
      <c r="E1748" s="53">
        <f t="shared" si="78"/>
        <v>6776.5074999999997</v>
      </c>
      <c r="F1748" s="42">
        <f>SUM(C1748:E1748)</f>
        <v>26243.200833333329</v>
      </c>
      <c r="G1748" s="40"/>
    </row>
    <row r="1749" spans="1:7" ht="12.75" hidden="1" customHeight="1">
      <c r="A1749" s="74" t="s">
        <v>266</v>
      </c>
      <c r="B1749" s="43"/>
      <c r="C1749" s="42">
        <f t="shared" si="78"/>
        <v>0</v>
      </c>
      <c r="D1749" s="42">
        <f t="shared" si="78"/>
        <v>0</v>
      </c>
      <c r="E1749" s="42">
        <f t="shared" si="78"/>
        <v>0</v>
      </c>
      <c r="F1749" s="42">
        <f t="shared" si="76"/>
        <v>0</v>
      </c>
      <c r="G1749" s="40"/>
    </row>
    <row r="1750" spans="1:7" ht="12.75" hidden="1" customHeight="1">
      <c r="A1750" s="74" t="s">
        <v>267</v>
      </c>
      <c r="B1750" s="43"/>
      <c r="C1750" s="42">
        <f t="shared" si="78"/>
        <v>0</v>
      </c>
      <c r="D1750" s="42">
        <f t="shared" si="78"/>
        <v>0</v>
      </c>
      <c r="E1750" s="42">
        <f t="shared" si="78"/>
        <v>0</v>
      </c>
      <c r="F1750" s="42">
        <f t="shared" si="76"/>
        <v>0</v>
      </c>
      <c r="G1750" s="40"/>
    </row>
    <row r="1751" spans="1:7" ht="12.75" hidden="1" customHeight="1">
      <c r="A1751" s="74" t="s">
        <v>268</v>
      </c>
      <c r="B1751" s="43">
        <v>23</v>
      </c>
      <c r="C1751" s="53">
        <f t="shared" si="78"/>
        <v>14236.904166666667</v>
      </c>
      <c r="D1751" s="53">
        <f t="shared" si="78"/>
        <v>10637.20398148148</v>
      </c>
      <c r="E1751" s="53">
        <f t="shared" si="78"/>
        <v>8658.8706944444439</v>
      </c>
      <c r="F1751" s="42">
        <f t="shared" si="76"/>
        <v>33532.978842592587</v>
      </c>
      <c r="G1751" s="40"/>
    </row>
    <row r="1752" spans="1:7" ht="12.75" hidden="1" customHeight="1">
      <c r="A1752" s="67" t="s">
        <v>269</v>
      </c>
      <c r="B1752" s="43"/>
      <c r="C1752" s="42">
        <f t="shared" si="78"/>
        <v>0</v>
      </c>
      <c r="D1752" s="42">
        <f t="shared" si="78"/>
        <v>0</v>
      </c>
      <c r="E1752" s="42">
        <f t="shared" si="78"/>
        <v>0</v>
      </c>
      <c r="F1752" s="42">
        <f t="shared" si="76"/>
        <v>0</v>
      </c>
      <c r="G1752" s="40"/>
    </row>
    <row r="1753" spans="1:7" ht="12.75" hidden="1" customHeight="1">
      <c r="A1753" s="159" t="s">
        <v>507</v>
      </c>
      <c r="B1753" s="43"/>
      <c r="C1753" s="42">
        <f t="shared" si="78"/>
        <v>0</v>
      </c>
      <c r="D1753" s="42">
        <f t="shared" si="78"/>
        <v>0</v>
      </c>
      <c r="E1753" s="42">
        <f t="shared" si="78"/>
        <v>0</v>
      </c>
      <c r="F1753" s="42">
        <f t="shared" si="76"/>
        <v>0</v>
      </c>
      <c r="G1753" s="40"/>
    </row>
    <row r="1754" spans="1:7" ht="12.75" hidden="1" customHeight="1">
      <c r="A1754" s="67" t="s">
        <v>271</v>
      </c>
      <c r="B1754" s="43"/>
      <c r="C1754" s="42">
        <f t="shared" si="78"/>
        <v>0</v>
      </c>
      <c r="D1754" s="42">
        <f t="shared" si="78"/>
        <v>0</v>
      </c>
      <c r="E1754" s="42">
        <f t="shared" si="78"/>
        <v>0</v>
      </c>
      <c r="F1754" s="42">
        <f t="shared" si="76"/>
        <v>0</v>
      </c>
      <c r="G1754" s="40"/>
    </row>
    <row r="1755" spans="1:7" ht="12.75" hidden="1" customHeight="1">
      <c r="A1755" s="67" t="s">
        <v>272</v>
      </c>
      <c r="B1755" s="43"/>
      <c r="C1755" s="42">
        <f t="shared" si="78"/>
        <v>0</v>
      </c>
      <c r="D1755" s="42">
        <f t="shared" si="78"/>
        <v>0</v>
      </c>
      <c r="E1755" s="42">
        <f t="shared" si="78"/>
        <v>0</v>
      </c>
      <c r="F1755" s="42">
        <f t="shared" si="76"/>
        <v>0</v>
      </c>
      <c r="G1755" s="40"/>
    </row>
    <row r="1756" spans="1:7" ht="12.75" hidden="1" customHeight="1">
      <c r="A1756" s="67" t="s">
        <v>273</v>
      </c>
      <c r="B1756" s="43"/>
      <c r="C1756" s="42">
        <f t="shared" si="78"/>
        <v>0</v>
      </c>
      <c r="D1756" s="42">
        <f t="shared" si="78"/>
        <v>0</v>
      </c>
      <c r="E1756" s="42">
        <f t="shared" si="78"/>
        <v>0</v>
      </c>
      <c r="F1756" s="42">
        <f t="shared" si="76"/>
        <v>0</v>
      </c>
      <c r="G1756" s="40"/>
    </row>
    <row r="1757" spans="1:7" ht="12.75" hidden="1" customHeight="1">
      <c r="A1757" s="67" t="s">
        <v>274</v>
      </c>
      <c r="B1757" s="43"/>
      <c r="C1757" s="42">
        <f t="shared" si="78"/>
        <v>0</v>
      </c>
      <c r="D1757" s="42">
        <f t="shared" si="78"/>
        <v>0</v>
      </c>
      <c r="E1757" s="42">
        <f t="shared" si="78"/>
        <v>0</v>
      </c>
      <c r="F1757" s="42">
        <f t="shared" si="76"/>
        <v>0</v>
      </c>
      <c r="G1757" s="40"/>
    </row>
    <row r="1758" spans="1:7" ht="12.75" hidden="1" customHeight="1">
      <c r="A1758" s="67" t="s">
        <v>275</v>
      </c>
      <c r="B1758" s="43"/>
      <c r="C1758" s="42">
        <f t="shared" si="78"/>
        <v>0</v>
      </c>
      <c r="D1758" s="42">
        <f t="shared" si="78"/>
        <v>0</v>
      </c>
      <c r="E1758" s="42">
        <f t="shared" si="78"/>
        <v>0</v>
      </c>
      <c r="F1758" s="42">
        <f t="shared" si="76"/>
        <v>0</v>
      </c>
      <c r="G1758" s="40"/>
    </row>
    <row r="1759" spans="1:7" ht="12.75" hidden="1" customHeight="1">
      <c r="A1759" s="67" t="s">
        <v>276</v>
      </c>
      <c r="B1759" s="43"/>
      <c r="C1759" s="42">
        <f t="shared" si="78"/>
        <v>0</v>
      </c>
      <c r="D1759" s="42">
        <f t="shared" si="78"/>
        <v>0</v>
      </c>
      <c r="E1759" s="42">
        <f t="shared" si="78"/>
        <v>0</v>
      </c>
      <c r="F1759" s="42">
        <f t="shared" si="76"/>
        <v>0</v>
      </c>
      <c r="G1759" s="40"/>
    </row>
    <row r="1760" spans="1:7" ht="12.75" hidden="1" customHeight="1">
      <c r="A1760" s="67" t="s">
        <v>277</v>
      </c>
      <c r="B1760" s="43"/>
      <c r="C1760" s="42">
        <f t="shared" si="78"/>
        <v>0</v>
      </c>
      <c r="D1760" s="42">
        <f t="shared" si="78"/>
        <v>0</v>
      </c>
      <c r="E1760" s="42">
        <f t="shared" si="78"/>
        <v>0</v>
      </c>
      <c r="F1760" s="42">
        <f t="shared" si="76"/>
        <v>0</v>
      </c>
      <c r="G1760" s="40"/>
    </row>
    <row r="1761" spans="1:7" ht="12.75" hidden="1" customHeight="1">
      <c r="A1761" s="67" t="s">
        <v>536</v>
      </c>
      <c r="B1761" s="43">
        <v>30</v>
      </c>
      <c r="C1761" s="53">
        <f t="shared" si="78"/>
        <v>18569.875</v>
      </c>
      <c r="D1761" s="53">
        <f t="shared" si="78"/>
        <v>13874.613888888887</v>
      </c>
      <c r="E1761" s="53">
        <f t="shared" si="78"/>
        <v>11294.179166666667</v>
      </c>
      <c r="F1761" s="42">
        <f t="shared" si="76"/>
        <v>43738.668055555558</v>
      </c>
      <c r="G1761" s="40"/>
    </row>
    <row r="1762" spans="1:7" ht="12.75" hidden="1" customHeight="1">
      <c r="A1762" s="183" t="s">
        <v>533</v>
      </c>
      <c r="B1762" s="59">
        <v>14</v>
      </c>
      <c r="C1762" s="60">
        <f t="shared" si="78"/>
        <v>8665.9416666666657</v>
      </c>
      <c r="D1762" s="60">
        <f t="shared" si="78"/>
        <v>6474.819814814814</v>
      </c>
      <c r="E1762" s="60">
        <f t="shared" si="78"/>
        <v>5270.616944444444</v>
      </c>
      <c r="F1762" s="60">
        <f t="shared" si="76"/>
        <v>20411.378425925926</v>
      </c>
      <c r="G1762" s="40"/>
    </row>
    <row r="1763" spans="1:7" ht="12.75" hidden="1" customHeight="1">
      <c r="A1763" s="49" t="s">
        <v>278</v>
      </c>
      <c r="B1763" s="43"/>
      <c r="C1763" s="42"/>
      <c r="D1763" s="42"/>
      <c r="E1763" s="42"/>
      <c r="F1763" s="42"/>
      <c r="G1763" s="40"/>
    </row>
    <row r="1764" spans="1:7" ht="12.75" hidden="1" customHeight="1">
      <c r="A1764" s="75" t="s">
        <v>281</v>
      </c>
      <c r="B1764" s="43">
        <f>SUM(B1731:B1762)</f>
        <v>216</v>
      </c>
      <c r="C1764" s="42">
        <v>133703.1</v>
      </c>
      <c r="D1764" s="42">
        <f>15294.8+6353.4+11078.2+48590.2+18580.62</f>
        <v>99897.219999999987</v>
      </c>
      <c r="E1764" s="44">
        <v>81318.09</v>
      </c>
      <c r="F1764" s="42">
        <f>SUM(C1764:E1764)</f>
        <v>314918.41000000003</v>
      </c>
      <c r="G1764" s="40"/>
    </row>
    <row r="1765" spans="1:7" ht="12.75" hidden="1" customHeight="1">
      <c r="A1765" s="109"/>
      <c r="B1765" s="41"/>
      <c r="C1765" s="40"/>
      <c r="D1765" s="40"/>
      <c r="E1765" s="41"/>
      <c r="F1765" s="40"/>
      <c r="G1765" s="40"/>
    </row>
    <row r="1766" spans="1:7" ht="12.75" hidden="1" customHeight="1">
      <c r="A1766" s="76"/>
      <c r="B1766" s="41"/>
      <c r="C1766" s="40"/>
      <c r="D1766" s="40"/>
      <c r="E1766" s="41"/>
      <c r="F1766" s="40"/>
      <c r="G1766" s="40"/>
    </row>
    <row r="1767" spans="1:7" ht="12.75" hidden="1" customHeight="1">
      <c r="A1767" s="269" t="s">
        <v>520</v>
      </c>
      <c r="B1767" s="269"/>
      <c r="C1767" s="269"/>
      <c r="D1767" s="269"/>
      <c r="E1767" s="269"/>
      <c r="F1767" s="269"/>
      <c r="G1767" s="40"/>
    </row>
    <row r="1768" spans="1:7" ht="12.75" hidden="1" customHeight="1">
      <c r="A1768" s="42" t="s">
        <v>86</v>
      </c>
      <c r="B1768" s="43" t="s">
        <v>87</v>
      </c>
      <c r="C1768" s="43" t="s">
        <v>88</v>
      </c>
      <c r="D1768" s="43" t="s">
        <v>89</v>
      </c>
      <c r="E1768" s="43" t="s">
        <v>90</v>
      </c>
      <c r="F1768" s="43" t="s">
        <v>91</v>
      </c>
      <c r="G1768" s="40"/>
    </row>
    <row r="1769" spans="1:7" ht="12.75" hidden="1" customHeight="1">
      <c r="A1769" s="39" t="s">
        <v>284</v>
      </c>
      <c r="B1769" s="43">
        <v>79</v>
      </c>
      <c r="C1769" s="66">
        <f t="shared" ref="C1769:E1788" si="79">B1769/B$1833*C$1833</f>
        <v>143877.98677966101</v>
      </c>
      <c r="D1769" s="66">
        <f t="shared" si="79"/>
        <v>199912.23917675542</v>
      </c>
      <c r="E1769" s="66">
        <f t="shared" si="79"/>
        <v>108015.12765133171</v>
      </c>
      <c r="F1769" s="44">
        <f>SUM(C1769:E1769)</f>
        <v>451805.35360774817</v>
      </c>
      <c r="G1769" s="40"/>
    </row>
    <row r="1770" spans="1:7" ht="12.75" hidden="1" customHeight="1">
      <c r="A1770" s="39" t="s">
        <v>285</v>
      </c>
      <c r="B1770" s="43">
        <v>21</v>
      </c>
      <c r="C1770" s="66">
        <f t="shared" si="79"/>
        <v>38246.04711864407</v>
      </c>
      <c r="D1770" s="66">
        <f t="shared" si="79"/>
        <v>53141.228135593228</v>
      </c>
      <c r="E1770" s="66">
        <f t="shared" si="79"/>
        <v>28712.88203389831</v>
      </c>
      <c r="F1770" s="44">
        <f t="shared" ref="F1770:F1815" si="80">SUM(C1770:E1770)</f>
        <v>120100.1572881356</v>
      </c>
      <c r="G1770" s="40"/>
    </row>
    <row r="1771" spans="1:7" ht="12.75" hidden="1" customHeight="1">
      <c r="A1771" s="39" t="s">
        <v>286</v>
      </c>
      <c r="B1771" s="43"/>
      <c r="C1771" s="44">
        <f t="shared" si="79"/>
        <v>0</v>
      </c>
      <c r="D1771" s="44">
        <f t="shared" si="79"/>
        <v>0</v>
      </c>
      <c r="E1771" s="44">
        <f t="shared" si="79"/>
        <v>0</v>
      </c>
      <c r="F1771" s="44">
        <f t="shared" si="80"/>
        <v>0</v>
      </c>
      <c r="G1771" s="40"/>
    </row>
    <row r="1772" spans="1:7" ht="12.75" hidden="1" customHeight="1">
      <c r="A1772" s="39" t="s">
        <v>287</v>
      </c>
      <c r="B1772" s="43"/>
      <c r="C1772" s="44">
        <f t="shared" si="79"/>
        <v>0</v>
      </c>
      <c r="D1772" s="44">
        <f t="shared" si="79"/>
        <v>0</v>
      </c>
      <c r="E1772" s="44">
        <f t="shared" si="79"/>
        <v>0</v>
      </c>
      <c r="F1772" s="44">
        <f t="shared" si="80"/>
        <v>0</v>
      </c>
      <c r="G1772" s="40"/>
    </row>
    <row r="1773" spans="1:7" ht="12.75" hidden="1" customHeight="1">
      <c r="A1773" s="39" t="s">
        <v>288</v>
      </c>
      <c r="B1773" s="43"/>
      <c r="C1773" s="44">
        <f t="shared" si="79"/>
        <v>0</v>
      </c>
      <c r="D1773" s="44">
        <f t="shared" si="79"/>
        <v>0</v>
      </c>
      <c r="E1773" s="44">
        <f t="shared" si="79"/>
        <v>0</v>
      </c>
      <c r="F1773" s="44">
        <f t="shared" si="80"/>
        <v>0</v>
      </c>
      <c r="G1773" s="40"/>
    </row>
    <row r="1774" spans="1:7" ht="12.75" hidden="1" customHeight="1">
      <c r="A1774" s="39" t="s">
        <v>289</v>
      </c>
      <c r="B1774" s="43"/>
      <c r="C1774" s="44">
        <f t="shared" si="79"/>
        <v>0</v>
      </c>
      <c r="D1774" s="44">
        <f t="shared" si="79"/>
        <v>0</v>
      </c>
      <c r="E1774" s="44">
        <f t="shared" si="79"/>
        <v>0</v>
      </c>
      <c r="F1774" s="44">
        <f t="shared" si="80"/>
        <v>0</v>
      </c>
      <c r="G1774" s="40"/>
    </row>
    <row r="1775" spans="1:7" ht="12.75" hidden="1" customHeight="1">
      <c r="A1775" s="39" t="s">
        <v>290</v>
      </c>
      <c r="B1775" s="43"/>
      <c r="C1775" s="44">
        <f t="shared" si="79"/>
        <v>0</v>
      </c>
      <c r="D1775" s="44">
        <f t="shared" si="79"/>
        <v>0</v>
      </c>
      <c r="E1775" s="44">
        <f t="shared" si="79"/>
        <v>0</v>
      </c>
      <c r="F1775" s="44">
        <f t="shared" si="80"/>
        <v>0</v>
      </c>
      <c r="G1775" s="40"/>
    </row>
    <row r="1776" spans="1:7" ht="12.75" hidden="1" customHeight="1">
      <c r="A1776" s="39" t="s">
        <v>291</v>
      </c>
      <c r="B1776" s="43"/>
      <c r="C1776" s="44">
        <f t="shared" si="79"/>
        <v>0</v>
      </c>
      <c r="D1776" s="44">
        <f t="shared" si="79"/>
        <v>0</v>
      </c>
      <c r="E1776" s="44">
        <f t="shared" si="79"/>
        <v>0</v>
      </c>
      <c r="F1776" s="44">
        <f t="shared" si="80"/>
        <v>0</v>
      </c>
      <c r="G1776" s="40"/>
    </row>
    <row r="1777" spans="1:7" ht="12.75" hidden="1" customHeight="1">
      <c r="A1777" s="39" t="s">
        <v>292</v>
      </c>
      <c r="B1777" s="43"/>
      <c r="C1777" s="44">
        <f t="shared" si="79"/>
        <v>0</v>
      </c>
      <c r="D1777" s="44">
        <f t="shared" si="79"/>
        <v>0</v>
      </c>
      <c r="E1777" s="44">
        <f t="shared" si="79"/>
        <v>0</v>
      </c>
      <c r="F1777" s="44">
        <f t="shared" si="80"/>
        <v>0</v>
      </c>
      <c r="G1777" s="40"/>
    </row>
    <row r="1778" spans="1:7" ht="12.75" hidden="1" customHeight="1">
      <c r="A1778" s="39" t="s">
        <v>293</v>
      </c>
      <c r="B1778" s="43"/>
      <c r="C1778" s="44">
        <f t="shared" si="79"/>
        <v>0</v>
      </c>
      <c r="D1778" s="44">
        <f t="shared" si="79"/>
        <v>0</v>
      </c>
      <c r="E1778" s="44">
        <f t="shared" si="79"/>
        <v>0</v>
      </c>
      <c r="F1778" s="44">
        <f t="shared" si="80"/>
        <v>0</v>
      </c>
      <c r="G1778" s="40"/>
    </row>
    <row r="1779" spans="1:7" ht="12.75" hidden="1" customHeight="1">
      <c r="A1779" s="39" t="s">
        <v>30</v>
      </c>
      <c r="B1779" s="45"/>
      <c r="C1779" s="44">
        <f t="shared" si="79"/>
        <v>0</v>
      </c>
      <c r="D1779" s="44">
        <f t="shared" si="79"/>
        <v>0</v>
      </c>
      <c r="E1779" s="44">
        <f t="shared" si="79"/>
        <v>0</v>
      </c>
      <c r="F1779" s="44">
        <f t="shared" si="80"/>
        <v>0</v>
      </c>
      <c r="G1779" s="40"/>
    </row>
    <row r="1780" spans="1:7" ht="12.75" hidden="1" customHeight="1">
      <c r="A1780" s="39" t="s">
        <v>294</v>
      </c>
      <c r="B1780" s="43"/>
      <c r="C1780" s="44">
        <f t="shared" si="79"/>
        <v>0</v>
      </c>
      <c r="D1780" s="44">
        <f t="shared" si="79"/>
        <v>0</v>
      </c>
      <c r="E1780" s="44">
        <f t="shared" si="79"/>
        <v>0</v>
      </c>
      <c r="F1780" s="44">
        <f t="shared" si="80"/>
        <v>0</v>
      </c>
      <c r="G1780" s="40"/>
    </row>
    <row r="1781" spans="1:7" ht="12.75" hidden="1" customHeight="1">
      <c r="A1781" s="39" t="s">
        <v>31</v>
      </c>
      <c r="B1781" s="43"/>
      <c r="C1781" s="44">
        <f t="shared" si="79"/>
        <v>0</v>
      </c>
      <c r="D1781" s="44">
        <f t="shared" si="79"/>
        <v>0</v>
      </c>
      <c r="E1781" s="44">
        <f t="shared" si="79"/>
        <v>0</v>
      </c>
      <c r="F1781" s="44">
        <f t="shared" si="80"/>
        <v>0</v>
      </c>
      <c r="G1781" s="40"/>
    </row>
    <row r="1782" spans="1:7" ht="12.75" hidden="1" customHeight="1">
      <c r="A1782" s="39" t="s">
        <v>295</v>
      </c>
      <c r="B1782" s="43"/>
      <c r="C1782" s="44">
        <f t="shared" si="79"/>
        <v>0</v>
      </c>
      <c r="D1782" s="44">
        <f t="shared" si="79"/>
        <v>0</v>
      </c>
      <c r="E1782" s="44">
        <f t="shared" si="79"/>
        <v>0</v>
      </c>
      <c r="F1782" s="44">
        <f t="shared" si="80"/>
        <v>0</v>
      </c>
      <c r="G1782" s="40"/>
    </row>
    <row r="1783" spans="1:7" ht="12.75" hidden="1" customHeight="1">
      <c r="A1783" s="39" t="s">
        <v>296</v>
      </c>
      <c r="B1783" s="41"/>
      <c r="C1783" s="44">
        <f t="shared" si="79"/>
        <v>0</v>
      </c>
      <c r="D1783" s="44">
        <f t="shared" si="79"/>
        <v>0</v>
      </c>
      <c r="E1783" s="44">
        <f t="shared" si="79"/>
        <v>0</v>
      </c>
      <c r="F1783" s="44">
        <f t="shared" si="80"/>
        <v>0</v>
      </c>
      <c r="G1783" s="40"/>
    </row>
    <row r="1784" spans="1:7" ht="12.75" hidden="1" customHeight="1">
      <c r="A1784" s="39" t="s">
        <v>297</v>
      </c>
      <c r="B1784" s="43"/>
      <c r="C1784" s="44">
        <f t="shared" si="79"/>
        <v>0</v>
      </c>
      <c r="D1784" s="44">
        <f t="shared" si="79"/>
        <v>0</v>
      </c>
      <c r="E1784" s="44">
        <f t="shared" si="79"/>
        <v>0</v>
      </c>
      <c r="F1784" s="44">
        <f t="shared" si="80"/>
        <v>0</v>
      </c>
      <c r="G1784" s="40"/>
    </row>
    <row r="1785" spans="1:7" ht="12.75" hidden="1" customHeight="1">
      <c r="A1785" s="39" t="s">
        <v>492</v>
      </c>
      <c r="B1785" s="43">
        <v>11</v>
      </c>
      <c r="C1785" s="66">
        <f t="shared" si="79"/>
        <v>20033.64372881356</v>
      </c>
      <c r="D1785" s="66">
        <f t="shared" si="79"/>
        <v>27835.881404358355</v>
      </c>
      <c r="E1785" s="66">
        <f t="shared" si="79"/>
        <v>15040.081065375305</v>
      </c>
      <c r="F1785" s="44">
        <f t="shared" si="80"/>
        <v>62909.606198547226</v>
      </c>
      <c r="G1785" s="40"/>
    </row>
    <row r="1786" spans="1:7" ht="12.75" hidden="1" customHeight="1">
      <c r="A1786" s="39" t="s">
        <v>299</v>
      </c>
      <c r="B1786" s="43">
        <v>10</v>
      </c>
      <c r="C1786" s="66">
        <f t="shared" si="79"/>
        <v>18212.40338983051</v>
      </c>
      <c r="D1786" s="66">
        <f t="shared" si="79"/>
        <v>25305.346731234873</v>
      </c>
      <c r="E1786" s="66">
        <f t="shared" si="79"/>
        <v>13672.800968523004</v>
      </c>
      <c r="F1786" s="44">
        <f t="shared" si="80"/>
        <v>57190.551089588393</v>
      </c>
      <c r="G1786" s="40"/>
    </row>
    <row r="1787" spans="1:7" ht="12.75" hidden="1" customHeight="1">
      <c r="A1787" s="39" t="s">
        <v>300</v>
      </c>
      <c r="B1787" s="45"/>
      <c r="C1787" s="44">
        <f t="shared" si="79"/>
        <v>0</v>
      </c>
      <c r="D1787" s="44">
        <f t="shared" si="79"/>
        <v>0</v>
      </c>
      <c r="E1787" s="44">
        <f t="shared" si="79"/>
        <v>0</v>
      </c>
      <c r="F1787" s="44">
        <f t="shared" si="80"/>
        <v>0</v>
      </c>
      <c r="G1787" s="40"/>
    </row>
    <row r="1788" spans="1:7" ht="12.75" hidden="1" customHeight="1">
      <c r="A1788" s="39" t="s">
        <v>301</v>
      </c>
      <c r="B1788" s="43"/>
      <c r="C1788" s="44">
        <f t="shared" si="79"/>
        <v>0</v>
      </c>
      <c r="D1788" s="44">
        <f t="shared" si="79"/>
        <v>0</v>
      </c>
      <c r="E1788" s="44">
        <f t="shared" si="79"/>
        <v>0</v>
      </c>
      <c r="F1788" s="44">
        <f t="shared" si="80"/>
        <v>0</v>
      </c>
      <c r="G1788" s="40"/>
    </row>
    <row r="1789" spans="1:7" ht="12.75" hidden="1" customHeight="1">
      <c r="A1789" s="39" t="s">
        <v>32</v>
      </c>
      <c r="B1789" s="43"/>
      <c r="C1789" s="44">
        <f t="shared" ref="C1789:E1808" si="81">B1789/B$1833*C$1833</f>
        <v>0</v>
      </c>
      <c r="D1789" s="44">
        <f t="shared" si="81"/>
        <v>0</v>
      </c>
      <c r="E1789" s="44">
        <f t="shared" si="81"/>
        <v>0</v>
      </c>
      <c r="F1789" s="44">
        <f t="shared" si="80"/>
        <v>0</v>
      </c>
      <c r="G1789" s="40"/>
    </row>
    <row r="1790" spans="1:7" ht="12.75" hidden="1" customHeight="1">
      <c r="A1790" s="39" t="s">
        <v>491</v>
      </c>
      <c r="B1790" s="45">
        <v>11.5</v>
      </c>
      <c r="C1790" s="66">
        <f t="shared" si="81"/>
        <v>20944.263898305086</v>
      </c>
      <c r="D1790" s="66">
        <f t="shared" si="81"/>
        <v>29101.148740920096</v>
      </c>
      <c r="E1790" s="66">
        <f t="shared" si="81"/>
        <v>15723.721113801454</v>
      </c>
      <c r="F1790" s="44">
        <f t="shared" si="80"/>
        <v>65769.133753026632</v>
      </c>
      <c r="G1790" s="40"/>
    </row>
    <row r="1791" spans="1:7" ht="12.75" hidden="1" customHeight="1">
      <c r="A1791" s="39" t="s">
        <v>489</v>
      </c>
      <c r="B1791" s="45"/>
      <c r="C1791" s="44">
        <f t="shared" si="81"/>
        <v>0</v>
      </c>
      <c r="D1791" s="44">
        <f t="shared" si="81"/>
        <v>0</v>
      </c>
      <c r="E1791" s="44">
        <f t="shared" si="81"/>
        <v>0</v>
      </c>
      <c r="F1791" s="44">
        <f t="shared" si="80"/>
        <v>0</v>
      </c>
      <c r="G1791" s="40"/>
    </row>
    <row r="1792" spans="1:7" ht="12.75" hidden="1" customHeight="1">
      <c r="A1792" s="39" t="s">
        <v>532</v>
      </c>
      <c r="B1792" s="43">
        <v>17</v>
      </c>
      <c r="C1792" s="66">
        <f t="shared" si="81"/>
        <v>30961.085762711864</v>
      </c>
      <c r="D1792" s="66">
        <f t="shared" si="81"/>
        <v>43019.089443099278</v>
      </c>
      <c r="E1792" s="66">
        <f t="shared" si="81"/>
        <v>23243.761646489107</v>
      </c>
      <c r="F1792" s="44">
        <f t="shared" si="80"/>
        <v>97223.936852300249</v>
      </c>
      <c r="G1792" s="40"/>
    </row>
    <row r="1793" spans="1:7" ht="12.75" hidden="1" customHeight="1">
      <c r="A1793" s="39" t="s">
        <v>304</v>
      </c>
      <c r="B1793" s="43"/>
      <c r="C1793" s="44">
        <f t="shared" si="81"/>
        <v>0</v>
      </c>
      <c r="D1793" s="44">
        <f t="shared" si="81"/>
        <v>0</v>
      </c>
      <c r="E1793" s="44">
        <f t="shared" si="81"/>
        <v>0</v>
      </c>
      <c r="F1793" s="44">
        <f t="shared" si="80"/>
        <v>0</v>
      </c>
      <c r="G1793" s="40"/>
    </row>
    <row r="1794" spans="1:7" ht="12.75" hidden="1" customHeight="1">
      <c r="A1794" s="39" t="s">
        <v>34</v>
      </c>
      <c r="B1794" s="43"/>
      <c r="C1794" s="44">
        <f t="shared" si="81"/>
        <v>0</v>
      </c>
      <c r="D1794" s="44">
        <f t="shared" si="81"/>
        <v>0</v>
      </c>
      <c r="E1794" s="44">
        <f t="shared" si="81"/>
        <v>0</v>
      </c>
      <c r="F1794" s="44">
        <f t="shared" si="80"/>
        <v>0</v>
      </c>
      <c r="G1794" s="40"/>
    </row>
    <row r="1795" spans="1:7" ht="12.75" hidden="1" customHeight="1">
      <c r="A1795" s="39" t="s">
        <v>35</v>
      </c>
      <c r="B1795" s="43">
        <v>5.5</v>
      </c>
      <c r="C1795" s="66">
        <f t="shared" si="81"/>
        <v>10016.82186440678</v>
      </c>
      <c r="D1795" s="66">
        <f t="shared" si="81"/>
        <v>13917.940702179178</v>
      </c>
      <c r="E1795" s="66">
        <f t="shared" si="81"/>
        <v>7520.0405326876526</v>
      </c>
      <c r="F1795" s="44">
        <f t="shared" si="80"/>
        <v>31454.803099273613</v>
      </c>
      <c r="G1795" s="40"/>
    </row>
    <row r="1796" spans="1:7" ht="12.75" hidden="1" customHeight="1">
      <c r="A1796" s="39" t="s">
        <v>305</v>
      </c>
      <c r="B1796" s="43">
        <v>11</v>
      </c>
      <c r="C1796" s="66">
        <f t="shared" si="81"/>
        <v>20033.64372881356</v>
      </c>
      <c r="D1796" s="66">
        <f t="shared" si="81"/>
        <v>27835.881404358355</v>
      </c>
      <c r="E1796" s="66">
        <f t="shared" si="81"/>
        <v>15040.081065375305</v>
      </c>
      <c r="F1796" s="44">
        <f t="shared" si="80"/>
        <v>62909.606198547226</v>
      </c>
      <c r="G1796" s="40"/>
    </row>
    <row r="1797" spans="1:7" ht="12.75" hidden="1" customHeight="1">
      <c r="A1797" s="39" t="s">
        <v>306</v>
      </c>
      <c r="B1797" s="45"/>
      <c r="C1797" s="44">
        <f t="shared" si="81"/>
        <v>0</v>
      </c>
      <c r="D1797" s="44">
        <f t="shared" si="81"/>
        <v>0</v>
      </c>
      <c r="E1797" s="44">
        <f t="shared" si="81"/>
        <v>0</v>
      </c>
      <c r="F1797" s="44">
        <f t="shared" si="80"/>
        <v>0</v>
      </c>
      <c r="G1797" s="40"/>
    </row>
    <row r="1798" spans="1:7" ht="12.75" hidden="1" customHeight="1">
      <c r="A1798" s="39" t="s">
        <v>36</v>
      </c>
      <c r="B1798" s="43"/>
      <c r="C1798" s="44">
        <f t="shared" si="81"/>
        <v>0</v>
      </c>
      <c r="D1798" s="44">
        <f t="shared" si="81"/>
        <v>0</v>
      </c>
      <c r="E1798" s="44">
        <f t="shared" si="81"/>
        <v>0</v>
      </c>
      <c r="F1798" s="44">
        <f t="shared" si="80"/>
        <v>0</v>
      </c>
      <c r="G1798" s="40"/>
    </row>
    <row r="1799" spans="1:7" ht="12.75" hidden="1" customHeight="1">
      <c r="A1799" s="39" t="s">
        <v>37</v>
      </c>
      <c r="B1799" s="45"/>
      <c r="C1799" s="44">
        <f t="shared" si="81"/>
        <v>0</v>
      </c>
      <c r="D1799" s="44">
        <f t="shared" si="81"/>
        <v>0</v>
      </c>
      <c r="E1799" s="44">
        <f t="shared" si="81"/>
        <v>0</v>
      </c>
      <c r="F1799" s="44">
        <f t="shared" si="80"/>
        <v>0</v>
      </c>
      <c r="G1799" s="40"/>
    </row>
    <row r="1800" spans="1:7" ht="12.75" hidden="1" customHeight="1">
      <c r="A1800" s="39" t="s">
        <v>38</v>
      </c>
      <c r="B1800" s="43"/>
      <c r="C1800" s="44">
        <f t="shared" si="81"/>
        <v>0</v>
      </c>
      <c r="D1800" s="44">
        <f t="shared" si="81"/>
        <v>0</v>
      </c>
      <c r="E1800" s="44">
        <f t="shared" si="81"/>
        <v>0</v>
      </c>
      <c r="F1800" s="44">
        <f t="shared" si="80"/>
        <v>0</v>
      </c>
      <c r="G1800" s="40"/>
    </row>
    <row r="1801" spans="1:7" ht="12.75" hidden="1" customHeight="1">
      <c r="A1801" s="39" t="s">
        <v>307</v>
      </c>
      <c r="B1801" s="43"/>
      <c r="C1801" s="44">
        <f t="shared" si="81"/>
        <v>0</v>
      </c>
      <c r="D1801" s="44">
        <f t="shared" si="81"/>
        <v>0</v>
      </c>
      <c r="E1801" s="44">
        <f t="shared" si="81"/>
        <v>0</v>
      </c>
      <c r="F1801" s="44">
        <f t="shared" si="80"/>
        <v>0</v>
      </c>
      <c r="G1801" s="40"/>
    </row>
    <row r="1802" spans="1:7" ht="12.75" hidden="1" customHeight="1">
      <c r="A1802" s="39" t="s">
        <v>308</v>
      </c>
      <c r="B1802" s="43"/>
      <c r="C1802" s="44">
        <f t="shared" si="81"/>
        <v>0</v>
      </c>
      <c r="D1802" s="44">
        <f t="shared" si="81"/>
        <v>0</v>
      </c>
      <c r="E1802" s="44">
        <f t="shared" si="81"/>
        <v>0</v>
      </c>
      <c r="F1802" s="44">
        <f t="shared" si="80"/>
        <v>0</v>
      </c>
      <c r="G1802" s="40"/>
    </row>
    <row r="1803" spans="1:7" ht="12.75" hidden="1" customHeight="1">
      <c r="A1803" s="39" t="s">
        <v>39</v>
      </c>
      <c r="B1803" s="45"/>
      <c r="C1803" s="44">
        <f t="shared" si="81"/>
        <v>0</v>
      </c>
      <c r="D1803" s="44">
        <f t="shared" si="81"/>
        <v>0</v>
      </c>
      <c r="E1803" s="44">
        <f t="shared" si="81"/>
        <v>0</v>
      </c>
      <c r="F1803" s="44">
        <f t="shared" si="80"/>
        <v>0</v>
      </c>
      <c r="G1803" s="40"/>
    </row>
    <row r="1804" spans="1:7" ht="12.75" hidden="1" customHeight="1">
      <c r="A1804" s="39" t="s">
        <v>40</v>
      </c>
      <c r="B1804" s="43"/>
      <c r="C1804" s="44">
        <f t="shared" si="81"/>
        <v>0</v>
      </c>
      <c r="D1804" s="44">
        <f t="shared" si="81"/>
        <v>0</v>
      </c>
      <c r="E1804" s="44">
        <f t="shared" si="81"/>
        <v>0</v>
      </c>
      <c r="F1804" s="44">
        <f t="shared" si="80"/>
        <v>0</v>
      </c>
      <c r="G1804" s="40"/>
    </row>
    <row r="1805" spans="1:7" ht="12.75" hidden="1" customHeight="1">
      <c r="A1805" s="39" t="s">
        <v>41</v>
      </c>
      <c r="B1805" s="43"/>
      <c r="C1805" s="44">
        <f t="shared" si="81"/>
        <v>0</v>
      </c>
      <c r="D1805" s="44">
        <f t="shared" si="81"/>
        <v>0</v>
      </c>
      <c r="E1805" s="44">
        <f t="shared" si="81"/>
        <v>0</v>
      </c>
      <c r="F1805" s="44">
        <f t="shared" si="80"/>
        <v>0</v>
      </c>
      <c r="G1805" s="40"/>
    </row>
    <row r="1806" spans="1:7" ht="12.75" hidden="1" customHeight="1">
      <c r="A1806" s="39" t="s">
        <v>309</v>
      </c>
      <c r="B1806" s="45"/>
      <c r="C1806" s="44">
        <f t="shared" si="81"/>
        <v>0</v>
      </c>
      <c r="D1806" s="44">
        <f t="shared" si="81"/>
        <v>0</v>
      </c>
      <c r="E1806" s="44">
        <f t="shared" si="81"/>
        <v>0</v>
      </c>
      <c r="F1806" s="44">
        <f t="shared" si="80"/>
        <v>0</v>
      </c>
      <c r="G1806" s="40"/>
    </row>
    <row r="1807" spans="1:7" ht="12.75" hidden="1" customHeight="1">
      <c r="A1807" s="39" t="s">
        <v>310</v>
      </c>
      <c r="B1807" s="45">
        <v>18.5</v>
      </c>
      <c r="C1807" s="66">
        <f t="shared" si="81"/>
        <v>33692.94627118644</v>
      </c>
      <c r="D1807" s="66">
        <f t="shared" si="81"/>
        <v>46814.891452784505</v>
      </c>
      <c r="E1807" s="66">
        <f t="shared" si="81"/>
        <v>25294.681791767554</v>
      </c>
      <c r="F1807" s="44">
        <f t="shared" si="80"/>
        <v>105802.51951573849</v>
      </c>
      <c r="G1807" s="40"/>
    </row>
    <row r="1808" spans="1:7" ht="12.75" hidden="1" customHeight="1">
      <c r="A1808" s="39" t="s">
        <v>311</v>
      </c>
      <c r="B1808" s="43"/>
      <c r="C1808" s="44">
        <f t="shared" si="81"/>
        <v>0</v>
      </c>
      <c r="D1808" s="44">
        <f t="shared" si="81"/>
        <v>0</v>
      </c>
      <c r="E1808" s="44">
        <f t="shared" si="81"/>
        <v>0</v>
      </c>
      <c r="F1808" s="44">
        <f t="shared" si="80"/>
        <v>0</v>
      </c>
      <c r="G1808" s="40"/>
    </row>
    <row r="1809" spans="1:7" ht="12.75" hidden="1" customHeight="1">
      <c r="A1809" s="39" t="s">
        <v>312</v>
      </c>
      <c r="B1809" s="43"/>
      <c r="C1809" s="44">
        <f t="shared" ref="C1809:E1815" si="82">B1809/B$1833*C$1833</f>
        <v>0</v>
      </c>
      <c r="D1809" s="44">
        <f t="shared" si="82"/>
        <v>0</v>
      </c>
      <c r="E1809" s="44">
        <f t="shared" si="82"/>
        <v>0</v>
      </c>
      <c r="F1809" s="44">
        <f t="shared" si="80"/>
        <v>0</v>
      </c>
      <c r="G1809" s="40"/>
    </row>
    <row r="1810" spans="1:7" ht="12.75" hidden="1" customHeight="1">
      <c r="A1810" s="39" t="s">
        <v>497</v>
      </c>
      <c r="B1810" s="45">
        <v>10</v>
      </c>
      <c r="C1810" s="66">
        <f t="shared" si="82"/>
        <v>18212.40338983051</v>
      </c>
      <c r="D1810" s="66">
        <f t="shared" si="82"/>
        <v>25305.346731234873</v>
      </c>
      <c r="E1810" s="66">
        <f t="shared" si="82"/>
        <v>13672.800968523004</v>
      </c>
      <c r="F1810" s="44">
        <f t="shared" si="80"/>
        <v>57190.551089588393</v>
      </c>
      <c r="G1810" s="40"/>
    </row>
    <row r="1811" spans="1:7" ht="12.75" hidden="1" customHeight="1">
      <c r="A1811" s="39" t="s">
        <v>314</v>
      </c>
      <c r="B1811" s="45"/>
      <c r="C1811" s="44">
        <f t="shared" si="82"/>
        <v>0</v>
      </c>
      <c r="D1811" s="44">
        <f t="shared" si="82"/>
        <v>0</v>
      </c>
      <c r="E1811" s="44">
        <f t="shared" si="82"/>
        <v>0</v>
      </c>
      <c r="F1811" s="44">
        <f t="shared" si="80"/>
        <v>0</v>
      </c>
      <c r="G1811" s="40"/>
    </row>
    <row r="1812" spans="1:7" ht="12.75" hidden="1" customHeight="1">
      <c r="A1812" s="39" t="s">
        <v>315</v>
      </c>
      <c r="B1812" s="43"/>
      <c r="C1812" s="44">
        <f t="shared" si="82"/>
        <v>0</v>
      </c>
      <c r="D1812" s="44">
        <f t="shared" si="82"/>
        <v>0</v>
      </c>
      <c r="E1812" s="44">
        <f t="shared" si="82"/>
        <v>0</v>
      </c>
      <c r="F1812" s="44">
        <f t="shared" si="80"/>
        <v>0</v>
      </c>
      <c r="G1812" s="40"/>
    </row>
    <row r="1813" spans="1:7" ht="12.75" hidden="1" customHeight="1">
      <c r="A1813" s="39" t="s">
        <v>316</v>
      </c>
      <c r="B1813" s="45"/>
      <c r="C1813" s="44">
        <f t="shared" si="82"/>
        <v>0</v>
      </c>
      <c r="D1813" s="44">
        <f t="shared" si="82"/>
        <v>0</v>
      </c>
      <c r="E1813" s="44">
        <f t="shared" si="82"/>
        <v>0</v>
      </c>
      <c r="F1813" s="44">
        <f t="shared" si="80"/>
        <v>0</v>
      </c>
      <c r="G1813" s="40"/>
    </row>
    <row r="1814" spans="1:7" ht="12.75" hidden="1" customHeight="1">
      <c r="A1814" s="39" t="s">
        <v>317</v>
      </c>
      <c r="B1814" s="45"/>
      <c r="C1814" s="44">
        <f t="shared" si="82"/>
        <v>0</v>
      </c>
      <c r="D1814" s="44">
        <f t="shared" si="82"/>
        <v>0</v>
      </c>
      <c r="E1814" s="44">
        <f t="shared" si="82"/>
        <v>0</v>
      </c>
      <c r="F1814" s="44">
        <f t="shared" si="80"/>
        <v>0</v>
      </c>
      <c r="G1814" s="40"/>
    </row>
    <row r="1815" spans="1:7" ht="12.75" hidden="1" customHeight="1">
      <c r="A1815" s="39" t="s">
        <v>318</v>
      </c>
      <c r="B1815" s="45">
        <v>12</v>
      </c>
      <c r="C1815" s="66">
        <f t="shared" si="82"/>
        <v>21854.884067796611</v>
      </c>
      <c r="D1815" s="66">
        <f t="shared" si="82"/>
        <v>30366.416077481845</v>
      </c>
      <c r="E1815" s="66">
        <f t="shared" si="82"/>
        <v>16407.361162227604</v>
      </c>
      <c r="F1815" s="44">
        <f t="shared" si="80"/>
        <v>68628.66130750606</v>
      </c>
      <c r="G1815" s="40"/>
    </row>
    <row r="1816" spans="1:7" ht="12.75" hidden="1" customHeight="1">
      <c r="A1816" s="46" t="s">
        <v>319</v>
      </c>
      <c r="B1816" s="45"/>
      <c r="C1816" s="44"/>
      <c r="D1816" s="44"/>
      <c r="E1816" s="44"/>
      <c r="F1816" s="44"/>
      <c r="G1816" s="40"/>
    </row>
    <row r="1817" spans="1:7" ht="12.75" hidden="1" customHeight="1">
      <c r="A1817" s="46" t="s">
        <v>320</v>
      </c>
      <c r="B1817" s="45"/>
      <c r="C1817" s="44"/>
      <c r="D1817" s="44"/>
      <c r="E1817" s="44"/>
      <c r="F1817" s="44"/>
      <c r="G1817" s="40"/>
    </row>
    <row r="1818" spans="1:7" ht="12.75" hidden="1" customHeight="1">
      <c r="A1818" s="46" t="s">
        <v>321</v>
      </c>
      <c r="B1818" s="45"/>
      <c r="C1818" s="44"/>
      <c r="D1818" s="44"/>
      <c r="E1818" s="44"/>
      <c r="F1818" s="44"/>
      <c r="G1818" s="40"/>
    </row>
    <row r="1819" spans="1:7" ht="12.75" hidden="1" customHeight="1">
      <c r="A1819" s="46" t="s">
        <v>322</v>
      </c>
      <c r="B1819" s="45"/>
      <c r="C1819" s="44"/>
      <c r="D1819" s="44"/>
      <c r="E1819" s="44"/>
      <c r="F1819" s="44"/>
      <c r="G1819" s="40"/>
    </row>
    <row r="1820" spans="1:7" ht="12.75" hidden="1" customHeight="1">
      <c r="A1820" s="46" t="s">
        <v>323</v>
      </c>
      <c r="B1820" s="45"/>
      <c r="C1820" s="44"/>
      <c r="D1820" s="44"/>
      <c r="E1820" s="44"/>
      <c r="F1820" s="44"/>
      <c r="G1820" s="40"/>
    </row>
    <row r="1821" spans="1:7" ht="12.75" hidden="1" customHeight="1">
      <c r="A1821" s="46" t="s">
        <v>324</v>
      </c>
      <c r="B1821" s="45"/>
      <c r="C1821" s="44"/>
      <c r="D1821" s="44"/>
      <c r="E1821" s="44"/>
      <c r="F1821" s="44"/>
      <c r="G1821" s="40"/>
    </row>
    <row r="1822" spans="1:7" ht="12.75" hidden="1" customHeight="1">
      <c r="A1822" s="46" t="s">
        <v>325</v>
      </c>
      <c r="B1822" s="45"/>
      <c r="C1822" s="44"/>
      <c r="D1822" s="44"/>
      <c r="E1822" s="44"/>
      <c r="F1822" s="44"/>
      <c r="G1822" s="40"/>
    </row>
    <row r="1823" spans="1:7" ht="12.75" hidden="1" customHeight="1">
      <c r="A1823" s="46" t="s">
        <v>326</v>
      </c>
      <c r="B1823" s="45"/>
      <c r="C1823" s="44"/>
      <c r="D1823" s="44"/>
      <c r="E1823" s="44"/>
      <c r="F1823" s="44"/>
      <c r="G1823" s="40"/>
    </row>
    <row r="1824" spans="1:7" ht="12.75" hidden="1" customHeight="1">
      <c r="A1824" s="46" t="s">
        <v>327</v>
      </c>
      <c r="B1824" s="45"/>
      <c r="C1824" s="44"/>
      <c r="D1824" s="44"/>
      <c r="E1824" s="44"/>
      <c r="F1824" s="44"/>
      <c r="G1824" s="40"/>
    </row>
    <row r="1825" spans="1:7" ht="12.75" hidden="1" customHeight="1">
      <c r="A1825" s="46" t="s">
        <v>328</v>
      </c>
      <c r="B1825" s="45"/>
      <c r="C1825" s="44"/>
      <c r="D1825" s="44"/>
      <c r="E1825" s="44"/>
      <c r="F1825" s="44"/>
      <c r="G1825" s="40"/>
    </row>
    <row r="1826" spans="1:7" ht="12.75" hidden="1" customHeight="1">
      <c r="A1826" s="46" t="s">
        <v>329</v>
      </c>
      <c r="B1826" s="47"/>
      <c r="C1826" s="44"/>
      <c r="D1826" s="44"/>
      <c r="E1826" s="44"/>
      <c r="F1826" s="44"/>
      <c r="G1826" s="40"/>
    </row>
    <row r="1827" spans="1:7" ht="12.75" hidden="1" customHeight="1">
      <c r="A1827" s="152" t="s">
        <v>490</v>
      </c>
      <c r="B1827" s="176"/>
      <c r="C1827" s="44"/>
      <c r="D1827" s="44"/>
      <c r="E1827" s="44"/>
      <c r="F1827" s="44"/>
      <c r="G1827" s="40"/>
    </row>
    <row r="1828" spans="1:7" ht="12.75" hidden="1" customHeight="1">
      <c r="A1828" s="152" t="s">
        <v>493</v>
      </c>
      <c r="B1828" s="176"/>
      <c r="C1828" s="44"/>
      <c r="D1828" s="44"/>
      <c r="E1828" s="44"/>
      <c r="F1828" s="44"/>
      <c r="G1828" s="40"/>
    </row>
    <row r="1829" spans="1:7" ht="12.75" hidden="1" customHeight="1">
      <c r="A1829" s="152" t="s">
        <v>495</v>
      </c>
      <c r="B1829" s="176"/>
      <c r="C1829" s="44"/>
      <c r="D1829" s="44"/>
      <c r="E1829" s="44"/>
      <c r="F1829" s="44"/>
      <c r="G1829" s="40"/>
    </row>
    <row r="1830" spans="1:7" ht="12.75" hidden="1" customHeight="1">
      <c r="A1830" s="152" t="s">
        <v>496</v>
      </c>
      <c r="B1830" s="176"/>
      <c r="C1830" s="44"/>
      <c r="D1830" s="44"/>
      <c r="E1830" s="44"/>
      <c r="F1830" s="44"/>
      <c r="G1830" s="40"/>
    </row>
    <row r="1831" spans="1:7" ht="12.75" hidden="1" customHeight="1">
      <c r="A1831" s="152" t="s">
        <v>498</v>
      </c>
      <c r="B1831" s="176"/>
      <c r="C1831" s="44"/>
      <c r="D1831" s="44"/>
      <c r="E1831" s="44"/>
      <c r="F1831" s="44"/>
      <c r="G1831" s="40"/>
    </row>
    <row r="1832" spans="1:7" ht="12.75" hidden="1" customHeight="1">
      <c r="A1832" s="46" t="s">
        <v>330</v>
      </c>
      <c r="B1832" s="47"/>
      <c r="C1832" s="44"/>
      <c r="D1832" s="44"/>
      <c r="E1832" s="44"/>
      <c r="F1832" s="44"/>
      <c r="G1832" s="40"/>
    </row>
    <row r="1833" spans="1:7" ht="12.75" hidden="1" customHeight="1">
      <c r="A1833" s="48" t="s">
        <v>150</v>
      </c>
      <c r="B1833" s="48">
        <f>SUM(B1769:B1832)</f>
        <v>206.5</v>
      </c>
      <c r="C1833" s="49">
        <v>376086.13</v>
      </c>
      <c r="D1833" s="50">
        <f>73659.7+15149.6+38459.5+324127.95+71158.66</f>
        <v>522555.41000000003</v>
      </c>
      <c r="E1833" s="50">
        <f>282343.34</f>
        <v>282343.34000000003</v>
      </c>
      <c r="F1833" s="50">
        <f>SUM(C1833:E1833)</f>
        <v>1180984.8800000001</v>
      </c>
      <c r="G1833" s="40"/>
    </row>
    <row r="1834" spans="1:7" ht="12.75" hidden="1" customHeight="1">
      <c r="A1834" s="182"/>
    </row>
    <row r="1835" spans="1:7" ht="12.75" hidden="1" customHeight="1"/>
    <row r="1836" spans="1:7" ht="12.75" hidden="1" customHeight="1">
      <c r="A1836" s="77" t="s">
        <v>540</v>
      </c>
      <c r="B1836" s="39"/>
      <c r="C1836" s="78"/>
      <c r="D1836" s="78"/>
      <c r="E1836" s="78"/>
      <c r="F1836" s="78"/>
      <c r="G1836" s="40"/>
    </row>
    <row r="1837" spans="1:7" ht="12.75" hidden="1" customHeight="1">
      <c r="A1837" s="80" t="s">
        <v>337</v>
      </c>
      <c r="B1837" s="43" t="s">
        <v>87</v>
      </c>
      <c r="C1837" s="78" t="s">
        <v>338</v>
      </c>
      <c r="D1837" s="78" t="s">
        <v>339</v>
      </c>
      <c r="E1837" s="78" t="s">
        <v>340</v>
      </c>
      <c r="F1837" s="78" t="s">
        <v>341</v>
      </c>
      <c r="G1837" s="40"/>
    </row>
    <row r="1838" spans="1:7" ht="12.75" hidden="1" customHeight="1">
      <c r="A1838" s="80" t="s">
        <v>0</v>
      </c>
      <c r="B1838" s="81"/>
      <c r="C1838" s="81"/>
      <c r="D1838" s="81"/>
      <c r="E1838" s="81"/>
      <c r="F1838" s="81"/>
      <c r="G1838" s="40"/>
    </row>
    <row r="1839" spans="1:7" ht="12.75" hidden="1" customHeight="1">
      <c r="A1839" s="80" t="s">
        <v>342</v>
      </c>
      <c r="B1839" s="81"/>
      <c r="C1839" s="81"/>
      <c r="D1839" s="81"/>
      <c r="E1839" s="81"/>
      <c r="F1839" s="81"/>
      <c r="G1839" s="40"/>
    </row>
    <row r="1840" spans="1:7" ht="12.75" hidden="1" customHeight="1">
      <c r="A1840" s="80" t="s">
        <v>343</v>
      </c>
      <c r="B1840" s="81"/>
      <c r="C1840" s="81"/>
      <c r="D1840" s="81"/>
      <c r="E1840" s="81"/>
      <c r="F1840" s="81"/>
      <c r="G1840" s="40"/>
    </row>
    <row r="1841" spans="1:7" ht="12.75" hidden="1" customHeight="1">
      <c r="A1841" s="80" t="s">
        <v>344</v>
      </c>
      <c r="B1841" s="81"/>
      <c r="C1841" s="81"/>
      <c r="D1841" s="81"/>
      <c r="E1841" s="81"/>
      <c r="F1841" s="81"/>
      <c r="G1841" s="40"/>
    </row>
    <row r="1842" spans="1:7" ht="12.75" hidden="1" customHeight="1">
      <c r="A1842" s="80" t="s">
        <v>345</v>
      </c>
      <c r="B1842" s="81"/>
      <c r="C1842" s="81"/>
      <c r="D1842" s="81"/>
      <c r="E1842" s="81"/>
      <c r="F1842" s="81"/>
      <c r="G1842" s="40"/>
    </row>
    <row r="1843" spans="1:7" ht="14.25" hidden="1" customHeight="1">
      <c r="A1843" s="77" t="s">
        <v>346</v>
      </c>
      <c r="B1843" s="128"/>
      <c r="C1843" s="82"/>
      <c r="D1843" s="82"/>
      <c r="E1843" s="82"/>
      <c r="F1843" s="82"/>
      <c r="G1843" s="40"/>
    </row>
    <row r="1844" spans="1:7" ht="14.25" hidden="1" customHeight="1">
      <c r="A1844" s="177"/>
      <c r="B1844" s="178"/>
      <c r="C1844" s="179"/>
      <c r="D1844" s="179"/>
      <c r="E1844" s="179"/>
      <c r="F1844" s="179"/>
      <c r="G1844" s="40"/>
    </row>
    <row r="1845" spans="1:7" ht="12.75" hidden="1" customHeight="1">
      <c r="A1845" s="270"/>
      <c r="B1845" s="271"/>
      <c r="C1845" s="271"/>
      <c r="D1845" s="271"/>
      <c r="E1845" s="271"/>
      <c r="F1845" s="271"/>
      <c r="G1845" s="40"/>
    </row>
    <row r="1846" spans="1:7" ht="12.75" hidden="1" customHeight="1">
      <c r="A1846" s="83"/>
      <c r="B1846" s="84"/>
      <c r="C1846" s="40"/>
      <c r="D1846" s="40"/>
      <c r="E1846" s="41"/>
      <c r="F1846" s="40"/>
      <c r="G1846" s="40"/>
    </row>
    <row r="1847" spans="1:7" ht="12.75" hidden="1" customHeight="1">
      <c r="A1847" s="85"/>
      <c r="B1847" s="84"/>
      <c r="C1847" s="40"/>
      <c r="D1847" s="40"/>
      <c r="E1847" s="41"/>
      <c r="F1847" s="40"/>
      <c r="G1847" s="40"/>
    </row>
    <row r="1848" spans="1:7" ht="12.75" hidden="1" customHeight="1">
      <c r="A1848" s="77"/>
      <c r="B1848" s="82"/>
      <c r="C1848" s="82"/>
      <c r="D1848" s="82"/>
      <c r="E1848" s="82"/>
      <c r="F1848" s="82"/>
      <c r="G1848" s="40"/>
    </row>
    <row r="1849" spans="1:7" ht="12.75" hidden="1" customHeight="1">
      <c r="A1849" s="77" t="s">
        <v>541</v>
      </c>
      <c r="B1849" s="43" t="s">
        <v>87</v>
      </c>
      <c r="C1849" s="86" t="s">
        <v>88</v>
      </c>
      <c r="D1849" s="86" t="s">
        <v>89</v>
      </c>
      <c r="E1849" s="86" t="s">
        <v>90</v>
      </c>
      <c r="F1849" s="86" t="s">
        <v>91</v>
      </c>
      <c r="G1849" s="40"/>
    </row>
    <row r="1850" spans="1:7" ht="12.75" hidden="1" customHeight="1">
      <c r="A1850" s="87" t="s">
        <v>349</v>
      </c>
      <c r="B1850" s="88"/>
      <c r="C1850" s="88"/>
      <c r="D1850" s="88"/>
      <c r="E1850" s="88"/>
      <c r="F1850" s="88"/>
      <c r="G1850" s="40"/>
    </row>
    <row r="1851" spans="1:7" ht="12.75" hidden="1" customHeight="1">
      <c r="A1851" s="87" t="s">
        <v>350</v>
      </c>
      <c r="B1851" s="88">
        <f>20*48</f>
        <v>960</v>
      </c>
      <c r="C1851" s="88">
        <f t="shared" ref="C1851:E1855" si="83">B1851/B$1860*C$1860</f>
        <v>192482.31096774191</v>
      </c>
      <c r="D1851" s="88">
        <f t="shared" si="83"/>
        <v>94160.562580645157</v>
      </c>
      <c r="E1851" s="88">
        <f t="shared" si="83"/>
        <v>145686.6929032258</v>
      </c>
      <c r="F1851" s="88">
        <f>SUM(C1851:E1851)</f>
        <v>432329.56645161286</v>
      </c>
      <c r="G1851" s="40"/>
    </row>
    <row r="1852" spans="1:7" ht="12.75" hidden="1" customHeight="1">
      <c r="A1852" s="87" t="s">
        <v>351</v>
      </c>
      <c r="B1852" s="88">
        <f>30*48</f>
        <v>1440</v>
      </c>
      <c r="C1852" s="88">
        <f t="shared" si="83"/>
        <v>288723.46645161288</v>
      </c>
      <c r="D1852" s="88">
        <f t="shared" si="83"/>
        <v>141240.84387096774</v>
      </c>
      <c r="E1852" s="88">
        <f t="shared" si="83"/>
        <v>218530.03935483872</v>
      </c>
      <c r="F1852" s="88">
        <f t="shared" ref="F1852:F1859" si="84">SUM(C1852:E1852)</f>
        <v>648494.34967741929</v>
      </c>
      <c r="G1852" s="40"/>
    </row>
    <row r="1853" spans="1:7" ht="12.75" hidden="1" customHeight="1">
      <c r="A1853" s="87" t="s">
        <v>352</v>
      </c>
      <c r="B1853" s="57"/>
      <c r="C1853" s="88">
        <f t="shared" si="83"/>
        <v>0</v>
      </c>
      <c r="D1853" s="88">
        <f t="shared" si="83"/>
        <v>0</v>
      </c>
      <c r="E1853" s="88">
        <f t="shared" si="83"/>
        <v>0</v>
      </c>
      <c r="F1853" s="88">
        <f t="shared" si="84"/>
        <v>0</v>
      </c>
      <c r="G1853" s="40"/>
    </row>
    <row r="1854" spans="1:7" ht="12.75" hidden="1" customHeight="1">
      <c r="A1854" s="87" t="s">
        <v>556</v>
      </c>
      <c r="B1854" s="88">
        <f>16*2</f>
        <v>32</v>
      </c>
      <c r="C1854" s="88">
        <f t="shared" si="83"/>
        <v>6416.0770322580638</v>
      </c>
      <c r="D1854" s="88">
        <f t="shared" si="83"/>
        <v>3138.6854193548388</v>
      </c>
      <c r="E1854" s="88">
        <f t="shared" si="83"/>
        <v>4856.2230967741934</v>
      </c>
      <c r="F1854" s="88">
        <f t="shared" si="84"/>
        <v>14410.985548387096</v>
      </c>
      <c r="G1854" s="40"/>
    </row>
    <row r="1855" spans="1:7" ht="12.75" hidden="1" customHeight="1">
      <c r="A1855" s="87" t="s">
        <v>354</v>
      </c>
      <c r="B1855" s="88">
        <f>48</f>
        <v>48</v>
      </c>
      <c r="C1855" s="88">
        <f t="shared" si="83"/>
        <v>9624.1155483870971</v>
      </c>
      <c r="D1855" s="88">
        <f t="shared" si="83"/>
        <v>4708.0281290322582</v>
      </c>
      <c r="E1855" s="88">
        <f t="shared" si="83"/>
        <v>7284.3346451612906</v>
      </c>
      <c r="F1855" s="88">
        <f t="shared" si="84"/>
        <v>21616.478322580646</v>
      </c>
      <c r="G1855" s="40"/>
    </row>
    <row r="1856" spans="1:7" ht="12.75" hidden="1" customHeight="1">
      <c r="A1856" s="87" t="s">
        <v>355</v>
      </c>
      <c r="B1856" s="88"/>
      <c r="C1856" s="88"/>
      <c r="D1856" s="88"/>
      <c r="E1856" s="88"/>
      <c r="F1856" s="88">
        <f t="shared" si="84"/>
        <v>0</v>
      </c>
      <c r="G1856" s="40"/>
    </row>
    <row r="1857" spans="1:7" ht="12.75" hidden="1" customHeight="1">
      <c r="A1857" s="87" t="s">
        <v>356</v>
      </c>
      <c r="B1857" s="88"/>
      <c r="C1857" s="88"/>
      <c r="D1857" s="88"/>
      <c r="E1857" s="88"/>
      <c r="F1857" s="88">
        <f t="shared" si="84"/>
        <v>0</v>
      </c>
      <c r="G1857" s="40"/>
    </row>
    <row r="1858" spans="1:7" ht="12.75" hidden="1" customHeight="1">
      <c r="A1858" s="87" t="s">
        <v>357</v>
      </c>
      <c r="B1858" s="57"/>
      <c r="C1858" s="88"/>
      <c r="D1858" s="88"/>
      <c r="E1858" s="88"/>
      <c r="F1858" s="88">
        <f t="shared" si="84"/>
        <v>0</v>
      </c>
      <c r="G1858" s="40"/>
    </row>
    <row r="1859" spans="1:7" ht="12.75" hidden="1" customHeight="1">
      <c r="A1859" s="87" t="s">
        <v>243</v>
      </c>
      <c r="B1859" s="57"/>
      <c r="C1859" s="88"/>
      <c r="D1859" s="88"/>
      <c r="E1859" s="88"/>
      <c r="F1859" s="88">
        <f t="shared" si="84"/>
        <v>0</v>
      </c>
      <c r="G1859" s="40"/>
    </row>
    <row r="1860" spans="1:7" ht="12.75" hidden="1" customHeight="1">
      <c r="A1860" s="77" t="s">
        <v>346</v>
      </c>
      <c r="B1860" s="82">
        <f>SUM(B1851:B1855)</f>
        <v>2480</v>
      </c>
      <c r="C1860" s="82">
        <f>497245.97</f>
        <v>497245.97</v>
      </c>
      <c r="D1860" s="82">
        <f>12424.4+54166.8+14413.92+101832.2+60410.8</f>
        <v>243248.12</v>
      </c>
      <c r="E1860" s="82">
        <f>376357.29</f>
        <v>376357.29</v>
      </c>
      <c r="F1860" s="82">
        <f>SUM(C1860:E1860)</f>
        <v>1116851.3799999999</v>
      </c>
      <c r="G1860" s="40"/>
    </row>
    <row r="1861" spans="1:7" ht="12.75" hidden="1" customHeight="1">
      <c r="A1861" s="85" t="s">
        <v>557</v>
      </c>
      <c r="B1861" s="84"/>
      <c r="C1861" s="84"/>
      <c r="D1861" s="84"/>
      <c r="E1861" s="84"/>
      <c r="F1861" s="84"/>
      <c r="G1861" s="90"/>
    </row>
    <row r="1862" spans="1:7" ht="12.75" hidden="1" customHeight="1">
      <c r="A1862" s="85"/>
      <c r="B1862" s="84"/>
      <c r="C1862" s="84"/>
      <c r="D1862" s="84"/>
      <c r="E1862" s="84"/>
      <c r="F1862" s="84"/>
      <c r="G1862" s="90"/>
    </row>
    <row r="1863" spans="1:7" ht="12.75" hidden="1" customHeight="1">
      <c r="A1863" s="91"/>
      <c r="B1863" s="84"/>
      <c r="C1863" s="84">
        <f>C1854+C1855</f>
        <v>16040.192580645162</v>
      </c>
      <c r="D1863" s="84">
        <f>D1854+D1855</f>
        <v>7846.713548387097</v>
      </c>
      <c r="E1863" s="84">
        <f>E1854+E1855</f>
        <v>12140.557741935485</v>
      </c>
      <c r="F1863" s="84"/>
      <c r="G1863" s="90"/>
    </row>
    <row r="1864" spans="1:7" ht="12.75" hidden="1" customHeight="1">
      <c r="A1864" s="91"/>
      <c r="B1864" s="84"/>
      <c r="C1864" s="84"/>
      <c r="D1864" s="84"/>
      <c r="E1864" s="84"/>
      <c r="F1864" s="84"/>
      <c r="G1864" s="40"/>
    </row>
    <row r="1865" spans="1:7" ht="12.75" hidden="1" customHeight="1">
      <c r="A1865" s="83"/>
      <c r="B1865" s="92"/>
      <c r="C1865" s="92"/>
      <c r="D1865" s="92"/>
      <c r="E1865" s="92"/>
      <c r="F1865" s="92"/>
      <c r="G1865" s="40"/>
    </row>
    <row r="1866" spans="1:7" ht="12.75" hidden="1" customHeight="1">
      <c r="A1866" s="77" t="s">
        <v>542</v>
      </c>
      <c r="B1866" s="43" t="s">
        <v>87</v>
      </c>
      <c r="C1866" s="78" t="s">
        <v>338</v>
      </c>
      <c r="D1866" s="78" t="s">
        <v>339</v>
      </c>
      <c r="E1866" s="78" t="s">
        <v>340</v>
      </c>
      <c r="F1866" s="78" t="s">
        <v>341</v>
      </c>
      <c r="G1866" s="40"/>
    </row>
    <row r="1867" spans="1:7" ht="12.75" hidden="1" customHeight="1">
      <c r="A1867" s="80" t="s">
        <v>361</v>
      </c>
      <c r="B1867" s="93"/>
      <c r="C1867" s="94"/>
      <c r="D1867" s="94"/>
      <c r="E1867" s="94"/>
      <c r="F1867" s="94"/>
      <c r="G1867" s="40"/>
    </row>
    <row r="1868" spans="1:7" ht="12.75" hidden="1" customHeight="1">
      <c r="A1868" s="80" t="s">
        <v>362</v>
      </c>
      <c r="B1868" s="93"/>
      <c r="C1868" s="94"/>
      <c r="D1868" s="94"/>
      <c r="E1868" s="94"/>
      <c r="F1868" s="94"/>
      <c r="G1868" s="40"/>
    </row>
    <row r="1869" spans="1:7" ht="12.75" hidden="1" customHeight="1">
      <c r="A1869" s="80" t="s">
        <v>363</v>
      </c>
      <c r="B1869" s="93"/>
      <c r="C1869" s="94"/>
      <c r="D1869" s="94"/>
      <c r="E1869" s="94"/>
      <c r="F1869" s="94"/>
      <c r="G1869" s="40"/>
    </row>
    <row r="1870" spans="1:7" ht="12.75" hidden="1" customHeight="1">
      <c r="A1870" s="80" t="s">
        <v>364</v>
      </c>
      <c r="B1870" s="93"/>
      <c r="C1870" s="94"/>
      <c r="D1870" s="94"/>
      <c r="E1870" s="94"/>
      <c r="F1870" s="94"/>
      <c r="G1870" s="40"/>
    </row>
    <row r="1871" spans="1:7" ht="12.75" hidden="1" customHeight="1">
      <c r="A1871" s="80" t="s">
        <v>365</v>
      </c>
      <c r="B1871" s="93"/>
      <c r="C1871" s="94"/>
      <c r="D1871" s="94"/>
      <c r="E1871" s="94"/>
      <c r="F1871" s="94"/>
      <c r="G1871" s="40"/>
    </row>
    <row r="1872" spans="1:7" ht="12.75" hidden="1" customHeight="1">
      <c r="A1872" s="80" t="s">
        <v>366</v>
      </c>
      <c r="B1872" s="93"/>
      <c r="C1872" s="94"/>
      <c r="D1872" s="94"/>
      <c r="E1872" s="94"/>
      <c r="F1872" s="94"/>
      <c r="G1872" s="40"/>
    </row>
    <row r="1873" spans="1:7" ht="12.75" hidden="1" customHeight="1">
      <c r="A1873" s="80" t="s">
        <v>367</v>
      </c>
      <c r="B1873" s="93"/>
      <c r="C1873" s="94"/>
      <c r="D1873" s="94"/>
      <c r="E1873" s="94"/>
      <c r="F1873" s="94"/>
      <c r="G1873" s="40"/>
    </row>
    <row r="1874" spans="1:7" ht="12.75" hidden="1" customHeight="1">
      <c r="A1874" s="80" t="s">
        <v>368</v>
      </c>
      <c r="B1874" s="40"/>
      <c r="C1874" s="94"/>
      <c r="D1874" s="94"/>
      <c r="E1874" s="94"/>
      <c r="F1874" s="94"/>
      <c r="G1874" s="40"/>
    </row>
    <row r="1875" spans="1:7" ht="12.75" hidden="1" customHeight="1">
      <c r="A1875" s="80" t="s">
        <v>369</v>
      </c>
      <c r="B1875" s="93"/>
      <c r="C1875" s="94"/>
      <c r="D1875" s="94"/>
      <c r="E1875" s="94"/>
      <c r="F1875" s="94"/>
      <c r="G1875" s="40"/>
    </row>
    <row r="1876" spans="1:7" ht="12.75" hidden="1" customHeight="1">
      <c r="A1876" s="80" t="s">
        <v>370</v>
      </c>
      <c r="B1876" s="93"/>
      <c r="C1876" s="94">
        <v>6527.81</v>
      </c>
      <c r="D1876" s="94">
        <v>1785.2186666666666</v>
      </c>
      <c r="E1876" s="94">
        <v>7644.992666666667</v>
      </c>
      <c r="F1876" s="94">
        <f>SUM(C1876:E1876)</f>
        <v>15958.021333333334</v>
      </c>
      <c r="G1876" s="40"/>
    </row>
    <row r="1877" spans="1:7" ht="12.75" hidden="1" customHeight="1">
      <c r="A1877" s="80" t="s">
        <v>554</v>
      </c>
      <c r="B1877" s="93"/>
      <c r="C1877" s="94"/>
      <c r="D1877" s="94">
        <v>24993.061333333331</v>
      </c>
      <c r="E1877" s="94"/>
      <c r="F1877" s="94">
        <f>SUM(C1877:E1877)</f>
        <v>24993.061333333331</v>
      </c>
      <c r="G1877" s="40"/>
    </row>
    <row r="1878" spans="1:7" ht="12.75" hidden="1" customHeight="1">
      <c r="A1878" s="80" t="s">
        <v>371</v>
      </c>
      <c r="B1878" s="93"/>
      <c r="C1878" s="94"/>
      <c r="D1878" s="94"/>
      <c r="E1878" s="94">
        <v>51471.177333333333</v>
      </c>
      <c r="F1878" s="94">
        <f>SUM(C1878:E1878)</f>
        <v>51471.177333333333</v>
      </c>
      <c r="G1878" s="40"/>
    </row>
    <row r="1879" spans="1:7" ht="12.75" hidden="1" customHeight="1">
      <c r="A1879" s="77" t="s">
        <v>346</v>
      </c>
      <c r="B1879" s="95"/>
      <c r="C1879" s="96">
        <v>6527.81</v>
      </c>
      <c r="D1879" s="96">
        <v>26778.28</v>
      </c>
      <c r="E1879" s="96">
        <v>59116.17</v>
      </c>
      <c r="F1879" s="97">
        <f>SUM(C1879:E1879)</f>
        <v>92422.26</v>
      </c>
      <c r="G1879" s="40"/>
    </row>
    <row r="1880" spans="1:7" ht="12.75" hidden="1" customHeight="1">
      <c r="A1880" s="140" t="s">
        <v>555</v>
      </c>
      <c r="B1880" s="99"/>
      <c r="C1880" s="100"/>
      <c r="D1880" s="100"/>
      <c r="E1880" s="100"/>
      <c r="F1880" s="100"/>
      <c r="G1880" s="40"/>
    </row>
    <row r="1881" spans="1:7" ht="12.75" hidden="1" customHeight="1">
      <c r="A1881" s="98"/>
      <c r="B1881" s="99"/>
      <c r="C1881" s="100"/>
      <c r="D1881" s="100"/>
      <c r="E1881" s="100"/>
      <c r="F1881" s="100"/>
      <c r="G1881" s="40"/>
    </row>
    <row r="1882" spans="1:7" ht="12.75" hidden="1" customHeight="1">
      <c r="A1882" s="98"/>
      <c r="B1882" s="99"/>
      <c r="C1882" s="100"/>
      <c r="D1882" s="115"/>
      <c r="E1882" s="115"/>
      <c r="F1882" s="100"/>
      <c r="G1882" s="40"/>
    </row>
    <row r="1883" spans="1:7" ht="12.75" hidden="1" customHeight="1">
      <c r="A1883" s="101"/>
      <c r="B1883" s="92"/>
      <c r="C1883" s="92"/>
      <c r="D1883" s="115"/>
      <c r="E1883" s="116"/>
      <c r="F1883" s="92"/>
      <c r="G1883" s="40"/>
    </row>
    <row r="1884" spans="1:7" ht="12.75" hidden="1" customHeight="1">
      <c r="A1884" s="101"/>
      <c r="B1884" s="92"/>
      <c r="C1884" s="92"/>
      <c r="D1884" s="92"/>
      <c r="E1884" s="92"/>
      <c r="F1884" s="92"/>
      <c r="G1884" s="40"/>
    </row>
    <row r="1885" spans="1:7" ht="12.75" hidden="1" customHeight="1">
      <c r="A1885" s="101"/>
      <c r="B1885" s="92"/>
      <c r="C1885" s="92"/>
      <c r="D1885" s="92"/>
      <c r="E1885" s="92"/>
      <c r="F1885" s="92"/>
      <c r="G1885" s="40"/>
    </row>
    <row r="1886" spans="1:7" ht="12.75" hidden="1" customHeight="1">
      <c r="A1886" s="77" t="s">
        <v>543</v>
      </c>
      <c r="B1886" s="43" t="s">
        <v>87</v>
      </c>
      <c r="C1886" s="78" t="s">
        <v>338</v>
      </c>
      <c r="D1886" s="78" t="s">
        <v>339</v>
      </c>
      <c r="E1886" s="78" t="s">
        <v>340</v>
      </c>
      <c r="F1886" s="78" t="s">
        <v>341</v>
      </c>
      <c r="G1886" s="40"/>
    </row>
    <row r="1887" spans="1:7" ht="12.75" hidden="1" customHeight="1">
      <c r="A1887" s="87" t="s">
        <v>481</v>
      </c>
      <c r="B1887" s="42"/>
      <c r="C1887" s="112"/>
      <c r="D1887" s="112"/>
      <c r="E1887" s="112"/>
      <c r="F1887" s="112"/>
      <c r="G1887" s="40"/>
    </row>
    <row r="1888" spans="1:7" ht="12.75" hidden="1" customHeight="1">
      <c r="A1888" s="87" t="s">
        <v>482</v>
      </c>
      <c r="B1888" s="42"/>
      <c r="C1888" s="112"/>
      <c r="D1888" s="112"/>
      <c r="E1888" s="112"/>
      <c r="F1888" s="112"/>
      <c r="G1888" s="40"/>
    </row>
    <row r="1889" spans="1:7" ht="12.75" hidden="1" customHeight="1">
      <c r="A1889" s="87" t="s">
        <v>451</v>
      </c>
      <c r="B1889" s="42"/>
      <c r="C1889" s="112"/>
      <c r="D1889" s="112"/>
      <c r="E1889" s="112"/>
      <c r="F1889" s="112"/>
      <c r="G1889" s="40"/>
    </row>
    <row r="1890" spans="1:7" ht="12.75" hidden="1" customHeight="1">
      <c r="A1890" s="87" t="s">
        <v>452</v>
      </c>
      <c r="B1890" s="42"/>
      <c r="C1890" s="112"/>
      <c r="D1890" s="112"/>
      <c r="E1890" s="112"/>
      <c r="F1890" s="112"/>
      <c r="G1890" s="40"/>
    </row>
    <row r="1891" spans="1:7" ht="12.75" hidden="1" customHeight="1">
      <c r="A1891" s="87" t="s">
        <v>453</v>
      </c>
      <c r="B1891" s="42"/>
      <c r="C1891" s="112"/>
      <c r="D1891" s="112"/>
      <c r="E1891" s="112"/>
      <c r="F1891" s="112"/>
      <c r="G1891" s="40"/>
    </row>
    <row r="1892" spans="1:7" ht="12.75" hidden="1" customHeight="1">
      <c r="A1892" s="87" t="s">
        <v>454</v>
      </c>
      <c r="B1892" s="42"/>
      <c r="C1892" s="112"/>
      <c r="D1892" s="112"/>
      <c r="E1892" s="112"/>
      <c r="F1892" s="112"/>
      <c r="G1892" s="40"/>
    </row>
    <row r="1893" spans="1:7" ht="12.75" hidden="1" customHeight="1">
      <c r="A1893" s="87" t="s">
        <v>455</v>
      </c>
      <c r="B1893" s="42"/>
      <c r="C1893" s="112">
        <v>75676.72</v>
      </c>
      <c r="D1893" s="112">
        <v>0</v>
      </c>
      <c r="E1893" s="112">
        <v>72918.67</v>
      </c>
      <c r="F1893" s="112">
        <f t="shared" ref="F1893:F1898" si="85">SUM(C1893:E1893)</f>
        <v>148595.39000000001</v>
      </c>
      <c r="G1893" s="40"/>
    </row>
    <row r="1894" spans="1:7" ht="12.75" hidden="1" customHeight="1">
      <c r="A1894" s="87" t="s">
        <v>456</v>
      </c>
      <c r="B1894" s="93"/>
      <c r="C1894" s="112"/>
      <c r="D1894" s="112"/>
      <c r="E1894" s="112"/>
      <c r="F1894" s="112">
        <f t="shared" si="85"/>
        <v>0</v>
      </c>
      <c r="G1894" s="40"/>
    </row>
    <row r="1895" spans="1:7" ht="12.75" hidden="1" customHeight="1">
      <c r="A1895" s="87" t="s">
        <v>457</v>
      </c>
      <c r="B1895" s="93"/>
      <c r="C1895" s="112"/>
      <c r="D1895" s="112"/>
      <c r="E1895" s="112"/>
      <c r="F1895" s="112">
        <f t="shared" si="85"/>
        <v>0</v>
      </c>
      <c r="G1895" s="40"/>
    </row>
    <row r="1896" spans="1:7" ht="12.75" hidden="1" customHeight="1">
      <c r="A1896" s="87" t="s">
        <v>458</v>
      </c>
      <c r="B1896" s="93"/>
      <c r="C1896" s="112"/>
      <c r="D1896" s="112"/>
      <c r="E1896" s="112"/>
      <c r="F1896" s="112">
        <f t="shared" si="85"/>
        <v>0</v>
      </c>
      <c r="G1896" s="40"/>
    </row>
    <row r="1897" spans="1:7" ht="12.75" hidden="1" customHeight="1">
      <c r="A1897" s="111" t="s">
        <v>480</v>
      </c>
      <c r="B1897" s="93"/>
      <c r="C1897" s="112"/>
      <c r="D1897" s="112"/>
      <c r="E1897" s="112"/>
      <c r="F1897" s="112">
        <f t="shared" si="85"/>
        <v>0</v>
      </c>
      <c r="G1897" s="40"/>
    </row>
    <row r="1898" spans="1:7" ht="12.75" hidden="1" customHeight="1">
      <c r="A1898" s="77" t="s">
        <v>346</v>
      </c>
      <c r="B1898" s="95"/>
      <c r="C1898" s="108">
        <v>75676.72</v>
      </c>
      <c r="D1898" s="108">
        <v>0</v>
      </c>
      <c r="E1898" s="108">
        <v>72918.67</v>
      </c>
      <c r="F1898" s="112">
        <f t="shared" si="85"/>
        <v>148595.39000000001</v>
      </c>
      <c r="G1898" s="40"/>
    </row>
    <row r="1899" spans="1:7" ht="12.75" hidden="1" customHeight="1">
      <c r="A1899" s="114"/>
      <c r="B1899" s="103"/>
      <c r="C1899" s="104"/>
      <c r="D1899" s="104"/>
      <c r="E1899" s="104"/>
      <c r="F1899" s="104"/>
      <c r="G1899" s="40"/>
    </row>
    <row r="1900" spans="1:7" ht="12.75" hidden="1" customHeight="1">
      <c r="A1900" s="114"/>
      <c r="B1900" s="103"/>
      <c r="C1900" s="104"/>
      <c r="D1900" s="104"/>
      <c r="E1900" s="104"/>
      <c r="F1900" s="104"/>
      <c r="G1900" s="40"/>
    </row>
    <row r="1901" spans="1:7" ht="12.75" hidden="1" customHeight="1">
      <c r="A1901" s="114"/>
      <c r="B1901" s="103"/>
      <c r="C1901" s="104"/>
      <c r="D1901" s="104"/>
      <c r="E1901" s="104"/>
      <c r="F1901" s="104"/>
      <c r="G1901" s="40"/>
    </row>
    <row r="1902" spans="1:7" ht="12.75" hidden="1" customHeight="1">
      <c r="A1902" s="269" t="s">
        <v>544</v>
      </c>
      <c r="B1902" s="269"/>
      <c r="C1902" s="269"/>
      <c r="D1902" s="269"/>
      <c r="E1902" s="269"/>
      <c r="F1902" s="269"/>
      <c r="G1902" s="40"/>
    </row>
    <row r="1903" spans="1:7" ht="12.75" hidden="1" customHeight="1">
      <c r="A1903" s="42" t="s">
        <v>86</v>
      </c>
      <c r="B1903" s="43" t="s">
        <v>87</v>
      </c>
      <c r="C1903" s="43" t="s">
        <v>88</v>
      </c>
      <c r="D1903" s="43" t="s">
        <v>89</v>
      </c>
      <c r="E1903" s="43" t="s">
        <v>90</v>
      </c>
      <c r="F1903" s="43" t="s">
        <v>91</v>
      </c>
      <c r="G1903" s="40"/>
    </row>
    <row r="1904" spans="1:7" ht="12.75" hidden="1" customHeight="1">
      <c r="A1904" s="39" t="s">
        <v>1</v>
      </c>
      <c r="B1904" s="167"/>
      <c r="C1904" s="168"/>
      <c r="D1904" s="168"/>
      <c r="E1904" s="168"/>
      <c r="F1904" s="168"/>
      <c r="G1904" s="40"/>
    </row>
    <row r="1905" spans="1:7" ht="12.75" hidden="1" customHeight="1">
      <c r="A1905" s="39" t="s">
        <v>2</v>
      </c>
      <c r="B1905" s="43"/>
      <c r="C1905" s="44"/>
      <c r="D1905" s="44"/>
      <c r="E1905" s="44"/>
      <c r="F1905" s="44"/>
      <c r="G1905" s="40"/>
    </row>
    <row r="1906" spans="1:7" ht="12.75" hidden="1" customHeight="1">
      <c r="A1906" s="39" t="s">
        <v>92</v>
      </c>
      <c r="B1906" s="43"/>
      <c r="C1906" s="44"/>
      <c r="D1906" s="44"/>
      <c r="E1906" s="44"/>
      <c r="F1906" s="44"/>
      <c r="G1906" s="40"/>
    </row>
    <row r="1907" spans="1:7" ht="12.75" hidden="1" customHeight="1">
      <c r="A1907" s="39" t="s">
        <v>93</v>
      </c>
      <c r="B1907" s="43"/>
      <c r="C1907" s="44"/>
      <c r="D1907" s="44"/>
      <c r="E1907" s="44"/>
      <c r="F1907" s="44"/>
      <c r="G1907" s="40"/>
    </row>
    <row r="1908" spans="1:7" ht="12.75" hidden="1" customHeight="1">
      <c r="A1908" s="39" t="s">
        <v>94</v>
      </c>
      <c r="B1908" s="43"/>
      <c r="C1908" s="44"/>
      <c r="D1908" s="44"/>
      <c r="E1908" s="44"/>
      <c r="F1908" s="44"/>
      <c r="G1908" s="40"/>
    </row>
    <row r="1909" spans="1:7" ht="12.75" hidden="1" customHeight="1">
      <c r="A1909" s="39" t="s">
        <v>95</v>
      </c>
      <c r="B1909" s="43"/>
      <c r="C1909" s="44"/>
      <c r="D1909" s="44"/>
      <c r="E1909" s="44"/>
      <c r="F1909" s="44"/>
      <c r="G1909" s="40"/>
    </row>
    <row r="1910" spans="1:7" ht="12.75" hidden="1" customHeight="1">
      <c r="A1910" s="39" t="s">
        <v>96</v>
      </c>
      <c r="B1910" s="43"/>
      <c r="C1910" s="44"/>
      <c r="D1910" s="44"/>
      <c r="E1910" s="44"/>
      <c r="F1910" s="44"/>
      <c r="G1910" s="40"/>
    </row>
    <row r="1911" spans="1:7" ht="12.75" hidden="1" customHeight="1">
      <c r="A1911" s="39" t="s">
        <v>97</v>
      </c>
      <c r="B1911" s="43"/>
      <c r="C1911" s="44"/>
      <c r="D1911" s="44"/>
      <c r="E1911" s="44"/>
      <c r="F1911" s="44"/>
      <c r="G1911" s="40"/>
    </row>
    <row r="1912" spans="1:7" ht="12.75" hidden="1" customHeight="1">
      <c r="A1912" s="39" t="s">
        <v>98</v>
      </c>
      <c r="B1912" s="43"/>
      <c r="C1912" s="44"/>
      <c r="D1912" s="44"/>
      <c r="E1912" s="44"/>
      <c r="F1912" s="44"/>
      <c r="G1912" s="40"/>
    </row>
    <row r="1913" spans="1:7" ht="12.75" hidden="1" customHeight="1">
      <c r="A1913" s="39" t="s">
        <v>99</v>
      </c>
      <c r="B1913" s="43"/>
      <c r="C1913" s="44"/>
      <c r="D1913" s="44"/>
      <c r="E1913" s="44"/>
      <c r="F1913" s="44"/>
      <c r="G1913" s="40"/>
    </row>
    <row r="1914" spans="1:7" ht="12.75" hidden="1" customHeight="1">
      <c r="A1914" s="39" t="s">
        <v>100</v>
      </c>
      <c r="B1914" s="45"/>
      <c r="C1914" s="44"/>
      <c r="D1914" s="44"/>
      <c r="E1914" s="44"/>
      <c r="F1914" s="44"/>
      <c r="G1914" s="40"/>
    </row>
    <row r="1915" spans="1:7" ht="12.75" hidden="1" customHeight="1">
      <c r="A1915" s="39" t="s">
        <v>101</v>
      </c>
      <c r="B1915" s="43">
        <v>11</v>
      </c>
      <c r="C1915" s="66">
        <f t="shared" ref="C1915:E1934" si="86">B1915/B$1964*C$1964</f>
        <v>15477.529514170041</v>
      </c>
      <c r="D1915" s="66">
        <f t="shared" si="86"/>
        <v>21836.612591093119</v>
      </c>
      <c r="E1915" s="66">
        <f t="shared" si="86"/>
        <v>21494.956599190282</v>
      </c>
      <c r="F1915" s="44">
        <f>SUM(C1915:E1915)</f>
        <v>58809.098704453441</v>
      </c>
      <c r="G1915" s="40"/>
    </row>
    <row r="1916" spans="1:7" ht="12.75" hidden="1" customHeight="1">
      <c r="A1916" s="39" t="s">
        <v>102</v>
      </c>
      <c r="B1916" s="43"/>
      <c r="C1916" s="44">
        <f t="shared" si="86"/>
        <v>0</v>
      </c>
      <c r="D1916" s="44">
        <f t="shared" si="86"/>
        <v>0</v>
      </c>
      <c r="E1916" s="44">
        <f t="shared" si="86"/>
        <v>0</v>
      </c>
      <c r="F1916" s="44">
        <f t="shared" ref="F1916:F1951" si="87">SUM(C1916:E1916)</f>
        <v>0</v>
      </c>
      <c r="G1916" s="40"/>
    </row>
    <row r="1917" spans="1:7" ht="12.75" hidden="1" customHeight="1">
      <c r="A1917" s="39" t="s">
        <v>103</v>
      </c>
      <c r="B1917" s="43"/>
      <c r="C1917" s="44">
        <f t="shared" si="86"/>
        <v>0</v>
      </c>
      <c r="D1917" s="44">
        <f t="shared" si="86"/>
        <v>0</v>
      </c>
      <c r="E1917" s="44">
        <f t="shared" si="86"/>
        <v>0</v>
      </c>
      <c r="F1917" s="44">
        <f t="shared" si="87"/>
        <v>0</v>
      </c>
      <c r="G1917" s="40"/>
    </row>
    <row r="1918" spans="1:7" ht="12.75" hidden="1" customHeight="1">
      <c r="A1918" s="39" t="s">
        <v>104</v>
      </c>
      <c r="B1918" s="41">
        <v>22</v>
      </c>
      <c r="C1918" s="66">
        <f t="shared" si="86"/>
        <v>30955.059028340082</v>
      </c>
      <c r="D1918" s="66">
        <f t="shared" si="86"/>
        <v>43673.225182186237</v>
      </c>
      <c r="E1918" s="66">
        <f t="shared" si="86"/>
        <v>42989.913198380564</v>
      </c>
      <c r="F1918" s="44">
        <f t="shared" si="87"/>
        <v>117618.19740890688</v>
      </c>
      <c r="G1918" s="40"/>
    </row>
    <row r="1919" spans="1:7" ht="12.75" hidden="1" customHeight="1">
      <c r="A1919" s="39" t="s">
        <v>105</v>
      </c>
      <c r="B1919" s="43"/>
      <c r="C1919" s="44">
        <f t="shared" si="86"/>
        <v>0</v>
      </c>
      <c r="D1919" s="44">
        <f t="shared" si="86"/>
        <v>0</v>
      </c>
      <c r="E1919" s="44">
        <f t="shared" si="86"/>
        <v>0</v>
      </c>
      <c r="F1919" s="44">
        <f t="shared" si="87"/>
        <v>0</v>
      </c>
      <c r="G1919" s="40"/>
    </row>
    <row r="1920" spans="1:7" ht="12.75" hidden="1" customHeight="1">
      <c r="A1920" s="39" t="s">
        <v>106</v>
      </c>
      <c r="B1920" s="43"/>
      <c r="C1920" s="44">
        <f t="shared" si="86"/>
        <v>0</v>
      </c>
      <c r="D1920" s="44">
        <f t="shared" si="86"/>
        <v>0</v>
      </c>
      <c r="E1920" s="44">
        <f t="shared" si="86"/>
        <v>0</v>
      </c>
      <c r="F1920" s="44">
        <f t="shared" si="87"/>
        <v>0</v>
      </c>
      <c r="G1920" s="40"/>
    </row>
    <row r="1921" spans="1:7" ht="12.75" hidden="1" customHeight="1">
      <c r="A1921" s="39" t="s">
        <v>107</v>
      </c>
      <c r="B1921" s="43">
        <v>39</v>
      </c>
      <c r="C1921" s="66">
        <f t="shared" si="86"/>
        <v>54874.877368421054</v>
      </c>
      <c r="D1921" s="66">
        <f t="shared" si="86"/>
        <v>77420.717368421057</v>
      </c>
      <c r="E1921" s="66">
        <f t="shared" si="86"/>
        <v>76209.391578947354</v>
      </c>
      <c r="F1921" s="44">
        <f t="shared" si="87"/>
        <v>208504.98631578946</v>
      </c>
      <c r="G1921" s="40"/>
    </row>
    <row r="1922" spans="1:7" ht="12.75" hidden="1" customHeight="1">
      <c r="A1922" s="39" t="s">
        <v>108</v>
      </c>
      <c r="B1922" s="45"/>
      <c r="C1922" s="44">
        <f t="shared" si="86"/>
        <v>0</v>
      </c>
      <c r="D1922" s="44">
        <f t="shared" si="86"/>
        <v>0</v>
      </c>
      <c r="E1922" s="44">
        <f t="shared" si="86"/>
        <v>0</v>
      </c>
      <c r="F1922" s="44">
        <f t="shared" si="87"/>
        <v>0</v>
      </c>
      <c r="G1922" s="40"/>
    </row>
    <row r="1923" spans="1:7" ht="12.75" hidden="1" customHeight="1">
      <c r="A1923" s="39" t="s">
        <v>109</v>
      </c>
      <c r="B1923" s="43">
        <v>12</v>
      </c>
      <c r="C1923" s="66">
        <f t="shared" si="86"/>
        <v>16884.577651821863</v>
      </c>
      <c r="D1923" s="66">
        <f t="shared" si="86"/>
        <v>23821.759190283406</v>
      </c>
      <c r="E1923" s="66">
        <f t="shared" si="86"/>
        <v>23449.043562753035</v>
      </c>
      <c r="F1923" s="44">
        <f t="shared" si="87"/>
        <v>64155.380404858312</v>
      </c>
      <c r="G1923" s="40"/>
    </row>
    <row r="1924" spans="1:7" ht="12.75" hidden="1" customHeight="1">
      <c r="A1924" s="39" t="s">
        <v>110</v>
      </c>
      <c r="B1924" s="43">
        <v>76.5</v>
      </c>
      <c r="C1924" s="66">
        <f t="shared" si="86"/>
        <v>107639.18253036437</v>
      </c>
      <c r="D1924" s="66">
        <f t="shared" si="86"/>
        <v>151863.71483805671</v>
      </c>
      <c r="E1924" s="66">
        <f t="shared" si="86"/>
        <v>149487.6527125506</v>
      </c>
      <c r="F1924" s="44">
        <f t="shared" si="87"/>
        <v>408990.55008097168</v>
      </c>
      <c r="G1924" s="40"/>
    </row>
    <row r="1925" spans="1:7" ht="12.75" hidden="1" customHeight="1">
      <c r="A1925" s="39" t="s">
        <v>407</v>
      </c>
      <c r="B1925" s="45">
        <v>7</v>
      </c>
      <c r="C1925" s="66">
        <f t="shared" si="86"/>
        <v>9849.3369635627532</v>
      </c>
      <c r="D1925" s="66">
        <f t="shared" si="86"/>
        <v>13896.026194331986</v>
      </c>
      <c r="E1925" s="66">
        <f t="shared" si="86"/>
        <v>13678.608744939271</v>
      </c>
      <c r="F1925" s="44">
        <f t="shared" si="87"/>
        <v>37423.971902834011</v>
      </c>
      <c r="G1925" s="40"/>
    </row>
    <row r="1926" spans="1:7" ht="12.75" hidden="1" customHeight="1">
      <c r="A1926" s="39" t="s">
        <v>408</v>
      </c>
      <c r="B1926" s="45">
        <v>4.5</v>
      </c>
      <c r="C1926" s="66">
        <f t="shared" si="86"/>
        <v>6331.7166194331985</v>
      </c>
      <c r="D1926" s="66">
        <f t="shared" si="86"/>
        <v>8933.1596963562752</v>
      </c>
      <c r="E1926" s="66">
        <f t="shared" si="86"/>
        <v>8793.3913360323877</v>
      </c>
      <c r="F1926" s="44">
        <f t="shared" si="87"/>
        <v>24058.267651821861</v>
      </c>
      <c r="G1926" s="40"/>
    </row>
    <row r="1927" spans="1:7" ht="12.75" hidden="1" customHeight="1">
      <c r="A1927" s="39" t="s">
        <v>409</v>
      </c>
      <c r="B1927" s="43"/>
      <c r="C1927" s="44">
        <f t="shared" si="86"/>
        <v>0</v>
      </c>
      <c r="D1927" s="44">
        <f t="shared" si="86"/>
        <v>0</v>
      </c>
      <c r="E1927" s="44">
        <f t="shared" si="86"/>
        <v>0</v>
      </c>
      <c r="F1927" s="44">
        <f t="shared" si="87"/>
        <v>0</v>
      </c>
      <c r="G1927" s="40"/>
    </row>
    <row r="1928" spans="1:7" ht="12.75" hidden="1" customHeight="1">
      <c r="A1928" s="39" t="s">
        <v>501</v>
      </c>
      <c r="B1928" s="43"/>
      <c r="C1928" s="44">
        <f t="shared" si="86"/>
        <v>0</v>
      </c>
      <c r="D1928" s="44">
        <f t="shared" si="86"/>
        <v>0</v>
      </c>
      <c r="E1928" s="44">
        <f t="shared" si="86"/>
        <v>0</v>
      </c>
      <c r="F1928" s="44">
        <f t="shared" si="87"/>
        <v>0</v>
      </c>
      <c r="G1928" s="40"/>
    </row>
    <row r="1929" spans="1:7" ht="12.75" hidden="1" customHeight="1">
      <c r="A1929" s="39" t="s">
        <v>115</v>
      </c>
      <c r="B1929" s="43"/>
      <c r="C1929" s="44">
        <f t="shared" si="86"/>
        <v>0</v>
      </c>
      <c r="D1929" s="44">
        <f t="shared" si="86"/>
        <v>0</v>
      </c>
      <c r="E1929" s="44">
        <f t="shared" si="86"/>
        <v>0</v>
      </c>
      <c r="F1929" s="44">
        <f t="shared" si="87"/>
        <v>0</v>
      </c>
      <c r="G1929" s="40"/>
    </row>
    <row r="1930" spans="1:7" ht="12.75" hidden="1" customHeight="1">
      <c r="A1930" s="39" t="s">
        <v>116</v>
      </c>
      <c r="B1930" s="43"/>
      <c r="C1930" s="44">
        <f t="shared" si="86"/>
        <v>0</v>
      </c>
      <c r="D1930" s="44">
        <f t="shared" si="86"/>
        <v>0</v>
      </c>
      <c r="E1930" s="44">
        <f t="shared" si="86"/>
        <v>0</v>
      </c>
      <c r="F1930" s="44">
        <f t="shared" si="87"/>
        <v>0</v>
      </c>
      <c r="G1930" s="40"/>
    </row>
    <row r="1931" spans="1:7" ht="12.75" hidden="1" customHeight="1">
      <c r="A1931" s="39" t="s">
        <v>117</v>
      </c>
      <c r="B1931" s="43"/>
      <c r="C1931" s="44">
        <f t="shared" si="86"/>
        <v>0</v>
      </c>
      <c r="D1931" s="44">
        <f t="shared" si="86"/>
        <v>0</v>
      </c>
      <c r="E1931" s="44">
        <f t="shared" si="86"/>
        <v>0</v>
      </c>
      <c r="F1931" s="44">
        <f t="shared" si="87"/>
        <v>0</v>
      </c>
      <c r="G1931" s="40"/>
    </row>
    <row r="1932" spans="1:7" ht="12.75" hidden="1" customHeight="1">
      <c r="A1932" s="39" t="s">
        <v>118</v>
      </c>
      <c r="B1932" s="45"/>
      <c r="C1932" s="44">
        <f t="shared" si="86"/>
        <v>0</v>
      </c>
      <c r="D1932" s="44">
        <f t="shared" si="86"/>
        <v>0</v>
      </c>
      <c r="E1932" s="44">
        <f t="shared" si="86"/>
        <v>0</v>
      </c>
      <c r="F1932" s="44">
        <f t="shared" si="87"/>
        <v>0</v>
      </c>
      <c r="G1932" s="40"/>
    </row>
    <row r="1933" spans="1:7" ht="12.75" hidden="1" customHeight="1">
      <c r="A1933" s="39" t="s">
        <v>119</v>
      </c>
      <c r="B1933" s="43">
        <v>21</v>
      </c>
      <c r="C1933" s="66">
        <f t="shared" si="86"/>
        <v>29548.01089068826</v>
      </c>
      <c r="D1933" s="66">
        <f t="shared" si="86"/>
        <v>41688.078582995957</v>
      </c>
      <c r="E1933" s="66">
        <f t="shared" si="86"/>
        <v>41035.82623481781</v>
      </c>
      <c r="F1933" s="44">
        <f t="shared" si="87"/>
        <v>112271.91570850203</v>
      </c>
      <c r="G1933" s="40"/>
    </row>
    <row r="1934" spans="1:7" ht="12.75" hidden="1" customHeight="1">
      <c r="A1934" s="39" t="s">
        <v>120</v>
      </c>
      <c r="B1934" s="45"/>
      <c r="C1934" s="44">
        <f t="shared" si="86"/>
        <v>0</v>
      </c>
      <c r="D1934" s="44">
        <f t="shared" si="86"/>
        <v>0</v>
      </c>
      <c r="E1934" s="44">
        <f t="shared" si="86"/>
        <v>0</v>
      </c>
      <c r="F1934" s="44">
        <f t="shared" si="87"/>
        <v>0</v>
      </c>
      <c r="G1934" s="40"/>
    </row>
    <row r="1935" spans="1:7" ht="12.75" hidden="1" customHeight="1">
      <c r="A1935" s="39" t="s">
        <v>121</v>
      </c>
      <c r="B1935" s="45"/>
      <c r="C1935" s="44">
        <f t="shared" ref="C1935:E1951" si="88">B1935/B$1964*C$1964</f>
        <v>0</v>
      </c>
      <c r="D1935" s="44">
        <f t="shared" si="88"/>
        <v>0</v>
      </c>
      <c r="E1935" s="44">
        <f t="shared" si="88"/>
        <v>0</v>
      </c>
      <c r="F1935" s="44">
        <f t="shared" si="87"/>
        <v>0</v>
      </c>
      <c r="G1935" s="40"/>
    </row>
    <row r="1936" spans="1:7" ht="12.75" hidden="1" customHeight="1">
      <c r="A1936" s="39" t="s">
        <v>122</v>
      </c>
      <c r="B1936" s="43"/>
      <c r="C1936" s="44">
        <f t="shared" si="88"/>
        <v>0</v>
      </c>
      <c r="D1936" s="44">
        <f t="shared" si="88"/>
        <v>0</v>
      </c>
      <c r="E1936" s="44">
        <f t="shared" si="88"/>
        <v>0</v>
      </c>
      <c r="F1936" s="44">
        <f t="shared" si="87"/>
        <v>0</v>
      </c>
      <c r="G1936" s="40"/>
    </row>
    <row r="1937" spans="1:7" ht="12.75" hidden="1" customHeight="1">
      <c r="A1937" s="39" t="s">
        <v>123</v>
      </c>
      <c r="B1937" s="43"/>
      <c r="C1937" s="44">
        <f t="shared" si="88"/>
        <v>0</v>
      </c>
      <c r="D1937" s="44">
        <f t="shared" si="88"/>
        <v>0</v>
      </c>
      <c r="E1937" s="44">
        <f t="shared" si="88"/>
        <v>0</v>
      </c>
      <c r="F1937" s="44">
        <f t="shared" si="87"/>
        <v>0</v>
      </c>
      <c r="G1937" s="40"/>
    </row>
    <row r="1938" spans="1:7" ht="12.75" hidden="1" customHeight="1">
      <c r="A1938" s="39" t="s">
        <v>124</v>
      </c>
      <c r="B1938" s="43"/>
      <c r="C1938" s="44">
        <f t="shared" si="88"/>
        <v>0</v>
      </c>
      <c r="D1938" s="44">
        <f t="shared" si="88"/>
        <v>0</v>
      </c>
      <c r="E1938" s="44">
        <f t="shared" si="88"/>
        <v>0</v>
      </c>
      <c r="F1938" s="44">
        <f t="shared" si="87"/>
        <v>0</v>
      </c>
      <c r="G1938" s="40"/>
    </row>
    <row r="1939" spans="1:7" ht="12.75" hidden="1" customHeight="1">
      <c r="A1939" s="39" t="s">
        <v>125</v>
      </c>
      <c r="B1939" s="43"/>
      <c r="C1939" s="44">
        <f t="shared" si="88"/>
        <v>0</v>
      </c>
      <c r="D1939" s="44">
        <f t="shared" si="88"/>
        <v>0</v>
      </c>
      <c r="E1939" s="44">
        <f t="shared" si="88"/>
        <v>0</v>
      </c>
      <c r="F1939" s="44">
        <f t="shared" si="87"/>
        <v>0</v>
      </c>
      <c r="G1939" s="40"/>
    </row>
    <row r="1940" spans="1:7" ht="12.75" hidden="1" customHeight="1">
      <c r="A1940" s="39" t="s">
        <v>126</v>
      </c>
      <c r="B1940" s="45"/>
      <c r="C1940" s="44">
        <f t="shared" si="88"/>
        <v>0</v>
      </c>
      <c r="D1940" s="44">
        <f t="shared" si="88"/>
        <v>0</v>
      </c>
      <c r="E1940" s="44">
        <f t="shared" si="88"/>
        <v>0</v>
      </c>
      <c r="F1940" s="44">
        <f t="shared" si="87"/>
        <v>0</v>
      </c>
      <c r="G1940" s="40"/>
    </row>
    <row r="1941" spans="1:7" ht="12.75" hidden="1" customHeight="1">
      <c r="A1941" s="39" t="s">
        <v>127</v>
      </c>
      <c r="B1941" s="43"/>
      <c r="C1941" s="44">
        <f t="shared" si="88"/>
        <v>0</v>
      </c>
      <c r="D1941" s="44">
        <f t="shared" si="88"/>
        <v>0</v>
      </c>
      <c r="E1941" s="44">
        <f t="shared" si="88"/>
        <v>0</v>
      </c>
      <c r="F1941" s="44">
        <f t="shared" si="87"/>
        <v>0</v>
      </c>
      <c r="G1941" s="40"/>
    </row>
    <row r="1942" spans="1:7" ht="12.75" hidden="1" customHeight="1">
      <c r="A1942" s="39" t="s">
        <v>128</v>
      </c>
      <c r="B1942" s="43"/>
      <c r="C1942" s="44">
        <f t="shared" si="88"/>
        <v>0</v>
      </c>
      <c r="D1942" s="44">
        <f t="shared" si="88"/>
        <v>0</v>
      </c>
      <c r="E1942" s="44">
        <f t="shared" si="88"/>
        <v>0</v>
      </c>
      <c r="F1942" s="44">
        <f t="shared" si="87"/>
        <v>0</v>
      </c>
      <c r="G1942" s="40"/>
    </row>
    <row r="1943" spans="1:7" ht="12.75" hidden="1" customHeight="1">
      <c r="A1943" s="39" t="s">
        <v>129</v>
      </c>
      <c r="B1943" s="45"/>
      <c r="C1943" s="44">
        <f t="shared" si="88"/>
        <v>0</v>
      </c>
      <c r="D1943" s="44">
        <f t="shared" si="88"/>
        <v>0</v>
      </c>
      <c r="E1943" s="44">
        <f t="shared" si="88"/>
        <v>0</v>
      </c>
      <c r="F1943" s="44">
        <f t="shared" si="87"/>
        <v>0</v>
      </c>
      <c r="G1943" s="40"/>
    </row>
    <row r="1944" spans="1:7" ht="12.75" hidden="1" customHeight="1">
      <c r="A1944" s="39" t="s">
        <v>130</v>
      </c>
      <c r="B1944" s="45"/>
      <c r="C1944" s="44">
        <f t="shared" si="88"/>
        <v>0</v>
      </c>
      <c r="D1944" s="44">
        <f t="shared" si="88"/>
        <v>0</v>
      </c>
      <c r="E1944" s="44">
        <f t="shared" si="88"/>
        <v>0</v>
      </c>
      <c r="F1944" s="44">
        <f t="shared" si="87"/>
        <v>0</v>
      </c>
      <c r="G1944" s="40"/>
    </row>
    <row r="1945" spans="1:7" ht="12.75" hidden="1" customHeight="1">
      <c r="A1945" s="39" t="s">
        <v>131</v>
      </c>
      <c r="B1945" s="45"/>
      <c r="C1945" s="44">
        <f t="shared" si="88"/>
        <v>0</v>
      </c>
      <c r="D1945" s="44">
        <f t="shared" si="88"/>
        <v>0</v>
      </c>
      <c r="E1945" s="44">
        <f t="shared" si="88"/>
        <v>0</v>
      </c>
      <c r="F1945" s="44">
        <f t="shared" si="87"/>
        <v>0</v>
      </c>
      <c r="G1945" s="40"/>
    </row>
    <row r="1946" spans="1:7" ht="12.75" hidden="1" customHeight="1">
      <c r="A1946" s="39" t="s">
        <v>132</v>
      </c>
      <c r="B1946" s="43"/>
      <c r="C1946" s="44">
        <f t="shared" si="88"/>
        <v>0</v>
      </c>
      <c r="D1946" s="44">
        <f t="shared" si="88"/>
        <v>0</v>
      </c>
      <c r="E1946" s="44">
        <f t="shared" si="88"/>
        <v>0</v>
      </c>
      <c r="F1946" s="44">
        <f t="shared" si="87"/>
        <v>0</v>
      </c>
      <c r="G1946" s="40"/>
    </row>
    <row r="1947" spans="1:7" ht="12.75" hidden="1" customHeight="1">
      <c r="A1947" s="39" t="s">
        <v>133</v>
      </c>
      <c r="B1947" s="43"/>
      <c r="C1947" s="44">
        <f t="shared" si="88"/>
        <v>0</v>
      </c>
      <c r="D1947" s="44">
        <f t="shared" si="88"/>
        <v>0</v>
      </c>
      <c r="E1947" s="44">
        <f t="shared" si="88"/>
        <v>0</v>
      </c>
      <c r="F1947" s="44">
        <f t="shared" si="87"/>
        <v>0</v>
      </c>
      <c r="G1947" s="40"/>
    </row>
    <row r="1948" spans="1:7" ht="12.75" hidden="1" customHeight="1">
      <c r="A1948" s="39" t="s">
        <v>134</v>
      </c>
      <c r="B1948" s="45">
        <v>21</v>
      </c>
      <c r="C1948" s="66">
        <f t="shared" si="88"/>
        <v>29548.01089068826</v>
      </c>
      <c r="D1948" s="66">
        <f t="shared" si="88"/>
        <v>41688.078582995957</v>
      </c>
      <c r="E1948" s="66">
        <f t="shared" si="88"/>
        <v>41035.82623481781</v>
      </c>
      <c r="F1948" s="44">
        <f t="shared" si="87"/>
        <v>112271.91570850203</v>
      </c>
      <c r="G1948" s="40"/>
    </row>
    <row r="1949" spans="1:7" ht="12.75" hidden="1" customHeight="1">
      <c r="A1949" s="39" t="s">
        <v>135</v>
      </c>
      <c r="B1949" s="45">
        <v>11</v>
      </c>
      <c r="C1949" s="66">
        <f t="shared" si="88"/>
        <v>15477.529514170041</v>
      </c>
      <c r="D1949" s="66">
        <f t="shared" si="88"/>
        <v>21836.612591093119</v>
      </c>
      <c r="E1949" s="66">
        <f t="shared" si="88"/>
        <v>21494.956599190282</v>
      </c>
      <c r="F1949" s="44">
        <f t="shared" si="87"/>
        <v>58809.098704453441</v>
      </c>
      <c r="G1949" s="40"/>
    </row>
    <row r="1950" spans="1:7" ht="12.75" hidden="1" customHeight="1">
      <c r="A1950" s="39" t="s">
        <v>136</v>
      </c>
      <c r="B1950" s="43"/>
      <c r="C1950" s="44">
        <f t="shared" si="88"/>
        <v>0</v>
      </c>
      <c r="D1950" s="44">
        <f t="shared" si="88"/>
        <v>0</v>
      </c>
      <c r="E1950" s="44">
        <f t="shared" si="88"/>
        <v>0</v>
      </c>
      <c r="F1950" s="44">
        <f t="shared" si="87"/>
        <v>0</v>
      </c>
      <c r="G1950" s="40"/>
    </row>
    <row r="1951" spans="1:7" ht="12.75" hidden="1" customHeight="1">
      <c r="A1951" s="39" t="s">
        <v>137</v>
      </c>
      <c r="B1951" s="45">
        <v>22</v>
      </c>
      <c r="C1951" s="66">
        <f t="shared" si="88"/>
        <v>30955.059028340082</v>
      </c>
      <c r="D1951" s="66">
        <f t="shared" si="88"/>
        <v>43673.225182186237</v>
      </c>
      <c r="E1951" s="66">
        <f t="shared" si="88"/>
        <v>42989.913198380564</v>
      </c>
      <c r="F1951" s="44">
        <f t="shared" si="87"/>
        <v>117618.19740890688</v>
      </c>
      <c r="G1951" s="40"/>
    </row>
    <row r="1952" spans="1:7" ht="12.75" hidden="1" customHeight="1">
      <c r="A1952" s="39" t="s">
        <v>138</v>
      </c>
      <c r="B1952" s="45"/>
      <c r="C1952" s="44"/>
      <c r="D1952" s="44"/>
      <c r="E1952" s="44"/>
      <c r="F1952" s="44"/>
      <c r="G1952" s="40"/>
    </row>
    <row r="1953" spans="1:7" ht="12.75" hidden="1" customHeight="1">
      <c r="A1953" s="39" t="s">
        <v>502</v>
      </c>
      <c r="B1953" s="45"/>
      <c r="C1953" s="44"/>
      <c r="D1953" s="44"/>
      <c r="E1953" s="44"/>
      <c r="F1953" s="44"/>
      <c r="G1953" s="40"/>
    </row>
    <row r="1954" spans="1:7" ht="12.75" hidden="1" customHeight="1">
      <c r="A1954" s="39" t="s">
        <v>503</v>
      </c>
      <c r="B1954" s="45"/>
      <c r="C1954" s="44"/>
      <c r="D1954" s="44"/>
      <c r="E1954" s="44"/>
      <c r="F1954" s="44"/>
      <c r="G1954" s="40"/>
    </row>
    <row r="1955" spans="1:7" ht="12.75" hidden="1" customHeight="1">
      <c r="A1955" s="46" t="s">
        <v>140</v>
      </c>
      <c r="B1955" s="45"/>
      <c r="C1955" s="44"/>
      <c r="D1955" s="44"/>
      <c r="E1955" s="44"/>
      <c r="F1955" s="44"/>
      <c r="G1955" s="40"/>
    </row>
    <row r="1956" spans="1:7" ht="12.75" hidden="1" customHeight="1">
      <c r="A1956" s="46" t="s">
        <v>141</v>
      </c>
      <c r="B1956" s="45"/>
      <c r="C1956" s="44"/>
      <c r="D1956" s="44"/>
      <c r="E1956" s="44"/>
      <c r="F1956" s="44"/>
      <c r="G1956" s="40"/>
    </row>
    <row r="1957" spans="1:7" ht="12.75" hidden="1" customHeight="1">
      <c r="A1957" s="46" t="s">
        <v>142</v>
      </c>
      <c r="B1957" s="45"/>
      <c r="C1957" s="44"/>
      <c r="D1957" s="44"/>
      <c r="E1957" s="44"/>
      <c r="F1957" s="44"/>
      <c r="G1957" s="40"/>
    </row>
    <row r="1958" spans="1:7" ht="12.75" hidden="1" customHeight="1">
      <c r="A1958" s="46" t="s">
        <v>143</v>
      </c>
      <c r="B1958" s="45"/>
      <c r="C1958" s="44"/>
      <c r="D1958" s="44"/>
      <c r="E1958" s="44"/>
      <c r="F1958" s="44"/>
      <c r="G1958" s="40"/>
    </row>
    <row r="1959" spans="1:7" ht="12.75" hidden="1" customHeight="1">
      <c r="A1959" s="46" t="s">
        <v>146</v>
      </c>
      <c r="B1959" s="45"/>
      <c r="C1959" s="44"/>
      <c r="D1959" s="44"/>
      <c r="E1959" s="44"/>
      <c r="F1959" s="44"/>
      <c r="G1959" s="40"/>
    </row>
    <row r="1960" spans="1:7" ht="12.75" hidden="1" customHeight="1">
      <c r="A1960" s="46" t="s">
        <v>147</v>
      </c>
      <c r="B1960" s="45"/>
      <c r="C1960" s="44"/>
      <c r="D1960" s="44"/>
      <c r="E1960" s="44"/>
      <c r="F1960" s="44"/>
      <c r="G1960" s="40"/>
    </row>
    <row r="1961" spans="1:7" ht="12.75" hidden="1" customHeight="1">
      <c r="A1961" s="46" t="s">
        <v>148</v>
      </c>
      <c r="B1961" s="45"/>
      <c r="C1961" s="44"/>
      <c r="D1961" s="44"/>
      <c r="E1961" s="44"/>
      <c r="F1961" s="44"/>
      <c r="G1961" s="40"/>
    </row>
    <row r="1962" spans="1:7" ht="12.75" hidden="1" customHeight="1">
      <c r="A1962" s="126" t="s">
        <v>526</v>
      </c>
      <c r="B1962" s="47"/>
      <c r="C1962" s="44"/>
      <c r="D1962" s="44"/>
      <c r="E1962" s="44"/>
      <c r="F1962" s="44"/>
      <c r="G1962" s="40"/>
    </row>
    <row r="1963" spans="1:7" ht="12.75" hidden="1" customHeight="1">
      <c r="A1963" s="126" t="s">
        <v>406</v>
      </c>
      <c r="B1963" s="47"/>
      <c r="C1963" s="44"/>
      <c r="D1963" s="44"/>
      <c r="E1963" s="44"/>
      <c r="F1963" s="44"/>
      <c r="G1963" s="40"/>
    </row>
    <row r="1964" spans="1:7" ht="12.75" hidden="1" customHeight="1">
      <c r="A1964" s="48" t="s">
        <v>150</v>
      </c>
      <c r="B1964" s="48">
        <f>SUM(B1915:B1951)</f>
        <v>247</v>
      </c>
      <c r="C1964" s="49">
        <f>347540.89</f>
        <v>347540.89</v>
      </c>
      <c r="D1964" s="50">
        <f>24157.4+305132.9+68063.91+83308.6+9668.4</f>
        <v>490331.21000000008</v>
      </c>
      <c r="E1964" s="50">
        <f>482659.48</f>
        <v>482659.48</v>
      </c>
      <c r="F1964" s="50">
        <f>SUM(C1964:E1964)</f>
        <v>1320531.58</v>
      </c>
      <c r="G1964" s="40"/>
    </row>
    <row r="1965" spans="1:7" ht="12.75" hidden="1" customHeight="1">
      <c r="A1965" s="180"/>
      <c r="B1965" s="106"/>
      <c r="C1965" s="106"/>
      <c r="D1965" s="106"/>
      <c r="E1965" s="106"/>
      <c r="F1965" s="106"/>
      <c r="G1965" s="107"/>
    </row>
    <row r="1966" spans="1:7" ht="12.75" hidden="1" customHeight="1">
      <c r="A1966" s="51"/>
      <c r="B1966" s="52"/>
      <c r="C1966" s="51"/>
      <c r="D1966" s="51"/>
      <c r="E1966" s="52"/>
      <c r="F1966" s="51"/>
      <c r="G1966" s="40"/>
    </row>
    <row r="1967" spans="1:7" ht="12.75" hidden="1" customHeight="1">
      <c r="A1967" s="51"/>
      <c r="B1967" s="52"/>
      <c r="C1967" s="51"/>
      <c r="D1967" s="51"/>
      <c r="E1967" s="52"/>
      <c r="F1967" s="51"/>
      <c r="G1967" s="40"/>
    </row>
    <row r="1968" spans="1:7" ht="12.75" hidden="1" customHeight="1">
      <c r="A1968" s="51"/>
      <c r="B1968" s="52"/>
      <c r="C1968" s="51"/>
      <c r="D1968" s="51"/>
      <c r="E1968" s="52"/>
      <c r="F1968" s="51"/>
      <c r="G1968" s="40"/>
    </row>
    <row r="1969" spans="1:7" ht="12.75" hidden="1" customHeight="1">
      <c r="A1969" s="269" t="s">
        <v>545</v>
      </c>
      <c r="B1969" s="269"/>
      <c r="C1969" s="269"/>
      <c r="D1969" s="269"/>
      <c r="E1969" s="269"/>
      <c r="F1969" s="269"/>
      <c r="G1969" s="40"/>
    </row>
    <row r="1970" spans="1:7" ht="12.75" hidden="1" customHeight="1">
      <c r="A1970" s="43" t="s">
        <v>86</v>
      </c>
      <c r="B1970" s="43" t="s">
        <v>87</v>
      </c>
      <c r="C1970" s="43" t="s">
        <v>88</v>
      </c>
      <c r="D1970" s="43" t="s">
        <v>89</v>
      </c>
      <c r="E1970" s="43" t="s">
        <v>90</v>
      </c>
      <c r="F1970" s="45" t="s">
        <v>152</v>
      </c>
      <c r="G1970" s="43" t="s">
        <v>91</v>
      </c>
    </row>
    <row r="1971" spans="1:7" ht="12.75" hidden="1" customHeight="1">
      <c r="A1971" s="39" t="s">
        <v>153</v>
      </c>
      <c r="B1971" s="43"/>
      <c r="C1971" s="42"/>
      <c r="D1971" s="42"/>
      <c r="E1971" s="42"/>
      <c r="F1971" s="45"/>
      <c r="G1971" s="42"/>
    </row>
    <row r="1972" spans="1:7" ht="12.75" hidden="1" customHeight="1">
      <c r="A1972" s="39" t="s">
        <v>154</v>
      </c>
      <c r="B1972" s="43"/>
      <c r="C1972" s="42"/>
      <c r="D1972" s="42"/>
      <c r="E1972" s="42"/>
      <c r="F1972" s="45"/>
      <c r="G1972" s="42"/>
    </row>
    <row r="1973" spans="1:7" ht="12.75" hidden="1" customHeight="1">
      <c r="A1973" s="39" t="s">
        <v>155</v>
      </c>
      <c r="B1973" s="43"/>
      <c r="C1973" s="42"/>
      <c r="D1973" s="42"/>
      <c r="E1973" s="42"/>
      <c r="F1973" s="45"/>
      <c r="G1973" s="42"/>
    </row>
    <row r="1974" spans="1:7" ht="12.75" hidden="1" customHeight="1">
      <c r="A1974" s="39" t="s">
        <v>156</v>
      </c>
      <c r="B1974" s="43"/>
      <c r="C1974" s="42"/>
      <c r="D1974" s="42"/>
      <c r="E1974" s="42"/>
      <c r="F1974" s="45"/>
      <c r="G1974" s="42"/>
    </row>
    <row r="1975" spans="1:7" ht="12.75" hidden="1" customHeight="1">
      <c r="A1975" s="39" t="s">
        <v>3</v>
      </c>
      <c r="B1975" s="43"/>
      <c r="C1975" s="42"/>
      <c r="D1975" s="42"/>
      <c r="E1975" s="42"/>
      <c r="F1975" s="45"/>
      <c r="G1975" s="42"/>
    </row>
    <row r="1976" spans="1:7" ht="12.75" hidden="1" customHeight="1">
      <c r="A1976" s="39" t="s">
        <v>4</v>
      </c>
      <c r="B1976" s="43"/>
      <c r="C1976" s="42"/>
      <c r="D1976" s="42"/>
      <c r="E1976" s="42"/>
      <c r="F1976" s="45"/>
      <c r="G1976" s="42"/>
    </row>
    <row r="1977" spans="1:7" ht="12.75" hidden="1" customHeight="1">
      <c r="A1977" s="39" t="s">
        <v>5</v>
      </c>
      <c r="B1977" s="43"/>
      <c r="C1977" s="42"/>
      <c r="D1977" s="42"/>
      <c r="E1977" s="42"/>
      <c r="F1977" s="45"/>
      <c r="G1977" s="42"/>
    </row>
    <row r="1978" spans="1:7" ht="12.75" hidden="1" customHeight="1">
      <c r="A1978" s="39" t="s">
        <v>157</v>
      </c>
      <c r="B1978" s="43"/>
      <c r="C1978" s="42"/>
      <c r="D1978" s="42"/>
      <c r="E1978" s="42"/>
      <c r="F1978" s="57"/>
      <c r="G1978" s="42"/>
    </row>
    <row r="1979" spans="1:7" ht="12.75" hidden="1" customHeight="1">
      <c r="A1979" s="39" t="s">
        <v>158</v>
      </c>
      <c r="B1979" s="43"/>
      <c r="C1979" s="42"/>
      <c r="D1979" s="42"/>
      <c r="E1979" s="42"/>
      <c r="F1979" s="57"/>
      <c r="G1979" s="42"/>
    </row>
    <row r="1980" spans="1:7" ht="12.75" hidden="1" customHeight="1">
      <c r="A1980" s="39" t="s">
        <v>159</v>
      </c>
      <c r="B1980" s="43"/>
      <c r="C1980" s="42"/>
      <c r="D1980" s="42"/>
      <c r="E1980" s="42"/>
      <c r="F1980" s="57"/>
      <c r="G1980" s="42"/>
    </row>
    <row r="1981" spans="1:7" ht="12.75" hidden="1" customHeight="1">
      <c r="A1981" s="39" t="s">
        <v>160</v>
      </c>
      <c r="B1981" s="43"/>
      <c r="C1981" s="42"/>
      <c r="D1981" s="42"/>
      <c r="E1981" s="42"/>
      <c r="F1981" s="57"/>
      <c r="G1981" s="42"/>
    </row>
    <row r="1982" spans="1:7" ht="12.75" hidden="1" customHeight="1">
      <c r="A1982" s="39" t="s">
        <v>161</v>
      </c>
      <c r="B1982" s="43"/>
      <c r="C1982" s="42"/>
      <c r="D1982" s="42"/>
      <c r="E1982" s="42"/>
      <c r="F1982" s="57"/>
      <c r="G1982" s="42"/>
    </row>
    <row r="1983" spans="1:7" ht="12.75" hidden="1" customHeight="1">
      <c r="A1983" s="39" t="s">
        <v>6</v>
      </c>
      <c r="B1983" s="43"/>
      <c r="C1983" s="42"/>
      <c r="D1983" s="42"/>
      <c r="E1983" s="42"/>
      <c r="F1983" s="57"/>
      <c r="G1983" s="42"/>
    </row>
    <row r="1984" spans="1:7" ht="12.75" hidden="1" customHeight="1">
      <c r="A1984" s="39" t="s">
        <v>7</v>
      </c>
      <c r="B1984" s="43"/>
      <c r="C1984" s="42"/>
      <c r="D1984" s="42"/>
      <c r="E1984" s="42"/>
      <c r="F1984" s="57"/>
      <c r="G1984" s="42"/>
    </row>
    <row r="1985" spans="1:7" ht="12.75" hidden="1" customHeight="1">
      <c r="A1985" s="39" t="s">
        <v>162</v>
      </c>
      <c r="B1985" s="43"/>
      <c r="C1985" s="42"/>
      <c r="D1985" s="42"/>
      <c r="E1985" s="42"/>
      <c r="F1985" s="57"/>
      <c r="G1985" s="42"/>
    </row>
    <row r="1986" spans="1:7" ht="12.75" hidden="1" customHeight="1">
      <c r="A1986" s="39" t="s">
        <v>401</v>
      </c>
      <c r="B1986" s="45"/>
      <c r="C1986" s="42"/>
      <c r="D1986" s="42"/>
      <c r="E1986" s="42"/>
      <c r="F1986" s="57"/>
      <c r="G1986" s="42"/>
    </row>
    <row r="1987" spans="1:7" ht="12.75" hidden="1" customHeight="1">
      <c r="A1987" s="145" t="s">
        <v>402</v>
      </c>
      <c r="B1987" s="45"/>
      <c r="C1987" s="42"/>
      <c r="D1987" s="42"/>
      <c r="E1987" s="42"/>
      <c r="F1987" s="57"/>
      <c r="G1987" s="42"/>
    </row>
    <row r="1988" spans="1:7" ht="12.75" hidden="1" customHeight="1">
      <c r="A1988" s="39" t="s">
        <v>8</v>
      </c>
      <c r="B1988" s="43"/>
      <c r="C1988" s="42"/>
      <c r="D1988" s="42"/>
      <c r="E1988" s="42"/>
      <c r="F1988" s="57"/>
      <c r="G1988" s="42"/>
    </row>
    <row r="1989" spans="1:7" ht="12.75" hidden="1" customHeight="1">
      <c r="A1989" s="39" t="s">
        <v>9</v>
      </c>
      <c r="B1989" s="43"/>
      <c r="C1989" s="42"/>
      <c r="D1989" s="42"/>
      <c r="E1989" s="42"/>
      <c r="F1989" s="57"/>
      <c r="G1989" s="42"/>
    </row>
    <row r="1990" spans="1:7" ht="12.75" hidden="1" customHeight="1">
      <c r="A1990" s="39" t="s">
        <v>10</v>
      </c>
      <c r="B1990" s="43"/>
      <c r="C1990" s="42"/>
      <c r="D1990" s="42"/>
      <c r="E1990" s="42"/>
      <c r="F1990" s="57"/>
      <c r="G1990" s="42"/>
    </row>
    <row r="1991" spans="1:7" ht="12.75" hidden="1" customHeight="1">
      <c r="A1991" s="39" t="s">
        <v>11</v>
      </c>
      <c r="B1991" s="43"/>
      <c r="C1991" s="42"/>
      <c r="D1991" s="42"/>
      <c r="E1991" s="42"/>
      <c r="F1991" s="57"/>
      <c r="G1991" s="42"/>
    </row>
    <row r="1992" spans="1:7" ht="12.75" hidden="1" customHeight="1">
      <c r="A1992" s="39" t="s">
        <v>164</v>
      </c>
      <c r="B1992" s="43"/>
      <c r="C1992" s="42"/>
      <c r="D1992" s="42"/>
      <c r="E1992" s="42"/>
      <c r="F1992" s="57"/>
      <c r="G1992" s="42"/>
    </row>
    <row r="1993" spans="1:7" ht="12.75" hidden="1" customHeight="1">
      <c r="A1993" s="39" t="s">
        <v>165</v>
      </c>
      <c r="B1993" s="43"/>
      <c r="C1993" s="42"/>
      <c r="D1993" s="42"/>
      <c r="E1993" s="42"/>
      <c r="F1993" s="57"/>
      <c r="G1993" s="42"/>
    </row>
    <row r="1994" spans="1:7" ht="12.75" hidden="1" customHeight="1">
      <c r="A1994" s="39" t="s">
        <v>505</v>
      </c>
      <c r="B1994" s="43"/>
      <c r="C1994" s="42"/>
      <c r="D1994" s="42"/>
      <c r="E1994" s="42"/>
      <c r="F1994" s="57"/>
      <c r="G1994" s="42"/>
    </row>
    <row r="1995" spans="1:7" ht="12.75" hidden="1" customHeight="1">
      <c r="A1995" s="39" t="s">
        <v>166</v>
      </c>
      <c r="B1995" s="43"/>
      <c r="C1995" s="42"/>
      <c r="D1995" s="42"/>
      <c r="E1995" s="42"/>
      <c r="F1995" s="57"/>
      <c r="G1995" s="42"/>
    </row>
    <row r="1996" spans="1:7" ht="12.75" hidden="1" customHeight="1">
      <c r="A1996" s="39" t="s">
        <v>167</v>
      </c>
      <c r="B1996" s="43"/>
      <c r="C1996" s="42"/>
      <c r="D1996" s="42"/>
      <c r="E1996" s="42"/>
      <c r="F1996" s="57"/>
      <c r="G1996" s="42"/>
    </row>
    <row r="1997" spans="1:7" ht="12.75" hidden="1" customHeight="1">
      <c r="A1997" s="39" t="s">
        <v>168</v>
      </c>
      <c r="B1997" s="43"/>
      <c r="C1997" s="42"/>
      <c r="D1997" s="42"/>
      <c r="E1997" s="42"/>
      <c r="F1997" s="57"/>
      <c r="G1997" s="42"/>
    </row>
    <row r="1998" spans="1:7" ht="12.75" hidden="1" customHeight="1">
      <c r="A1998" s="39" t="s">
        <v>169</v>
      </c>
      <c r="B1998" s="43"/>
      <c r="C1998" s="42"/>
      <c r="D1998" s="42"/>
      <c r="E1998" s="42"/>
      <c r="F1998" s="57"/>
      <c r="G1998" s="42"/>
    </row>
    <row r="1999" spans="1:7" ht="12.75" hidden="1" customHeight="1">
      <c r="A1999" s="39" t="s">
        <v>170</v>
      </c>
      <c r="B1999" s="43"/>
      <c r="C1999" s="42"/>
      <c r="D1999" s="42"/>
      <c r="E1999" s="42"/>
      <c r="F1999" s="57"/>
      <c r="G1999" s="42"/>
    </row>
    <row r="2000" spans="1:7" ht="12.75" hidden="1" customHeight="1">
      <c r="A2000" s="39" t="s">
        <v>171</v>
      </c>
      <c r="B2000" s="43"/>
      <c r="C2000" s="42"/>
      <c r="D2000" s="42"/>
      <c r="E2000" s="42"/>
      <c r="F2000" s="57"/>
      <c r="G2000" s="42"/>
    </row>
    <row r="2001" spans="1:7" ht="12.75" hidden="1" customHeight="1">
      <c r="A2001" s="39" t="s">
        <v>172</v>
      </c>
      <c r="B2001" s="41"/>
      <c r="C2001" s="42"/>
      <c r="D2001" s="42"/>
      <c r="E2001" s="42"/>
      <c r="F2001" s="57"/>
      <c r="G2001" s="42"/>
    </row>
    <row r="2002" spans="1:7" ht="12.75" hidden="1" customHeight="1">
      <c r="A2002" s="39" t="s">
        <v>12</v>
      </c>
      <c r="B2002" s="43"/>
      <c r="C2002" s="42"/>
      <c r="D2002" s="42"/>
      <c r="E2002" s="42"/>
      <c r="F2002" s="57"/>
      <c r="G2002" s="42"/>
    </row>
    <row r="2003" spans="1:7" ht="12.75" hidden="1" customHeight="1">
      <c r="A2003" s="39" t="s">
        <v>13</v>
      </c>
      <c r="B2003" s="43"/>
      <c r="C2003" s="42"/>
      <c r="D2003" s="42"/>
      <c r="E2003" s="42"/>
      <c r="F2003" s="57"/>
      <c r="G2003" s="42"/>
    </row>
    <row r="2004" spans="1:7" ht="12.75" hidden="1" customHeight="1">
      <c r="A2004" s="39" t="s">
        <v>14</v>
      </c>
      <c r="B2004" s="43"/>
      <c r="C2004" s="42"/>
      <c r="D2004" s="42"/>
      <c r="E2004" s="42"/>
      <c r="F2004" s="57"/>
      <c r="G2004" s="42"/>
    </row>
    <row r="2005" spans="1:7" ht="12.75" hidden="1" customHeight="1">
      <c r="A2005" s="39" t="s">
        <v>15</v>
      </c>
      <c r="B2005" s="43"/>
      <c r="C2005" s="42"/>
      <c r="D2005" s="42"/>
      <c r="E2005" s="42"/>
      <c r="F2005" s="57"/>
      <c r="G2005" s="42"/>
    </row>
    <row r="2006" spans="1:7" ht="12.75" hidden="1" customHeight="1">
      <c r="A2006" s="39" t="s">
        <v>16</v>
      </c>
      <c r="B2006" s="43"/>
      <c r="C2006" s="42"/>
      <c r="D2006" s="42"/>
      <c r="E2006" s="42"/>
      <c r="F2006" s="57"/>
      <c r="G2006" s="42"/>
    </row>
    <row r="2007" spans="1:7" ht="12.75" hidden="1" customHeight="1">
      <c r="A2007" s="39" t="s">
        <v>173</v>
      </c>
      <c r="B2007" s="43"/>
      <c r="C2007" s="42"/>
      <c r="D2007" s="42"/>
      <c r="E2007" s="42"/>
      <c r="F2007" s="57"/>
      <c r="G2007" s="42"/>
    </row>
    <row r="2008" spans="1:7" ht="12.75" hidden="1" customHeight="1">
      <c r="A2008" s="39" t="s">
        <v>174</v>
      </c>
      <c r="B2008" s="45"/>
      <c r="C2008" s="42"/>
      <c r="D2008" s="42"/>
      <c r="E2008" s="42"/>
      <c r="F2008" s="57"/>
      <c r="G2008" s="42"/>
    </row>
    <row r="2009" spans="1:7" ht="12.75" hidden="1" customHeight="1">
      <c r="A2009" s="39" t="s">
        <v>175</v>
      </c>
      <c r="B2009" s="45"/>
      <c r="C2009" s="42"/>
      <c r="D2009" s="42"/>
      <c r="E2009" s="42"/>
      <c r="F2009" s="57"/>
      <c r="G2009" s="42"/>
    </row>
    <row r="2010" spans="1:7" ht="12.75" hidden="1" customHeight="1">
      <c r="A2010" s="39" t="s">
        <v>176</v>
      </c>
      <c r="B2010" s="43"/>
      <c r="C2010" s="42"/>
      <c r="D2010" s="42"/>
      <c r="E2010" s="42"/>
      <c r="F2010" s="57"/>
      <c r="G2010" s="42"/>
    </row>
    <row r="2011" spans="1:7" ht="12.75" hidden="1" customHeight="1">
      <c r="A2011" s="39" t="s">
        <v>466</v>
      </c>
      <c r="B2011" s="43"/>
      <c r="C2011" s="42"/>
      <c r="D2011" s="42"/>
      <c r="E2011" s="42"/>
      <c r="F2011" s="57"/>
      <c r="G2011" s="42"/>
    </row>
    <row r="2012" spans="1:7" ht="12.75" hidden="1" customHeight="1">
      <c r="A2012" s="156" t="s">
        <v>178</v>
      </c>
      <c r="B2012" s="43"/>
      <c r="C2012" s="42"/>
      <c r="D2012" s="42"/>
      <c r="E2012" s="42"/>
      <c r="F2012" s="57"/>
      <c r="G2012" s="42"/>
    </row>
    <row r="2013" spans="1:7" ht="12.75" hidden="1" customHeight="1">
      <c r="A2013" s="39" t="s">
        <v>179</v>
      </c>
      <c r="B2013" s="43"/>
      <c r="C2013" s="42"/>
      <c r="D2013" s="42"/>
      <c r="E2013" s="42"/>
      <c r="F2013" s="57"/>
      <c r="G2013" s="42"/>
    </row>
    <row r="2014" spans="1:7" ht="12.75" hidden="1" customHeight="1">
      <c r="A2014" s="39" t="s">
        <v>180</v>
      </c>
      <c r="B2014" s="43"/>
      <c r="C2014" s="42"/>
      <c r="D2014" s="42"/>
      <c r="E2014" s="42"/>
      <c r="F2014" s="57"/>
      <c r="G2014" s="42"/>
    </row>
    <row r="2015" spans="1:7" ht="12.75" hidden="1" customHeight="1">
      <c r="A2015" s="39" t="s">
        <v>181</v>
      </c>
      <c r="B2015" s="43"/>
      <c r="C2015" s="42"/>
      <c r="D2015" s="42"/>
      <c r="E2015" s="42"/>
      <c r="F2015" s="57"/>
      <c r="G2015" s="42"/>
    </row>
    <row r="2016" spans="1:7" ht="12.75" hidden="1" customHeight="1">
      <c r="A2016" s="39" t="s">
        <v>182</v>
      </c>
      <c r="B2016" s="41"/>
      <c r="C2016" s="42"/>
      <c r="D2016" s="42"/>
      <c r="E2016" s="42"/>
      <c r="F2016" s="57"/>
      <c r="G2016" s="42"/>
    </row>
    <row r="2017" spans="1:7" ht="12.75" hidden="1" customHeight="1">
      <c r="A2017" s="156" t="s">
        <v>183</v>
      </c>
      <c r="B2017" s="43"/>
      <c r="C2017" s="42"/>
      <c r="D2017" s="42"/>
      <c r="E2017" s="42"/>
      <c r="F2017" s="57"/>
      <c r="G2017" s="42"/>
    </row>
    <row r="2018" spans="1:7" ht="12.75" hidden="1" customHeight="1">
      <c r="A2018" s="39" t="s">
        <v>184</v>
      </c>
      <c r="B2018" s="43"/>
      <c r="C2018" s="42"/>
      <c r="D2018" s="42"/>
      <c r="E2018" s="42"/>
      <c r="F2018" s="57"/>
      <c r="G2018" s="42"/>
    </row>
    <row r="2019" spans="1:7" ht="12.75" hidden="1" customHeight="1">
      <c r="A2019" s="39" t="s">
        <v>185</v>
      </c>
      <c r="B2019" s="43"/>
      <c r="C2019" s="42"/>
      <c r="D2019" s="42"/>
      <c r="E2019" s="42"/>
      <c r="F2019" s="57"/>
      <c r="G2019" s="42"/>
    </row>
    <row r="2020" spans="1:7" ht="12.75" hidden="1" customHeight="1">
      <c r="A2020" s="39" t="s">
        <v>186</v>
      </c>
      <c r="B2020" s="43"/>
      <c r="C2020" s="42"/>
      <c r="D2020" s="42"/>
      <c r="E2020" s="42"/>
      <c r="F2020" s="57"/>
      <c r="G2020" s="42"/>
    </row>
    <row r="2021" spans="1:7" ht="12.75" hidden="1" customHeight="1">
      <c r="A2021" s="39" t="s">
        <v>187</v>
      </c>
      <c r="B2021" s="43"/>
      <c r="C2021" s="42"/>
      <c r="D2021" s="42"/>
      <c r="E2021" s="42"/>
      <c r="F2021" s="57"/>
      <c r="G2021" s="42"/>
    </row>
    <row r="2022" spans="1:7" ht="12.75" hidden="1" customHeight="1">
      <c r="A2022" s="39" t="s">
        <v>188</v>
      </c>
      <c r="B2022" s="43"/>
      <c r="C2022" s="42"/>
      <c r="D2022" s="42"/>
      <c r="E2022" s="42"/>
      <c r="F2022" s="57"/>
      <c r="G2022" s="42"/>
    </row>
    <row r="2023" spans="1:7" ht="12.75" hidden="1" customHeight="1">
      <c r="A2023" s="39" t="s">
        <v>189</v>
      </c>
      <c r="B2023" s="43"/>
      <c r="C2023" s="42"/>
      <c r="D2023" s="42"/>
      <c r="E2023" s="42"/>
      <c r="F2023" s="57"/>
      <c r="G2023" s="42"/>
    </row>
    <row r="2024" spans="1:7" ht="12.75" hidden="1" customHeight="1">
      <c r="A2024" s="156" t="s">
        <v>190</v>
      </c>
      <c r="B2024" s="43"/>
      <c r="C2024" s="42"/>
      <c r="D2024" s="42"/>
      <c r="E2024" s="42"/>
      <c r="F2024" s="57"/>
      <c r="G2024" s="42"/>
    </row>
    <row r="2025" spans="1:7" ht="12.75" hidden="1" customHeight="1">
      <c r="A2025" s="39" t="s">
        <v>190</v>
      </c>
      <c r="B2025" s="43"/>
      <c r="C2025" s="42"/>
      <c r="D2025" s="42"/>
      <c r="E2025" s="42"/>
      <c r="F2025" s="57"/>
      <c r="G2025" s="42"/>
    </row>
    <row r="2026" spans="1:7" ht="12.75" hidden="1" customHeight="1">
      <c r="A2026" s="39" t="s">
        <v>191</v>
      </c>
      <c r="B2026" s="45"/>
      <c r="C2026" s="42"/>
      <c r="D2026" s="42"/>
      <c r="E2026" s="42"/>
      <c r="F2026" s="57"/>
      <c r="G2026" s="42"/>
    </row>
    <row r="2027" spans="1:7" ht="12.75" hidden="1" customHeight="1">
      <c r="A2027" s="39" t="s">
        <v>17</v>
      </c>
      <c r="B2027" s="41"/>
      <c r="C2027" s="42"/>
      <c r="D2027" s="42"/>
      <c r="E2027" s="42"/>
      <c r="F2027" s="45"/>
      <c r="G2027" s="42"/>
    </row>
    <row r="2028" spans="1:7" ht="12.75" hidden="1" customHeight="1">
      <c r="A2028" s="39" t="s">
        <v>18</v>
      </c>
      <c r="B2028" s="43"/>
      <c r="C2028" s="42"/>
      <c r="D2028" s="42"/>
      <c r="E2028" s="42"/>
      <c r="F2028" s="45"/>
      <c r="G2028" s="42"/>
    </row>
    <row r="2029" spans="1:7" ht="12.75" hidden="1" customHeight="1">
      <c r="A2029" s="39" t="s">
        <v>192</v>
      </c>
      <c r="B2029" s="43"/>
      <c r="C2029" s="42"/>
      <c r="D2029" s="42"/>
      <c r="E2029" s="42"/>
      <c r="F2029" s="45"/>
      <c r="G2029" s="42"/>
    </row>
    <row r="2030" spans="1:7" ht="12.75" hidden="1" customHeight="1">
      <c r="A2030" s="39" t="s">
        <v>19</v>
      </c>
      <c r="B2030" s="43"/>
      <c r="C2030" s="42"/>
      <c r="D2030" s="42"/>
      <c r="E2030" s="42"/>
      <c r="F2030" s="45"/>
      <c r="G2030" s="42"/>
    </row>
    <row r="2031" spans="1:7" ht="12.75" hidden="1" customHeight="1">
      <c r="A2031" s="39" t="s">
        <v>193</v>
      </c>
      <c r="B2031" s="43"/>
      <c r="C2031" s="42"/>
      <c r="D2031" s="42"/>
      <c r="E2031" s="42"/>
      <c r="F2031" s="45"/>
      <c r="G2031" s="42"/>
    </row>
    <row r="2032" spans="1:7" ht="12.75" hidden="1" customHeight="1">
      <c r="A2032" s="39" t="s">
        <v>194</v>
      </c>
      <c r="B2032" s="43"/>
      <c r="C2032" s="42"/>
      <c r="D2032" s="42"/>
      <c r="E2032" s="42"/>
      <c r="F2032" s="45"/>
      <c r="G2032" s="42"/>
    </row>
    <row r="2033" spans="1:7" ht="12.75" hidden="1" customHeight="1">
      <c r="A2033" s="39" t="s">
        <v>195</v>
      </c>
      <c r="B2033" s="43"/>
      <c r="C2033" s="42"/>
      <c r="D2033" s="42"/>
      <c r="E2033" s="42"/>
      <c r="F2033" s="45"/>
      <c r="G2033" s="42"/>
    </row>
    <row r="2034" spans="1:7" ht="12.75" hidden="1" customHeight="1">
      <c r="A2034" s="39" t="s">
        <v>196</v>
      </c>
      <c r="B2034" s="43"/>
      <c r="C2034" s="42"/>
      <c r="D2034" s="42"/>
      <c r="E2034" s="42"/>
      <c r="F2034" s="45"/>
      <c r="G2034" s="42"/>
    </row>
    <row r="2035" spans="1:7" ht="12.75" hidden="1" customHeight="1">
      <c r="A2035" s="39" t="s">
        <v>197</v>
      </c>
      <c r="B2035" s="43"/>
      <c r="C2035" s="42"/>
      <c r="D2035" s="42"/>
      <c r="E2035" s="42"/>
      <c r="F2035" s="45"/>
      <c r="G2035" s="42"/>
    </row>
    <row r="2036" spans="1:7" ht="12.75" hidden="1" customHeight="1">
      <c r="A2036" s="39" t="s">
        <v>198</v>
      </c>
      <c r="B2036" s="43"/>
      <c r="C2036" s="42"/>
      <c r="D2036" s="42"/>
      <c r="E2036" s="42"/>
      <c r="F2036" s="45"/>
      <c r="G2036" s="42"/>
    </row>
    <row r="2037" spans="1:7" ht="12.75" hidden="1" customHeight="1">
      <c r="A2037" s="39" t="s">
        <v>199</v>
      </c>
      <c r="B2037" s="43"/>
      <c r="C2037" s="42"/>
      <c r="D2037" s="42"/>
      <c r="E2037" s="42"/>
      <c r="F2037" s="45"/>
      <c r="G2037" s="42"/>
    </row>
    <row r="2038" spans="1:7" ht="12.75" hidden="1" customHeight="1">
      <c r="A2038" s="39" t="s">
        <v>200</v>
      </c>
      <c r="B2038" s="43"/>
      <c r="C2038" s="42"/>
      <c r="D2038" s="42"/>
      <c r="E2038" s="42"/>
      <c r="F2038" s="45"/>
      <c r="G2038" s="42"/>
    </row>
    <row r="2039" spans="1:7" ht="12.75" hidden="1" customHeight="1">
      <c r="A2039" s="39" t="s">
        <v>201</v>
      </c>
      <c r="B2039" s="43"/>
      <c r="C2039" s="42"/>
      <c r="D2039" s="42"/>
      <c r="E2039" s="42"/>
      <c r="F2039" s="45"/>
      <c r="G2039" s="42"/>
    </row>
    <row r="2040" spans="1:7" ht="12.75" hidden="1" customHeight="1">
      <c r="A2040" s="49" t="s">
        <v>207</v>
      </c>
      <c r="B2040" s="43"/>
      <c r="C2040" s="42"/>
      <c r="D2040" s="42"/>
      <c r="E2040" s="42"/>
      <c r="F2040" s="42"/>
      <c r="G2040" s="42"/>
    </row>
    <row r="2041" spans="1:7" ht="12.75" hidden="1" customHeight="1">
      <c r="A2041" s="46" t="s">
        <v>203</v>
      </c>
      <c r="B2041" s="43"/>
      <c r="C2041" s="42"/>
      <c r="D2041" s="42"/>
      <c r="E2041" s="42"/>
      <c r="F2041" s="45"/>
      <c r="G2041" s="42"/>
    </row>
    <row r="2042" spans="1:7" ht="12.75" hidden="1" customHeight="1">
      <c r="A2042" s="46" t="s">
        <v>204</v>
      </c>
      <c r="B2042" s="43"/>
      <c r="C2042" s="42"/>
      <c r="D2042" s="42"/>
      <c r="E2042" s="42"/>
      <c r="F2042" s="45"/>
      <c r="G2042" s="42"/>
    </row>
    <row r="2043" spans="1:7" ht="12.75" hidden="1" customHeight="1">
      <c r="A2043" s="46" t="s">
        <v>205</v>
      </c>
      <c r="B2043" s="43"/>
      <c r="C2043" s="42"/>
      <c r="D2043" s="42"/>
      <c r="E2043" s="42"/>
      <c r="F2043" s="45"/>
      <c r="G2043" s="42"/>
    </row>
    <row r="2044" spans="1:7" ht="12.75" hidden="1" customHeight="1">
      <c r="A2044" s="39" t="s">
        <v>202</v>
      </c>
      <c r="B2044" s="43"/>
      <c r="C2044" s="42"/>
      <c r="D2044" s="42"/>
      <c r="E2044" s="42"/>
      <c r="F2044" s="57"/>
      <c r="G2044" s="42"/>
    </row>
    <row r="2045" spans="1:7" ht="12.75" hidden="1" customHeight="1">
      <c r="A2045" s="39" t="s">
        <v>208</v>
      </c>
      <c r="B2045" s="48"/>
      <c r="C2045" s="42">
        <v>17353.23</v>
      </c>
      <c r="D2045" s="42">
        <v>0</v>
      </c>
      <c r="E2045" s="42">
        <v>178149.27</v>
      </c>
      <c r="F2045" s="57"/>
      <c r="G2045" s="42">
        <f>SUM(C2045:F2045)</f>
        <v>195502.5</v>
      </c>
    </row>
    <row r="2046" spans="1:7" ht="12.75" hidden="1" customHeight="1">
      <c r="A2046" s="48" t="s">
        <v>209</v>
      </c>
      <c r="B2046" s="43"/>
      <c r="C2046" s="42">
        <v>17353.23</v>
      </c>
      <c r="D2046" s="42">
        <v>0</v>
      </c>
      <c r="E2046" s="42">
        <v>178149.27</v>
      </c>
      <c r="F2046" s="39"/>
      <c r="G2046" s="42">
        <f>SUM(C2046:F2046)</f>
        <v>195502.5</v>
      </c>
    </row>
    <row r="2047" spans="1:7" ht="12.75" hidden="1" customHeight="1">
      <c r="A2047" s="63"/>
      <c r="B2047" s="52"/>
      <c r="C2047" s="51"/>
      <c r="D2047" s="51"/>
      <c r="E2047" s="64"/>
      <c r="F2047" s="65"/>
      <c r="G2047" s="40"/>
    </row>
    <row r="2048" spans="1:7" ht="12.75" hidden="1" customHeight="1">
      <c r="A2048" s="63"/>
      <c r="B2048" s="52"/>
      <c r="C2048" s="51"/>
      <c r="D2048" s="51"/>
      <c r="E2048" s="51"/>
      <c r="F2048" s="65"/>
      <c r="G2048" s="40"/>
    </row>
    <row r="2049" spans="1:7" ht="12.75" hidden="1" customHeight="1">
      <c r="A2049" s="51"/>
      <c r="B2049" s="52"/>
      <c r="C2049" s="51"/>
      <c r="D2049" s="51"/>
      <c r="E2049" s="64"/>
      <c r="F2049" s="65"/>
      <c r="G2049" s="40"/>
    </row>
    <row r="2050" spans="1:7" ht="12.75" hidden="1" customHeight="1">
      <c r="A2050" s="269" t="s">
        <v>546</v>
      </c>
      <c r="B2050" s="269"/>
      <c r="C2050" s="269"/>
      <c r="D2050" s="269"/>
      <c r="E2050" s="269"/>
      <c r="F2050" s="269"/>
      <c r="G2050" s="40"/>
    </row>
    <row r="2051" spans="1:7" ht="12.75" hidden="1" customHeight="1">
      <c r="A2051" s="42" t="s">
        <v>86</v>
      </c>
      <c r="B2051" s="43" t="s">
        <v>211</v>
      </c>
      <c r="C2051" s="43" t="s">
        <v>212</v>
      </c>
      <c r="D2051" s="43" t="s">
        <v>88</v>
      </c>
      <c r="E2051" s="43" t="s">
        <v>89</v>
      </c>
      <c r="F2051" s="43" t="s">
        <v>90</v>
      </c>
      <c r="G2051" s="45" t="s">
        <v>213</v>
      </c>
    </row>
    <row r="2052" spans="1:7" ht="12.75" hidden="1" customHeight="1">
      <c r="A2052" s="42" t="s">
        <v>20</v>
      </c>
      <c r="B2052" s="43"/>
      <c r="C2052" s="43"/>
      <c r="D2052" s="44"/>
      <c r="E2052" s="44"/>
      <c r="F2052" s="44"/>
      <c r="G2052" s="39"/>
    </row>
    <row r="2053" spans="1:7" ht="12.75" hidden="1" customHeight="1">
      <c r="A2053" s="42" t="s">
        <v>214</v>
      </c>
      <c r="B2053" s="43"/>
      <c r="C2053" s="43"/>
      <c r="D2053" s="44"/>
      <c r="E2053" s="44"/>
      <c r="F2053" s="44"/>
      <c r="G2053" s="44"/>
    </row>
    <row r="2054" spans="1:7" ht="12.75" hidden="1" customHeight="1">
      <c r="A2054" s="42" t="s">
        <v>215</v>
      </c>
      <c r="B2054" s="43"/>
      <c r="C2054" s="43"/>
      <c r="D2054" s="44"/>
      <c r="E2054" s="44"/>
      <c r="F2054" s="44"/>
      <c r="G2054" s="44"/>
    </row>
    <row r="2055" spans="1:7" ht="12.75" hidden="1" customHeight="1">
      <c r="A2055" s="42" t="s">
        <v>216</v>
      </c>
      <c r="B2055" s="43"/>
      <c r="C2055" s="43"/>
      <c r="D2055" s="44"/>
      <c r="E2055" s="44"/>
      <c r="F2055" s="44"/>
      <c r="G2055" s="44"/>
    </row>
    <row r="2056" spans="1:7" ht="12.75" hidden="1" customHeight="1">
      <c r="A2056" s="42" t="s">
        <v>217</v>
      </c>
      <c r="B2056" s="43"/>
      <c r="C2056" s="43"/>
      <c r="D2056" s="44"/>
      <c r="E2056" s="44"/>
      <c r="F2056" s="44"/>
      <c r="G2056" s="44"/>
    </row>
    <row r="2057" spans="1:7" ht="12.75" hidden="1" customHeight="1">
      <c r="A2057" s="42" t="s">
        <v>218</v>
      </c>
      <c r="B2057" s="45"/>
      <c r="C2057" s="45"/>
      <c r="D2057" s="44"/>
      <c r="E2057" s="44"/>
      <c r="F2057" s="44"/>
      <c r="G2057" s="44"/>
    </row>
    <row r="2058" spans="1:7" ht="12.75" hidden="1" customHeight="1">
      <c r="A2058" s="42" t="s">
        <v>219</v>
      </c>
      <c r="B2058" s="45">
        <v>148</v>
      </c>
      <c r="C2058" s="45">
        <v>384</v>
      </c>
      <c r="D2058" s="66">
        <f>C2058/C$2092*D$2092</f>
        <v>82692.932499999995</v>
      </c>
      <c r="E2058" s="66">
        <f>B2058/B$2092*E$2092</f>
        <v>62407.505693430656</v>
      </c>
      <c r="F2058" s="66">
        <f>C2058/C$2092*F$2092</f>
        <v>48636.49</v>
      </c>
      <c r="G2058" s="44">
        <f>SUM(D2058:F2058)</f>
        <v>193736.92819343065</v>
      </c>
    </row>
    <row r="2059" spans="1:7" ht="12.75" hidden="1" customHeight="1">
      <c r="A2059" s="42" t="s">
        <v>21</v>
      </c>
      <c r="B2059" s="43"/>
      <c r="C2059" s="43"/>
      <c r="D2059" s="44">
        <f t="shared" ref="D2059:D2078" si="89">C2059/C$2092*D$2092</f>
        <v>0</v>
      </c>
      <c r="E2059" s="44">
        <f t="shared" ref="E2059:E2078" si="90">B2059/B$2092*E$2092</f>
        <v>0</v>
      </c>
      <c r="F2059" s="44">
        <f t="shared" ref="F2059:F2078" si="91">C2059/C$2092*F$2092</f>
        <v>0</v>
      </c>
      <c r="G2059" s="44">
        <f t="shared" ref="G2059:G2078" si="92">SUM(D2059:F2059)</f>
        <v>0</v>
      </c>
    </row>
    <row r="2060" spans="1:7" ht="12.75" hidden="1" customHeight="1">
      <c r="A2060" s="42" t="s">
        <v>220</v>
      </c>
      <c r="B2060" s="43"/>
      <c r="C2060" s="43"/>
      <c r="D2060" s="44">
        <f t="shared" si="89"/>
        <v>0</v>
      </c>
      <c r="E2060" s="44">
        <f t="shared" si="90"/>
        <v>0</v>
      </c>
      <c r="F2060" s="44">
        <f t="shared" si="91"/>
        <v>0</v>
      </c>
      <c r="G2060" s="44">
        <f t="shared" si="92"/>
        <v>0</v>
      </c>
    </row>
    <row r="2061" spans="1:7" ht="12.75" hidden="1" customHeight="1">
      <c r="A2061" s="42" t="s">
        <v>221</v>
      </c>
      <c r="B2061" s="43"/>
      <c r="C2061" s="43"/>
      <c r="D2061" s="44">
        <f t="shared" si="89"/>
        <v>0</v>
      </c>
      <c r="E2061" s="44">
        <f t="shared" si="90"/>
        <v>0</v>
      </c>
      <c r="F2061" s="44">
        <f t="shared" si="91"/>
        <v>0</v>
      </c>
      <c r="G2061" s="44">
        <f t="shared" si="92"/>
        <v>0</v>
      </c>
    </row>
    <row r="2062" spans="1:7" ht="12.75" hidden="1" customHeight="1">
      <c r="A2062" s="42" t="s">
        <v>22</v>
      </c>
      <c r="B2062" s="43"/>
      <c r="C2062" s="43"/>
      <c r="D2062" s="44">
        <f t="shared" si="89"/>
        <v>0</v>
      </c>
      <c r="E2062" s="44">
        <f t="shared" si="90"/>
        <v>0</v>
      </c>
      <c r="F2062" s="44">
        <f t="shared" si="91"/>
        <v>0</v>
      </c>
      <c r="G2062" s="44">
        <f t="shared" si="92"/>
        <v>0</v>
      </c>
    </row>
    <row r="2063" spans="1:7" ht="12.75" hidden="1" customHeight="1">
      <c r="A2063" s="42" t="s">
        <v>23</v>
      </c>
      <c r="B2063" s="43"/>
      <c r="C2063" s="43"/>
      <c r="D2063" s="44">
        <f t="shared" si="89"/>
        <v>0</v>
      </c>
      <c r="E2063" s="44">
        <f t="shared" si="90"/>
        <v>0</v>
      </c>
      <c r="F2063" s="44">
        <f t="shared" si="91"/>
        <v>0</v>
      </c>
      <c r="G2063" s="44">
        <f t="shared" si="92"/>
        <v>0</v>
      </c>
    </row>
    <row r="2064" spans="1:7" ht="12.75" hidden="1" customHeight="1">
      <c r="A2064" s="42" t="s">
        <v>24</v>
      </c>
      <c r="B2064" s="43"/>
      <c r="C2064" s="43"/>
      <c r="D2064" s="44">
        <f t="shared" si="89"/>
        <v>0</v>
      </c>
      <c r="E2064" s="44">
        <f t="shared" si="90"/>
        <v>0</v>
      </c>
      <c r="F2064" s="44">
        <f t="shared" si="91"/>
        <v>0</v>
      </c>
      <c r="G2064" s="44">
        <f t="shared" si="92"/>
        <v>0</v>
      </c>
    </row>
    <row r="2065" spans="1:7" ht="12.75" hidden="1" customHeight="1">
      <c r="A2065" s="42" t="s">
        <v>222</v>
      </c>
      <c r="B2065" s="43"/>
      <c r="C2065" s="43"/>
      <c r="D2065" s="44">
        <f t="shared" si="89"/>
        <v>0</v>
      </c>
      <c r="E2065" s="44">
        <f t="shared" si="90"/>
        <v>0</v>
      </c>
      <c r="F2065" s="44">
        <f t="shared" si="91"/>
        <v>0</v>
      </c>
      <c r="G2065" s="44">
        <f t="shared" si="92"/>
        <v>0</v>
      </c>
    </row>
    <row r="2066" spans="1:7" ht="12.75" hidden="1" customHeight="1">
      <c r="A2066" s="42" t="s">
        <v>223</v>
      </c>
      <c r="B2066" s="43">
        <f>256-96</f>
        <v>160</v>
      </c>
      <c r="C2066" s="43">
        <f>640-256</f>
        <v>384</v>
      </c>
      <c r="D2066" s="66">
        <f t="shared" si="89"/>
        <v>82692.932499999995</v>
      </c>
      <c r="E2066" s="66">
        <f t="shared" si="90"/>
        <v>67467.573722627727</v>
      </c>
      <c r="F2066" s="66">
        <f t="shared" si="91"/>
        <v>48636.49</v>
      </c>
      <c r="G2066" s="44">
        <f t="shared" si="92"/>
        <v>198796.9962226277</v>
      </c>
    </row>
    <row r="2067" spans="1:7" ht="12.75" hidden="1" customHeight="1">
      <c r="A2067" s="42" t="s">
        <v>224</v>
      </c>
      <c r="B2067" s="43"/>
      <c r="C2067" s="43"/>
      <c r="D2067" s="44">
        <f t="shared" si="89"/>
        <v>0</v>
      </c>
      <c r="E2067" s="44">
        <f t="shared" si="90"/>
        <v>0</v>
      </c>
      <c r="F2067" s="44">
        <f t="shared" si="91"/>
        <v>0</v>
      </c>
      <c r="G2067" s="44">
        <f t="shared" si="92"/>
        <v>0</v>
      </c>
    </row>
    <row r="2068" spans="1:7" ht="12.75" hidden="1" customHeight="1">
      <c r="A2068" s="42" t="s">
        <v>225</v>
      </c>
      <c r="B2068" s="43"/>
      <c r="C2068" s="43"/>
      <c r="D2068" s="44">
        <f t="shared" si="89"/>
        <v>0</v>
      </c>
      <c r="E2068" s="44">
        <f t="shared" si="90"/>
        <v>0</v>
      </c>
      <c r="F2068" s="44">
        <f t="shared" si="91"/>
        <v>0</v>
      </c>
      <c r="G2068" s="44">
        <f t="shared" si="92"/>
        <v>0</v>
      </c>
    </row>
    <row r="2069" spans="1:7" ht="12.75" hidden="1" customHeight="1">
      <c r="A2069" s="42" t="s">
        <v>226</v>
      </c>
      <c r="B2069" s="43"/>
      <c r="C2069" s="43"/>
      <c r="D2069" s="44">
        <f t="shared" si="89"/>
        <v>0</v>
      </c>
      <c r="E2069" s="44">
        <f t="shared" si="90"/>
        <v>0</v>
      </c>
      <c r="F2069" s="44">
        <f t="shared" si="91"/>
        <v>0</v>
      </c>
      <c r="G2069" s="44">
        <f t="shared" si="92"/>
        <v>0</v>
      </c>
    </row>
    <row r="2070" spans="1:7" ht="12.75" hidden="1" customHeight="1">
      <c r="A2070" s="42" t="s">
        <v>227</v>
      </c>
      <c r="B2070" s="43"/>
      <c r="C2070" s="43"/>
      <c r="D2070" s="44">
        <f t="shared" si="89"/>
        <v>0</v>
      </c>
      <c r="E2070" s="44">
        <f t="shared" si="90"/>
        <v>0</v>
      </c>
      <c r="F2070" s="44">
        <f t="shared" si="91"/>
        <v>0</v>
      </c>
      <c r="G2070" s="44">
        <f t="shared" si="92"/>
        <v>0</v>
      </c>
    </row>
    <row r="2071" spans="1:7" ht="12.75" hidden="1" customHeight="1">
      <c r="A2071" s="46" t="s">
        <v>228</v>
      </c>
      <c r="B2071" s="43"/>
      <c r="C2071" s="43"/>
      <c r="D2071" s="44">
        <f t="shared" si="89"/>
        <v>0</v>
      </c>
      <c r="E2071" s="44">
        <f t="shared" si="90"/>
        <v>0</v>
      </c>
      <c r="F2071" s="44">
        <f t="shared" si="91"/>
        <v>0</v>
      </c>
      <c r="G2071" s="44">
        <f t="shared" si="92"/>
        <v>0</v>
      </c>
    </row>
    <row r="2072" spans="1:7" ht="12.75" hidden="1" customHeight="1">
      <c r="A2072" s="42" t="s">
        <v>25</v>
      </c>
      <c r="B2072" s="43"/>
      <c r="C2072" s="43"/>
      <c r="D2072" s="44">
        <f t="shared" si="89"/>
        <v>0</v>
      </c>
      <c r="E2072" s="44">
        <f t="shared" si="90"/>
        <v>0</v>
      </c>
      <c r="F2072" s="44">
        <f t="shared" si="91"/>
        <v>0</v>
      </c>
      <c r="G2072" s="44">
        <f t="shared" si="92"/>
        <v>0</v>
      </c>
    </row>
    <row r="2073" spans="1:7" ht="12.75" hidden="1" customHeight="1">
      <c r="A2073" s="46" t="s">
        <v>463</v>
      </c>
      <c r="B2073" s="43"/>
      <c r="C2073" s="43"/>
      <c r="D2073" s="44">
        <f t="shared" si="89"/>
        <v>0</v>
      </c>
      <c r="E2073" s="44">
        <f t="shared" si="90"/>
        <v>0</v>
      </c>
      <c r="F2073" s="44">
        <f t="shared" si="91"/>
        <v>0</v>
      </c>
      <c r="G2073" s="44">
        <f t="shared" si="92"/>
        <v>0</v>
      </c>
    </row>
    <row r="2074" spans="1:7" ht="12.75" hidden="1" customHeight="1">
      <c r="A2074" s="46" t="s">
        <v>464</v>
      </c>
      <c r="B2074" s="43"/>
      <c r="C2074" s="43"/>
      <c r="D2074" s="44">
        <f t="shared" si="89"/>
        <v>0</v>
      </c>
      <c r="E2074" s="44">
        <f t="shared" si="90"/>
        <v>0</v>
      </c>
      <c r="F2074" s="44">
        <f t="shared" si="91"/>
        <v>0</v>
      </c>
      <c r="G2074" s="44">
        <f t="shared" si="92"/>
        <v>0</v>
      </c>
    </row>
    <row r="2075" spans="1:7" ht="12.75" hidden="1" customHeight="1">
      <c r="A2075" s="42" t="s">
        <v>508</v>
      </c>
      <c r="B2075" s="43">
        <v>108</v>
      </c>
      <c r="C2075" s="43">
        <v>352</v>
      </c>
      <c r="D2075" s="66">
        <f t="shared" si="89"/>
        <v>75801.854791666658</v>
      </c>
      <c r="E2075" s="66">
        <f t="shared" si="90"/>
        <v>45540.612262773728</v>
      </c>
      <c r="F2075" s="66">
        <f t="shared" si="91"/>
        <v>44583.449166666665</v>
      </c>
      <c r="G2075" s="44">
        <f t="shared" si="92"/>
        <v>165925.91622110704</v>
      </c>
    </row>
    <row r="2076" spans="1:7" ht="12.75" hidden="1" customHeight="1">
      <c r="A2076" s="60" t="s">
        <v>509</v>
      </c>
      <c r="B2076" s="59">
        <v>96</v>
      </c>
      <c r="C2076" s="59">
        <v>352</v>
      </c>
      <c r="D2076" s="181">
        <f t="shared" si="89"/>
        <v>75801.854791666658</v>
      </c>
      <c r="E2076" s="181">
        <f t="shared" si="90"/>
        <v>40480.544233576642</v>
      </c>
      <c r="F2076" s="181">
        <f t="shared" si="91"/>
        <v>44583.449166666665</v>
      </c>
      <c r="G2076" s="181">
        <f t="shared" si="92"/>
        <v>160865.84819190996</v>
      </c>
    </row>
    <row r="2077" spans="1:7" ht="12.75" hidden="1" customHeight="1">
      <c r="A2077" s="42" t="s">
        <v>231</v>
      </c>
      <c r="B2077" s="43"/>
      <c r="C2077" s="43"/>
      <c r="D2077" s="44">
        <f t="shared" si="89"/>
        <v>0</v>
      </c>
      <c r="E2077" s="44">
        <f t="shared" si="90"/>
        <v>0</v>
      </c>
      <c r="F2077" s="44">
        <f t="shared" si="91"/>
        <v>0</v>
      </c>
      <c r="G2077" s="44">
        <f t="shared" si="92"/>
        <v>0</v>
      </c>
    </row>
    <row r="2078" spans="1:7" ht="12.75" hidden="1" customHeight="1">
      <c r="A2078" s="42" t="s">
        <v>232</v>
      </c>
      <c r="B2078" s="43">
        <v>36</v>
      </c>
      <c r="C2078" s="43">
        <v>64</v>
      </c>
      <c r="D2078" s="66">
        <f t="shared" si="89"/>
        <v>13782.155416666665</v>
      </c>
      <c r="E2078" s="66">
        <f t="shared" si="90"/>
        <v>15180.204087591243</v>
      </c>
      <c r="F2078" s="66">
        <f t="shared" si="91"/>
        <v>8106.081666666666</v>
      </c>
      <c r="G2078" s="44">
        <f t="shared" si="92"/>
        <v>37068.441170924576</v>
      </c>
    </row>
    <row r="2079" spans="1:7" ht="12.75" hidden="1" customHeight="1">
      <c r="A2079" s="42" t="s">
        <v>26</v>
      </c>
      <c r="B2079" s="43"/>
      <c r="C2079" s="43"/>
      <c r="D2079" s="44"/>
      <c r="E2079" s="44"/>
      <c r="F2079" s="44"/>
      <c r="G2079" s="44"/>
    </row>
    <row r="2080" spans="1:7" ht="12.75" hidden="1" customHeight="1">
      <c r="A2080" s="42" t="s">
        <v>27</v>
      </c>
      <c r="B2080" s="43"/>
      <c r="C2080" s="43"/>
      <c r="D2080" s="44"/>
      <c r="E2080" s="44"/>
      <c r="F2080" s="44"/>
      <c r="G2080" s="44"/>
    </row>
    <row r="2081" spans="1:7" ht="12.75" hidden="1" customHeight="1">
      <c r="A2081" s="42" t="s">
        <v>28</v>
      </c>
      <c r="B2081" s="43"/>
      <c r="C2081" s="43"/>
      <c r="D2081" s="44"/>
      <c r="E2081" s="44"/>
      <c r="F2081" s="44"/>
      <c r="G2081" s="44"/>
    </row>
    <row r="2082" spans="1:7" ht="12.75" hidden="1" customHeight="1">
      <c r="A2082" s="46" t="s">
        <v>233</v>
      </c>
      <c r="B2082" s="43"/>
      <c r="C2082" s="43"/>
      <c r="D2082" s="44"/>
      <c r="E2082" s="44"/>
      <c r="F2082" s="44"/>
      <c r="G2082" s="44"/>
    </row>
    <row r="2083" spans="1:7" ht="12.75" hidden="1" customHeight="1">
      <c r="A2083" s="46" t="s">
        <v>235</v>
      </c>
      <c r="B2083" s="43"/>
      <c r="C2083" s="43"/>
      <c r="D2083" s="44"/>
      <c r="E2083" s="44"/>
      <c r="F2083" s="44"/>
      <c r="G2083" s="44"/>
    </row>
    <row r="2084" spans="1:7" ht="12.75" hidden="1" customHeight="1">
      <c r="A2084" s="46" t="s">
        <v>236</v>
      </c>
      <c r="B2084" s="43"/>
      <c r="C2084" s="43"/>
      <c r="D2084" s="44"/>
      <c r="E2084" s="44"/>
      <c r="F2084" s="44"/>
      <c r="G2084" s="44"/>
    </row>
    <row r="2085" spans="1:7" ht="12.75" hidden="1" customHeight="1">
      <c r="A2085" s="46" t="s">
        <v>411</v>
      </c>
      <c r="B2085" s="43"/>
      <c r="C2085" s="43"/>
      <c r="D2085" s="44"/>
      <c r="E2085" s="44"/>
      <c r="F2085" s="44"/>
      <c r="G2085" s="44"/>
    </row>
    <row r="2086" spans="1:7" ht="12.75" hidden="1" customHeight="1">
      <c r="A2086" s="39" t="s">
        <v>239</v>
      </c>
      <c r="B2086" s="43"/>
      <c r="C2086" s="45"/>
      <c r="D2086" s="44"/>
      <c r="E2086" s="44"/>
      <c r="F2086" s="44"/>
      <c r="G2086" s="44"/>
    </row>
    <row r="2087" spans="1:7" ht="12.75" hidden="1" customHeight="1">
      <c r="A2087" s="110" t="s">
        <v>529</v>
      </c>
      <c r="B2087" s="43"/>
      <c r="C2087" s="45"/>
      <c r="D2087" s="44"/>
      <c r="E2087" s="44"/>
      <c r="F2087" s="44"/>
      <c r="G2087" s="44"/>
    </row>
    <row r="2088" spans="1:7" ht="12.75" hidden="1" customHeight="1">
      <c r="A2088" s="110" t="s">
        <v>530</v>
      </c>
      <c r="B2088" s="43"/>
      <c r="C2088" s="45"/>
      <c r="D2088" s="44"/>
      <c r="E2088" s="44"/>
      <c r="F2088" s="44"/>
      <c r="G2088" s="44"/>
    </row>
    <row r="2089" spans="1:7" ht="12.75" hidden="1" customHeight="1">
      <c r="A2089" s="110" t="s">
        <v>531</v>
      </c>
      <c r="B2089" s="43"/>
      <c r="C2089" s="45"/>
      <c r="D2089" s="44"/>
      <c r="E2089" s="44"/>
      <c r="F2089" s="44"/>
      <c r="G2089" s="44"/>
    </row>
    <row r="2090" spans="1:7" ht="12.75" hidden="1" customHeight="1">
      <c r="A2090" s="49" t="s">
        <v>238</v>
      </c>
      <c r="B2090" s="43"/>
      <c r="C2090" s="45"/>
      <c r="D2090" s="44"/>
      <c r="E2090" s="44"/>
      <c r="F2090" s="44"/>
      <c r="G2090" s="44"/>
    </row>
    <row r="2091" spans="1:7" ht="12.75" hidden="1" customHeight="1">
      <c r="A2091" s="110" t="s">
        <v>386</v>
      </c>
      <c r="B2091" s="43"/>
      <c r="C2091" s="39"/>
      <c r="D2091" s="44"/>
      <c r="E2091" s="44"/>
      <c r="F2091" s="44"/>
      <c r="G2091" s="44"/>
    </row>
    <row r="2092" spans="1:7" ht="12.75" hidden="1" customHeight="1">
      <c r="A2092" s="42" t="s">
        <v>244</v>
      </c>
      <c r="B2092" s="45">
        <f>SUM(B2058:B2078)</f>
        <v>548</v>
      </c>
      <c r="C2092" s="45">
        <f>SUM(C2058:C2078)</f>
        <v>1536</v>
      </c>
      <c r="D2092" s="44">
        <f>330771.73</f>
        <v>330771.73</v>
      </c>
      <c r="E2092" s="44">
        <f>12743.8+75974.4+22834.24+100646.6+18877.4</f>
        <v>231076.44</v>
      </c>
      <c r="F2092" s="44">
        <f>194545.96</f>
        <v>194545.96</v>
      </c>
      <c r="G2092" s="44">
        <f>SUM(D2092:F2092)</f>
        <v>756394.12999999989</v>
      </c>
    </row>
    <row r="2093" spans="1:7" ht="12.75" hidden="1" customHeight="1">
      <c r="A2093" s="268" t="s">
        <v>377</v>
      </c>
      <c r="B2093" s="268"/>
      <c r="C2093" s="268"/>
      <c r="D2093" s="268"/>
      <c r="E2093" s="268"/>
      <c r="F2093" s="268"/>
      <c r="G2093" s="268"/>
    </row>
    <row r="2094" spans="1:7" ht="12.75" hidden="1" customHeight="1">
      <c r="A2094" s="201" t="s">
        <v>551</v>
      </c>
      <c r="B2094" s="64"/>
      <c r="C2094" s="65"/>
      <c r="D2094" s="65"/>
      <c r="E2094" s="64"/>
      <c r="F2094" s="65"/>
      <c r="G2094" s="40"/>
    </row>
    <row r="2095" spans="1:7" ht="12.75" hidden="1" customHeight="1">
      <c r="A2095" s="65"/>
      <c r="B2095" s="64"/>
      <c r="C2095" s="65"/>
      <c r="D2095" s="65"/>
      <c r="E2095" s="64"/>
      <c r="F2095" s="65"/>
      <c r="G2095" s="40"/>
    </row>
    <row r="2096" spans="1:7" ht="12.75" hidden="1" customHeight="1">
      <c r="A2096" s="65"/>
      <c r="B2096" s="64"/>
      <c r="C2096" s="65"/>
      <c r="D2096" s="65"/>
      <c r="E2096" s="64"/>
      <c r="F2096" s="65"/>
      <c r="G2096" s="40"/>
    </row>
    <row r="2097" spans="1:7" ht="12.75" hidden="1" customHeight="1">
      <c r="A2097" s="65"/>
      <c r="B2097" s="64"/>
      <c r="C2097" s="65"/>
      <c r="D2097" s="65"/>
      <c r="E2097" s="64"/>
      <c r="F2097" s="65"/>
      <c r="G2097" s="40"/>
    </row>
    <row r="2098" spans="1:7" ht="12.75" hidden="1" customHeight="1">
      <c r="A2098" s="269" t="s">
        <v>547</v>
      </c>
      <c r="B2098" s="269"/>
      <c r="C2098" s="269"/>
      <c r="D2098" s="269"/>
      <c r="E2098" s="269"/>
      <c r="F2098" s="269"/>
      <c r="G2098" s="40"/>
    </row>
    <row r="2099" spans="1:7" ht="12.75" hidden="1" customHeight="1">
      <c r="A2099" s="42" t="s">
        <v>86</v>
      </c>
      <c r="B2099" s="43" t="s">
        <v>246</v>
      </c>
      <c r="C2099" s="43" t="s">
        <v>88</v>
      </c>
      <c r="D2099" s="43" t="s">
        <v>89</v>
      </c>
      <c r="E2099" s="43" t="s">
        <v>90</v>
      </c>
      <c r="F2099" s="43" t="s">
        <v>91</v>
      </c>
      <c r="G2099" s="40"/>
    </row>
    <row r="2100" spans="1:7" ht="12.75" hidden="1" customHeight="1">
      <c r="A2100" s="67" t="s">
        <v>247</v>
      </c>
      <c r="B2100" s="43"/>
      <c r="C2100" s="42"/>
      <c r="D2100" s="42"/>
      <c r="E2100" s="42"/>
      <c r="F2100" s="42"/>
      <c r="G2100" s="40"/>
    </row>
    <row r="2101" spans="1:7" ht="12.75" hidden="1" customHeight="1">
      <c r="A2101" s="67" t="s">
        <v>248</v>
      </c>
      <c r="B2101" s="43"/>
      <c r="C2101" s="42"/>
      <c r="D2101" s="42"/>
      <c r="E2101" s="42"/>
      <c r="F2101" s="42"/>
      <c r="G2101" s="40"/>
    </row>
    <row r="2102" spans="1:7" ht="12.75" hidden="1" customHeight="1">
      <c r="A2102" s="67" t="s">
        <v>249</v>
      </c>
      <c r="B2102" s="45"/>
      <c r="C2102" s="42"/>
      <c r="D2102" s="42"/>
      <c r="E2102" s="42"/>
      <c r="F2102" s="42"/>
      <c r="G2102" s="40"/>
    </row>
    <row r="2103" spans="1:7" ht="12.75" hidden="1" customHeight="1">
      <c r="A2103" s="67" t="s">
        <v>250</v>
      </c>
      <c r="B2103" s="43"/>
      <c r="C2103" s="42"/>
      <c r="D2103" s="42"/>
      <c r="E2103" s="42"/>
      <c r="F2103" s="42"/>
      <c r="G2103" s="40"/>
    </row>
    <row r="2104" spans="1:7" ht="12.75" hidden="1" customHeight="1">
      <c r="A2104" s="67" t="s">
        <v>251</v>
      </c>
      <c r="B2104" s="43"/>
      <c r="C2104" s="42"/>
      <c r="D2104" s="42"/>
      <c r="E2104" s="42"/>
      <c r="F2104" s="42"/>
      <c r="G2104" s="40"/>
    </row>
    <row r="2105" spans="1:7" ht="12.75" hidden="1" customHeight="1">
      <c r="A2105" s="192" t="s">
        <v>252</v>
      </c>
      <c r="B2105" s="193">
        <v>6</v>
      </c>
      <c r="C2105" s="60">
        <f>B2105/B$2137*C$2137</f>
        <v>4311.3088151658758</v>
      </c>
      <c r="D2105" s="60">
        <f>C2105/C$2137*D$2137</f>
        <v>2954.2145971563978</v>
      </c>
      <c r="E2105" s="60">
        <f>D2105/D$2137*E$2137</f>
        <v>2712.7467298578194</v>
      </c>
      <c r="F2105" s="60">
        <f>SUM(C2105:E2105)</f>
        <v>9978.2701421800921</v>
      </c>
      <c r="G2105" s="40"/>
    </row>
    <row r="2106" spans="1:7" ht="12.75" hidden="1" customHeight="1">
      <c r="A2106" s="192" t="s">
        <v>253</v>
      </c>
      <c r="B2106" s="193">
        <v>14</v>
      </c>
      <c r="C2106" s="60">
        <f t="shared" ref="C2106:E2123" si="93">B2106/B$2137*C$2137</f>
        <v>10059.720568720379</v>
      </c>
      <c r="D2106" s="60">
        <f t="shared" si="93"/>
        <v>6893.1673933649299</v>
      </c>
      <c r="E2106" s="60">
        <f t="shared" si="93"/>
        <v>6329.7423696682463</v>
      </c>
      <c r="F2106" s="60">
        <f t="shared" ref="F2106:F2123" si="94">SUM(C2106:E2106)</f>
        <v>23282.630331753553</v>
      </c>
      <c r="G2106" s="40"/>
    </row>
    <row r="2107" spans="1:7" ht="12.75" hidden="1" customHeight="1">
      <c r="A2107" s="67" t="s">
        <v>254</v>
      </c>
      <c r="B2107" s="70">
        <v>75</v>
      </c>
      <c r="C2107" s="53">
        <f t="shared" si="93"/>
        <v>53891.360189573454</v>
      </c>
      <c r="D2107" s="53">
        <f t="shared" si="93"/>
        <v>36927.682464454978</v>
      </c>
      <c r="E2107" s="53">
        <f t="shared" si="93"/>
        <v>33909.334123222747</v>
      </c>
      <c r="F2107" s="42">
        <f t="shared" si="94"/>
        <v>124728.37677725116</v>
      </c>
      <c r="G2107" s="40"/>
    </row>
    <row r="2108" spans="1:7" ht="12.75" hidden="1" customHeight="1">
      <c r="A2108" s="67" t="s">
        <v>255</v>
      </c>
      <c r="B2108" s="70"/>
      <c r="C2108" s="42">
        <f t="shared" si="93"/>
        <v>0</v>
      </c>
      <c r="D2108" s="42">
        <f t="shared" si="93"/>
        <v>0</v>
      </c>
      <c r="E2108" s="42">
        <f t="shared" si="93"/>
        <v>0</v>
      </c>
      <c r="F2108" s="42">
        <f t="shared" si="94"/>
        <v>0</v>
      </c>
      <c r="G2108" s="40"/>
    </row>
    <row r="2109" spans="1:7" ht="12.75" hidden="1" customHeight="1">
      <c r="A2109" s="67" t="s">
        <v>256</v>
      </c>
      <c r="B2109" s="196"/>
      <c r="C2109" s="42">
        <f t="shared" si="93"/>
        <v>0</v>
      </c>
      <c r="D2109" s="42">
        <f t="shared" si="93"/>
        <v>0</v>
      </c>
      <c r="E2109" s="42">
        <f t="shared" si="93"/>
        <v>0</v>
      </c>
      <c r="F2109" s="42">
        <f t="shared" si="94"/>
        <v>0</v>
      </c>
      <c r="G2109" s="40"/>
    </row>
    <row r="2110" spans="1:7" ht="12.75" hidden="1" customHeight="1">
      <c r="A2110" s="67" t="s">
        <v>257</v>
      </c>
      <c r="B2110" s="70"/>
      <c r="C2110" s="42">
        <f t="shared" si="93"/>
        <v>0</v>
      </c>
      <c r="D2110" s="42">
        <f t="shared" si="93"/>
        <v>0</v>
      </c>
      <c r="E2110" s="42">
        <f t="shared" si="93"/>
        <v>0</v>
      </c>
      <c r="F2110" s="42">
        <f t="shared" si="94"/>
        <v>0</v>
      </c>
      <c r="G2110" s="40"/>
    </row>
    <row r="2111" spans="1:7" ht="12.75" hidden="1" customHeight="1">
      <c r="A2111" s="67" t="s">
        <v>535</v>
      </c>
      <c r="B2111" s="70"/>
      <c r="C2111" s="42">
        <f t="shared" si="93"/>
        <v>0</v>
      </c>
      <c r="D2111" s="42">
        <f t="shared" si="93"/>
        <v>0</v>
      </c>
      <c r="E2111" s="42">
        <f t="shared" si="93"/>
        <v>0</v>
      </c>
      <c r="F2111" s="42">
        <f t="shared" si="94"/>
        <v>0</v>
      </c>
      <c r="G2111" s="40"/>
    </row>
    <row r="2112" spans="1:7" ht="12.75" hidden="1" customHeight="1">
      <c r="A2112" s="71" t="s">
        <v>258</v>
      </c>
      <c r="B2112" s="72"/>
      <c r="C2112" s="42">
        <f t="shared" si="93"/>
        <v>0</v>
      </c>
      <c r="D2112" s="42">
        <f t="shared" si="93"/>
        <v>0</v>
      </c>
      <c r="E2112" s="42">
        <f t="shared" si="93"/>
        <v>0</v>
      </c>
      <c r="F2112" s="42">
        <f t="shared" si="94"/>
        <v>0</v>
      </c>
      <c r="G2112" s="40"/>
    </row>
    <row r="2113" spans="1:7" ht="12.75" hidden="1" customHeight="1">
      <c r="A2113" s="67" t="s">
        <v>259</v>
      </c>
      <c r="B2113" s="43"/>
      <c r="C2113" s="42">
        <f t="shared" si="93"/>
        <v>0</v>
      </c>
      <c r="D2113" s="42">
        <f t="shared" si="93"/>
        <v>0</v>
      </c>
      <c r="E2113" s="42">
        <f t="shared" si="93"/>
        <v>0</v>
      </c>
      <c r="F2113" s="42">
        <f t="shared" si="94"/>
        <v>0</v>
      </c>
      <c r="G2113" s="40"/>
    </row>
    <row r="2114" spans="1:7" ht="12.75" hidden="1" customHeight="1">
      <c r="A2114" s="73" t="s">
        <v>260</v>
      </c>
      <c r="B2114" s="43"/>
      <c r="C2114" s="42">
        <f t="shared" si="93"/>
        <v>0</v>
      </c>
      <c r="D2114" s="42">
        <f t="shared" si="93"/>
        <v>0</v>
      </c>
      <c r="E2114" s="42">
        <f t="shared" si="93"/>
        <v>0</v>
      </c>
      <c r="F2114" s="42">
        <f t="shared" si="94"/>
        <v>0</v>
      </c>
      <c r="G2114" s="40"/>
    </row>
    <row r="2115" spans="1:7" ht="12.75" hidden="1" customHeight="1">
      <c r="A2115" s="73" t="s">
        <v>261</v>
      </c>
      <c r="B2115" s="43"/>
      <c r="C2115" s="42">
        <f t="shared" si="93"/>
        <v>0</v>
      </c>
      <c r="D2115" s="42">
        <f t="shared" si="93"/>
        <v>0</v>
      </c>
      <c r="E2115" s="42">
        <f t="shared" si="93"/>
        <v>0</v>
      </c>
      <c r="F2115" s="42">
        <f t="shared" si="94"/>
        <v>0</v>
      </c>
      <c r="G2115" s="40"/>
    </row>
    <row r="2116" spans="1:7" ht="12.75" hidden="1" customHeight="1">
      <c r="A2116" s="73" t="s">
        <v>262</v>
      </c>
      <c r="B2116" s="43">
        <v>91</v>
      </c>
      <c r="C2116" s="53">
        <f t="shared" si="93"/>
        <v>65388.183696682463</v>
      </c>
      <c r="D2116" s="53">
        <f t="shared" si="93"/>
        <v>44805.588056872039</v>
      </c>
      <c r="E2116" s="53">
        <f t="shared" si="93"/>
        <v>41143.325402843599</v>
      </c>
      <c r="F2116" s="42">
        <f t="shared" si="94"/>
        <v>151337.09715639809</v>
      </c>
      <c r="G2116" s="40"/>
    </row>
    <row r="2117" spans="1:7" ht="12.75" hidden="1" customHeight="1">
      <c r="A2117" s="194" t="s">
        <v>262</v>
      </c>
      <c r="B2117" s="59">
        <v>16</v>
      </c>
      <c r="C2117" s="60">
        <f t="shared" si="93"/>
        <v>11496.823507109004</v>
      </c>
      <c r="D2117" s="60">
        <f t="shared" si="93"/>
        <v>7877.9055924170625</v>
      </c>
      <c r="E2117" s="60">
        <f t="shared" si="93"/>
        <v>7233.9912796208537</v>
      </c>
      <c r="F2117" s="60">
        <f t="shared" si="94"/>
        <v>26608.720379146922</v>
      </c>
      <c r="G2117" s="40"/>
    </row>
    <row r="2118" spans="1:7" ht="12.75" hidden="1" customHeight="1">
      <c r="A2118" s="195" t="s">
        <v>263</v>
      </c>
      <c r="B2118" s="59">
        <v>2</v>
      </c>
      <c r="C2118" s="60">
        <f t="shared" si="93"/>
        <v>1437.1029383886255</v>
      </c>
      <c r="D2118" s="60">
        <f t="shared" si="93"/>
        <v>984.73819905213281</v>
      </c>
      <c r="E2118" s="60">
        <f t="shared" si="93"/>
        <v>904.24890995260671</v>
      </c>
      <c r="F2118" s="60">
        <f t="shared" si="94"/>
        <v>3326.0900473933652</v>
      </c>
      <c r="G2118" s="40"/>
    </row>
    <row r="2119" spans="1:7" ht="12.75" hidden="1" customHeight="1">
      <c r="A2119" s="195" t="s">
        <v>264</v>
      </c>
      <c r="B2119" s="197">
        <v>7</v>
      </c>
      <c r="C2119" s="60">
        <f t="shared" si="93"/>
        <v>5029.8602843601893</v>
      </c>
      <c r="D2119" s="60">
        <f t="shared" si="93"/>
        <v>3446.583696682465</v>
      </c>
      <c r="E2119" s="60">
        <f t="shared" si="93"/>
        <v>3164.8711848341231</v>
      </c>
      <c r="F2119" s="60">
        <f t="shared" si="94"/>
        <v>11641.315165876777</v>
      </c>
      <c r="G2119" s="40"/>
    </row>
    <row r="2120" spans="1:7" ht="12.75" hidden="1" customHeight="1">
      <c r="A2120" s="74" t="s">
        <v>549</v>
      </c>
      <c r="B2120" s="43"/>
      <c r="C2120" s="60">
        <f t="shared" si="93"/>
        <v>0</v>
      </c>
      <c r="D2120" s="60">
        <f t="shared" si="93"/>
        <v>0</v>
      </c>
      <c r="E2120" s="60">
        <f t="shared" si="93"/>
        <v>0</v>
      </c>
      <c r="F2120" s="60">
        <f t="shared" si="94"/>
        <v>0</v>
      </c>
      <c r="G2120" s="40"/>
    </row>
    <row r="2121" spans="1:7" ht="12.75" hidden="1" customHeight="1">
      <c r="A2121" s="74" t="s">
        <v>534</v>
      </c>
      <c r="B2121" s="43"/>
      <c r="C2121" s="60">
        <f t="shared" si="93"/>
        <v>0</v>
      </c>
      <c r="D2121" s="60">
        <f t="shared" si="93"/>
        <v>0</v>
      </c>
      <c r="E2121" s="60">
        <f t="shared" si="93"/>
        <v>0</v>
      </c>
      <c r="F2121" s="60">
        <f t="shared" si="94"/>
        <v>0</v>
      </c>
      <c r="G2121" s="40"/>
    </row>
    <row r="2122" spans="1:7" ht="12.75" hidden="1" customHeight="1">
      <c r="A2122" s="74" t="s">
        <v>266</v>
      </c>
      <c r="B2122" s="43"/>
      <c r="C2122" s="60">
        <f t="shared" si="93"/>
        <v>0</v>
      </c>
      <c r="D2122" s="60">
        <f t="shared" si="93"/>
        <v>0</v>
      </c>
      <c r="E2122" s="60">
        <f t="shared" si="93"/>
        <v>0</v>
      </c>
      <c r="F2122" s="60">
        <f t="shared" si="94"/>
        <v>0</v>
      </c>
      <c r="G2122" s="40"/>
    </row>
    <row r="2123" spans="1:7" ht="12.75" hidden="1" customHeight="1">
      <c r="A2123" s="198" t="s">
        <v>550</v>
      </c>
      <c r="B2123" s="48">
        <v>0</v>
      </c>
      <c r="C2123" s="199">
        <f t="shared" si="93"/>
        <v>0</v>
      </c>
      <c r="D2123" s="199">
        <f t="shared" si="93"/>
        <v>0</v>
      </c>
      <c r="E2123" s="199">
        <f t="shared" si="93"/>
        <v>0</v>
      </c>
      <c r="F2123" s="200">
        <f t="shared" si="94"/>
        <v>0</v>
      </c>
      <c r="G2123" s="40"/>
    </row>
    <row r="2124" spans="1:7" ht="12.75" hidden="1" customHeight="1">
      <c r="A2124" s="74" t="s">
        <v>268</v>
      </c>
      <c r="B2124" s="43"/>
      <c r="C2124" s="42"/>
      <c r="D2124" s="42"/>
      <c r="E2124" s="42"/>
      <c r="F2124" s="42"/>
      <c r="G2124" s="40"/>
    </row>
    <row r="2125" spans="1:7" ht="12.75" hidden="1" customHeight="1">
      <c r="A2125" s="67" t="s">
        <v>269</v>
      </c>
      <c r="B2125" s="43"/>
      <c r="C2125" s="42"/>
      <c r="D2125" s="42"/>
      <c r="E2125" s="42"/>
      <c r="F2125" s="42"/>
      <c r="G2125" s="40"/>
    </row>
    <row r="2126" spans="1:7" ht="12.75" hidden="1" customHeight="1">
      <c r="A2126" s="159" t="s">
        <v>507</v>
      </c>
      <c r="B2126" s="43"/>
      <c r="C2126" s="42"/>
      <c r="D2126" s="42"/>
      <c r="E2126" s="42"/>
      <c r="F2126" s="42"/>
      <c r="G2126" s="40"/>
    </row>
    <row r="2127" spans="1:7" ht="12.75" hidden="1" customHeight="1">
      <c r="A2127" s="67" t="s">
        <v>271</v>
      </c>
      <c r="B2127" s="43"/>
      <c r="C2127" s="42"/>
      <c r="D2127" s="42"/>
      <c r="E2127" s="42"/>
      <c r="F2127" s="42"/>
      <c r="G2127" s="40"/>
    </row>
    <row r="2128" spans="1:7" ht="12.75" hidden="1" customHeight="1">
      <c r="A2128" s="67" t="s">
        <v>272</v>
      </c>
      <c r="B2128" s="43"/>
      <c r="C2128" s="42"/>
      <c r="D2128" s="42"/>
      <c r="E2128" s="42"/>
      <c r="F2128" s="42"/>
      <c r="G2128" s="40"/>
    </row>
    <row r="2129" spans="1:7" ht="12.75" hidden="1" customHeight="1">
      <c r="A2129" s="67" t="s">
        <v>273</v>
      </c>
      <c r="B2129" s="43"/>
      <c r="C2129" s="42"/>
      <c r="D2129" s="42"/>
      <c r="E2129" s="42"/>
      <c r="F2129" s="42"/>
      <c r="G2129" s="40"/>
    </row>
    <row r="2130" spans="1:7" ht="12.75" hidden="1" customHeight="1">
      <c r="A2130" s="67" t="s">
        <v>274</v>
      </c>
      <c r="B2130" s="43"/>
      <c r="C2130" s="42"/>
      <c r="D2130" s="42"/>
      <c r="E2130" s="42"/>
      <c r="F2130" s="42"/>
      <c r="G2130" s="40"/>
    </row>
    <row r="2131" spans="1:7" ht="12.75" hidden="1" customHeight="1">
      <c r="A2131" s="67" t="s">
        <v>275</v>
      </c>
      <c r="B2131" s="43"/>
      <c r="C2131" s="42"/>
      <c r="D2131" s="42"/>
      <c r="E2131" s="42"/>
      <c r="F2131" s="42"/>
      <c r="G2131" s="40"/>
    </row>
    <row r="2132" spans="1:7" ht="12.75" hidden="1" customHeight="1">
      <c r="A2132" s="67" t="s">
        <v>276</v>
      </c>
      <c r="B2132" s="43"/>
      <c r="C2132" s="42"/>
      <c r="D2132" s="42"/>
      <c r="E2132" s="42"/>
      <c r="F2132" s="42"/>
      <c r="G2132" s="40"/>
    </row>
    <row r="2133" spans="1:7" ht="12.75" hidden="1" customHeight="1">
      <c r="A2133" s="67" t="s">
        <v>277</v>
      </c>
      <c r="B2133" s="43"/>
      <c r="C2133" s="42"/>
      <c r="D2133" s="42"/>
      <c r="E2133" s="42"/>
      <c r="F2133" s="42"/>
      <c r="G2133" s="40"/>
    </row>
    <row r="2134" spans="1:7" ht="12.75" hidden="1" customHeight="1">
      <c r="A2134" s="67" t="s">
        <v>536</v>
      </c>
      <c r="B2134" s="43"/>
      <c r="C2134" s="42"/>
      <c r="D2134" s="42"/>
      <c r="E2134" s="42"/>
      <c r="F2134" s="42"/>
      <c r="G2134" s="40"/>
    </row>
    <row r="2135" spans="1:7" ht="12.75" hidden="1" customHeight="1">
      <c r="A2135" s="79" t="s">
        <v>533</v>
      </c>
      <c r="B2135" s="43"/>
      <c r="C2135" s="42"/>
      <c r="D2135" s="42"/>
      <c r="E2135" s="42"/>
      <c r="F2135" s="42"/>
      <c r="G2135" s="40"/>
    </row>
    <row r="2136" spans="1:7" ht="12.75" hidden="1" customHeight="1">
      <c r="A2136" s="49" t="s">
        <v>278</v>
      </c>
      <c r="B2136" s="43"/>
      <c r="C2136" s="42"/>
      <c r="D2136" s="42"/>
      <c r="E2136" s="42"/>
      <c r="F2136" s="42"/>
      <c r="G2136" s="40"/>
    </row>
    <row r="2137" spans="1:7" ht="12.75" hidden="1" customHeight="1">
      <c r="A2137" s="75" t="s">
        <v>281</v>
      </c>
      <c r="B2137" s="43">
        <f>SUM(B2105:B2123)</f>
        <v>211</v>
      </c>
      <c r="C2137" s="42">
        <f>151614.36</f>
        <v>151614.35999999999</v>
      </c>
      <c r="D2137" s="42">
        <f>10946.6+51703+18556.48+15426+7257.8</f>
        <v>103889.88</v>
      </c>
      <c r="E2137" s="44">
        <v>95398.26</v>
      </c>
      <c r="F2137" s="42">
        <f>SUM(C2137:E2137)</f>
        <v>350902.5</v>
      </c>
      <c r="G2137" s="40"/>
    </row>
    <row r="2138" spans="1:7" ht="12.75" hidden="1" customHeight="1">
      <c r="A2138" s="109"/>
      <c r="B2138" s="41"/>
      <c r="C2138" s="40"/>
      <c r="D2138" s="40"/>
      <c r="E2138" s="41"/>
      <c r="F2138" s="40"/>
      <c r="G2138" s="40"/>
    </row>
    <row r="2139" spans="1:7" ht="12.75" hidden="1" customHeight="1">
      <c r="A2139" s="76"/>
      <c r="B2139" s="41"/>
      <c r="C2139" s="40"/>
      <c r="D2139" s="40"/>
      <c r="E2139" s="41"/>
      <c r="F2139" s="40"/>
      <c r="G2139" s="40"/>
    </row>
    <row r="2140" spans="1:7" ht="12.75" hidden="1" customHeight="1">
      <c r="A2140" s="269" t="s">
        <v>548</v>
      </c>
      <c r="B2140" s="269"/>
      <c r="C2140" s="269"/>
      <c r="D2140" s="269"/>
      <c r="E2140" s="269"/>
      <c r="F2140" s="269"/>
      <c r="G2140" s="40"/>
    </row>
    <row r="2141" spans="1:7" ht="12.75" hidden="1" customHeight="1">
      <c r="A2141" s="42" t="s">
        <v>86</v>
      </c>
      <c r="B2141" s="43" t="s">
        <v>87</v>
      </c>
      <c r="C2141" s="43" t="s">
        <v>88</v>
      </c>
      <c r="D2141" s="43" t="s">
        <v>89</v>
      </c>
      <c r="E2141" s="43" t="s">
        <v>90</v>
      </c>
      <c r="F2141" s="43" t="s">
        <v>91</v>
      </c>
      <c r="G2141" s="40"/>
    </row>
    <row r="2142" spans="1:7" ht="12.75" hidden="1" customHeight="1">
      <c r="A2142" s="39" t="s">
        <v>284</v>
      </c>
      <c r="B2142" s="43">
        <v>22.5</v>
      </c>
      <c r="C2142" s="66">
        <f t="shared" ref="C2142:E2161" si="95">B2142/B$2206*C$2206</f>
        <v>29795.046707105717</v>
      </c>
      <c r="D2142" s="66">
        <f t="shared" si="95"/>
        <v>40654.904506065854</v>
      </c>
      <c r="E2142" s="66">
        <f t="shared" si="95"/>
        <v>12737.799046793762</v>
      </c>
      <c r="F2142" s="44">
        <f>SUM(C2142:E2142)</f>
        <v>83187.750259965338</v>
      </c>
      <c r="G2142" s="40"/>
    </row>
    <row r="2143" spans="1:7" ht="12.75" hidden="1" customHeight="1">
      <c r="A2143" s="39" t="s">
        <v>285</v>
      </c>
      <c r="B2143" s="43"/>
      <c r="C2143" s="44">
        <f t="shared" si="95"/>
        <v>0</v>
      </c>
      <c r="D2143" s="44">
        <f t="shared" si="95"/>
        <v>0</v>
      </c>
      <c r="E2143" s="44">
        <f t="shared" si="95"/>
        <v>0</v>
      </c>
      <c r="F2143" s="44">
        <f t="shared" ref="F2143:F2188" si="96">SUM(C2143:E2143)</f>
        <v>0</v>
      </c>
      <c r="G2143" s="40"/>
    </row>
    <row r="2144" spans="1:7" ht="12.75" hidden="1" customHeight="1">
      <c r="A2144" s="39" t="s">
        <v>286</v>
      </c>
      <c r="B2144" s="43">
        <v>11</v>
      </c>
      <c r="C2144" s="66">
        <f t="shared" si="95"/>
        <v>14566.467279029463</v>
      </c>
      <c r="D2144" s="66">
        <f t="shared" si="95"/>
        <v>19875.731091854417</v>
      </c>
      <c r="E2144" s="66">
        <f t="shared" si="95"/>
        <v>6227.3684228769498</v>
      </c>
      <c r="F2144" s="44">
        <f t="shared" si="96"/>
        <v>40669.56679376083</v>
      </c>
      <c r="G2144" s="40"/>
    </row>
    <row r="2145" spans="1:7" ht="12.75" hidden="1" customHeight="1">
      <c r="A2145" s="39" t="s">
        <v>287</v>
      </c>
      <c r="B2145" s="43">
        <v>20.5</v>
      </c>
      <c r="C2145" s="66">
        <f t="shared" si="95"/>
        <v>27146.598110918545</v>
      </c>
      <c r="D2145" s="66">
        <f t="shared" si="95"/>
        <v>37041.135216637776</v>
      </c>
      <c r="E2145" s="66">
        <f t="shared" si="95"/>
        <v>11605.550242634316</v>
      </c>
      <c r="F2145" s="44">
        <f t="shared" si="96"/>
        <v>75793.28357019063</v>
      </c>
      <c r="G2145" s="40"/>
    </row>
    <row r="2146" spans="1:7" ht="12.75" hidden="1" customHeight="1">
      <c r="A2146" s="39" t="s">
        <v>288</v>
      </c>
      <c r="B2146" s="43"/>
      <c r="C2146" s="44">
        <f t="shared" si="95"/>
        <v>0</v>
      </c>
      <c r="D2146" s="44">
        <f t="shared" si="95"/>
        <v>0</v>
      </c>
      <c r="E2146" s="44">
        <f t="shared" si="95"/>
        <v>0</v>
      </c>
      <c r="F2146" s="44">
        <f t="shared" si="96"/>
        <v>0</v>
      </c>
      <c r="G2146" s="40"/>
    </row>
    <row r="2147" spans="1:7" ht="12.75" hidden="1" customHeight="1">
      <c r="A2147" s="39" t="s">
        <v>289</v>
      </c>
      <c r="B2147" s="43"/>
      <c r="C2147" s="44">
        <f t="shared" si="95"/>
        <v>0</v>
      </c>
      <c r="D2147" s="44">
        <f t="shared" si="95"/>
        <v>0</v>
      </c>
      <c r="E2147" s="44">
        <f t="shared" si="95"/>
        <v>0</v>
      </c>
      <c r="F2147" s="44">
        <f t="shared" si="96"/>
        <v>0</v>
      </c>
      <c r="G2147" s="40"/>
    </row>
    <row r="2148" spans="1:7" ht="12.75" hidden="1" customHeight="1">
      <c r="A2148" s="39" t="s">
        <v>290</v>
      </c>
      <c r="B2148" s="43"/>
      <c r="C2148" s="44">
        <f t="shared" si="95"/>
        <v>0</v>
      </c>
      <c r="D2148" s="44">
        <f t="shared" si="95"/>
        <v>0</v>
      </c>
      <c r="E2148" s="44">
        <f t="shared" si="95"/>
        <v>0</v>
      </c>
      <c r="F2148" s="44">
        <f t="shared" si="96"/>
        <v>0</v>
      </c>
      <c r="G2148" s="40"/>
    </row>
    <row r="2149" spans="1:7" ht="12.75" hidden="1" customHeight="1">
      <c r="A2149" s="39" t="s">
        <v>291</v>
      </c>
      <c r="B2149" s="43"/>
      <c r="C2149" s="44">
        <f t="shared" si="95"/>
        <v>0</v>
      </c>
      <c r="D2149" s="44">
        <f t="shared" si="95"/>
        <v>0</v>
      </c>
      <c r="E2149" s="44">
        <f t="shared" si="95"/>
        <v>0</v>
      </c>
      <c r="F2149" s="44">
        <f t="shared" si="96"/>
        <v>0</v>
      </c>
      <c r="G2149" s="40"/>
    </row>
    <row r="2150" spans="1:7" ht="12.75" hidden="1" customHeight="1">
      <c r="A2150" s="39" t="s">
        <v>292</v>
      </c>
      <c r="B2150" s="43"/>
      <c r="C2150" s="44">
        <f t="shared" si="95"/>
        <v>0</v>
      </c>
      <c r="D2150" s="44">
        <f t="shared" si="95"/>
        <v>0</v>
      </c>
      <c r="E2150" s="44">
        <f t="shared" si="95"/>
        <v>0</v>
      </c>
      <c r="F2150" s="44">
        <f t="shared" si="96"/>
        <v>0</v>
      </c>
      <c r="G2150" s="40"/>
    </row>
    <row r="2151" spans="1:7" ht="12.75" hidden="1" customHeight="1">
      <c r="A2151" s="39" t="s">
        <v>293</v>
      </c>
      <c r="B2151" s="43"/>
      <c r="C2151" s="44">
        <f t="shared" si="95"/>
        <v>0</v>
      </c>
      <c r="D2151" s="44">
        <f t="shared" si="95"/>
        <v>0</v>
      </c>
      <c r="E2151" s="44">
        <f t="shared" si="95"/>
        <v>0</v>
      </c>
      <c r="F2151" s="44">
        <f t="shared" si="96"/>
        <v>0</v>
      </c>
      <c r="G2151" s="40"/>
    </row>
    <row r="2152" spans="1:7" ht="12.75" hidden="1" customHeight="1">
      <c r="A2152" s="39" t="s">
        <v>30</v>
      </c>
      <c r="B2152" s="45"/>
      <c r="C2152" s="44">
        <f t="shared" si="95"/>
        <v>0</v>
      </c>
      <c r="D2152" s="44">
        <f t="shared" si="95"/>
        <v>0</v>
      </c>
      <c r="E2152" s="44">
        <f t="shared" si="95"/>
        <v>0</v>
      </c>
      <c r="F2152" s="44">
        <f t="shared" si="96"/>
        <v>0</v>
      </c>
      <c r="G2152" s="40"/>
    </row>
    <row r="2153" spans="1:7" ht="12.75" hidden="1" customHeight="1">
      <c r="A2153" s="39" t="s">
        <v>294</v>
      </c>
      <c r="B2153" s="43">
        <v>21</v>
      </c>
      <c r="C2153" s="66">
        <f t="shared" si="95"/>
        <v>27808.710259965337</v>
      </c>
      <c r="D2153" s="66">
        <f t="shared" si="95"/>
        <v>37944.577538994796</v>
      </c>
      <c r="E2153" s="66">
        <f t="shared" si="95"/>
        <v>11888.612443674177</v>
      </c>
      <c r="F2153" s="44">
        <f t="shared" si="96"/>
        <v>77641.900242634321</v>
      </c>
      <c r="G2153" s="40"/>
    </row>
    <row r="2154" spans="1:7" ht="12.75" hidden="1" customHeight="1">
      <c r="A2154" s="39" t="s">
        <v>31</v>
      </c>
      <c r="B2154" s="43"/>
      <c r="C2154" s="44">
        <f t="shared" si="95"/>
        <v>0</v>
      </c>
      <c r="D2154" s="44">
        <f t="shared" si="95"/>
        <v>0</v>
      </c>
      <c r="E2154" s="44">
        <f t="shared" si="95"/>
        <v>0</v>
      </c>
      <c r="F2154" s="44">
        <f t="shared" si="96"/>
        <v>0</v>
      </c>
      <c r="G2154" s="40"/>
    </row>
    <row r="2155" spans="1:7" ht="12.75" hidden="1" customHeight="1">
      <c r="A2155" s="39" t="s">
        <v>295</v>
      </c>
      <c r="B2155" s="43"/>
      <c r="C2155" s="44">
        <f t="shared" si="95"/>
        <v>0</v>
      </c>
      <c r="D2155" s="44">
        <f t="shared" si="95"/>
        <v>0</v>
      </c>
      <c r="E2155" s="44">
        <f t="shared" si="95"/>
        <v>0</v>
      </c>
      <c r="F2155" s="44">
        <f t="shared" si="96"/>
        <v>0</v>
      </c>
      <c r="G2155" s="40"/>
    </row>
    <row r="2156" spans="1:7" ht="12.75" hidden="1" customHeight="1">
      <c r="A2156" s="39" t="s">
        <v>296</v>
      </c>
      <c r="B2156" s="41"/>
      <c r="C2156" s="44">
        <f t="shared" si="95"/>
        <v>0</v>
      </c>
      <c r="D2156" s="44">
        <f t="shared" si="95"/>
        <v>0</v>
      </c>
      <c r="E2156" s="44">
        <f t="shared" si="95"/>
        <v>0</v>
      </c>
      <c r="F2156" s="44">
        <f t="shared" si="96"/>
        <v>0</v>
      </c>
      <c r="G2156" s="40"/>
    </row>
    <row r="2157" spans="1:7" ht="12.75" hidden="1" customHeight="1">
      <c r="A2157" s="39" t="s">
        <v>297</v>
      </c>
      <c r="B2157" s="43"/>
      <c r="C2157" s="44">
        <f t="shared" si="95"/>
        <v>0</v>
      </c>
      <c r="D2157" s="44">
        <f t="shared" si="95"/>
        <v>0</v>
      </c>
      <c r="E2157" s="44">
        <f t="shared" si="95"/>
        <v>0</v>
      </c>
      <c r="F2157" s="44">
        <f t="shared" si="96"/>
        <v>0</v>
      </c>
      <c r="G2157" s="40"/>
    </row>
    <row r="2158" spans="1:7" ht="12.75" hidden="1" customHeight="1">
      <c r="A2158" s="39" t="s">
        <v>492</v>
      </c>
      <c r="B2158" s="43"/>
      <c r="C2158" s="44">
        <f t="shared" si="95"/>
        <v>0</v>
      </c>
      <c r="D2158" s="44">
        <f t="shared" si="95"/>
        <v>0</v>
      </c>
      <c r="E2158" s="44">
        <f t="shared" si="95"/>
        <v>0</v>
      </c>
      <c r="F2158" s="44">
        <f t="shared" si="96"/>
        <v>0</v>
      </c>
      <c r="G2158" s="40"/>
    </row>
    <row r="2159" spans="1:7" ht="12.75" hidden="1" customHeight="1">
      <c r="A2159" s="39" t="s">
        <v>299</v>
      </c>
      <c r="B2159" s="43"/>
      <c r="C2159" s="44">
        <f t="shared" si="95"/>
        <v>0</v>
      </c>
      <c r="D2159" s="44">
        <f t="shared" si="95"/>
        <v>0</v>
      </c>
      <c r="E2159" s="44">
        <f t="shared" si="95"/>
        <v>0</v>
      </c>
      <c r="F2159" s="44">
        <f t="shared" si="96"/>
        <v>0</v>
      </c>
      <c r="G2159" s="40"/>
    </row>
    <row r="2160" spans="1:7" ht="12.75" hidden="1" customHeight="1">
      <c r="A2160" s="39" t="s">
        <v>300</v>
      </c>
      <c r="B2160" s="45"/>
      <c r="C2160" s="44">
        <f t="shared" si="95"/>
        <v>0</v>
      </c>
      <c r="D2160" s="44">
        <f t="shared" si="95"/>
        <v>0</v>
      </c>
      <c r="E2160" s="44">
        <f t="shared" si="95"/>
        <v>0</v>
      </c>
      <c r="F2160" s="44">
        <f t="shared" si="96"/>
        <v>0</v>
      </c>
      <c r="G2160" s="40"/>
    </row>
    <row r="2161" spans="1:7" ht="12.75" hidden="1" customHeight="1">
      <c r="A2161" s="39" t="s">
        <v>301</v>
      </c>
      <c r="B2161" s="43">
        <v>34</v>
      </c>
      <c r="C2161" s="66">
        <f t="shared" si="95"/>
        <v>45023.626135181978</v>
      </c>
      <c r="D2161" s="66">
        <f t="shared" si="95"/>
        <v>61434.077920277297</v>
      </c>
      <c r="E2161" s="66">
        <f t="shared" si="95"/>
        <v>19248.229670710574</v>
      </c>
      <c r="F2161" s="44">
        <f t="shared" si="96"/>
        <v>125705.93372616984</v>
      </c>
      <c r="G2161" s="40"/>
    </row>
    <row r="2162" spans="1:7" ht="12.75" hidden="1" customHeight="1">
      <c r="A2162" s="39" t="s">
        <v>32</v>
      </c>
      <c r="B2162" s="43">
        <v>11.5</v>
      </c>
      <c r="C2162" s="66">
        <f t="shared" ref="C2162:E2181" si="97">B2162/B$2206*C$2206</f>
        <v>15228.579428076257</v>
      </c>
      <c r="D2162" s="66">
        <f t="shared" si="97"/>
        <v>20779.173414211436</v>
      </c>
      <c r="E2162" s="66">
        <f t="shared" si="97"/>
        <v>6510.4306239168109</v>
      </c>
      <c r="F2162" s="44">
        <f t="shared" si="96"/>
        <v>42518.1834662045</v>
      </c>
      <c r="G2162" s="40"/>
    </row>
    <row r="2163" spans="1:7" ht="12.75" hidden="1" customHeight="1">
      <c r="A2163" s="39" t="s">
        <v>491</v>
      </c>
      <c r="B2163" s="45"/>
      <c r="C2163" s="44">
        <f t="shared" si="97"/>
        <v>0</v>
      </c>
      <c r="D2163" s="44">
        <f t="shared" si="97"/>
        <v>0</v>
      </c>
      <c r="E2163" s="44">
        <f t="shared" si="97"/>
        <v>0</v>
      </c>
      <c r="F2163" s="44">
        <f t="shared" si="96"/>
        <v>0</v>
      </c>
      <c r="G2163" s="40"/>
    </row>
    <row r="2164" spans="1:7" ht="12.75" hidden="1" customHeight="1">
      <c r="A2164" s="39" t="s">
        <v>489</v>
      </c>
      <c r="B2164" s="45"/>
      <c r="C2164" s="44">
        <f t="shared" si="97"/>
        <v>0</v>
      </c>
      <c r="D2164" s="44">
        <f t="shared" si="97"/>
        <v>0</v>
      </c>
      <c r="E2164" s="44">
        <f t="shared" si="97"/>
        <v>0</v>
      </c>
      <c r="F2164" s="44">
        <f t="shared" si="96"/>
        <v>0</v>
      </c>
      <c r="G2164" s="40"/>
    </row>
    <row r="2165" spans="1:7" ht="12.75" hidden="1" customHeight="1">
      <c r="A2165" s="39" t="s">
        <v>532</v>
      </c>
      <c r="B2165" s="43"/>
      <c r="C2165" s="44">
        <f t="shared" si="97"/>
        <v>0</v>
      </c>
      <c r="D2165" s="44">
        <f t="shared" si="97"/>
        <v>0</v>
      </c>
      <c r="E2165" s="44">
        <f t="shared" si="97"/>
        <v>0</v>
      </c>
      <c r="F2165" s="44">
        <f t="shared" si="96"/>
        <v>0</v>
      </c>
      <c r="G2165" s="40"/>
    </row>
    <row r="2166" spans="1:7" ht="12.75" hidden="1" customHeight="1">
      <c r="A2166" s="39" t="s">
        <v>304</v>
      </c>
      <c r="B2166" s="43"/>
      <c r="C2166" s="44">
        <f t="shared" si="97"/>
        <v>0</v>
      </c>
      <c r="D2166" s="44">
        <f t="shared" si="97"/>
        <v>0</v>
      </c>
      <c r="E2166" s="44">
        <f t="shared" si="97"/>
        <v>0</v>
      </c>
      <c r="F2166" s="44">
        <f t="shared" si="96"/>
        <v>0</v>
      </c>
      <c r="G2166" s="40"/>
    </row>
    <row r="2167" spans="1:7" ht="12.75" hidden="1" customHeight="1">
      <c r="A2167" s="39" t="s">
        <v>34</v>
      </c>
      <c r="B2167" s="43"/>
      <c r="C2167" s="44">
        <f t="shared" si="97"/>
        <v>0</v>
      </c>
      <c r="D2167" s="44">
        <f t="shared" si="97"/>
        <v>0</v>
      </c>
      <c r="E2167" s="44">
        <f t="shared" si="97"/>
        <v>0</v>
      </c>
      <c r="F2167" s="44">
        <f t="shared" si="96"/>
        <v>0</v>
      </c>
      <c r="G2167" s="40"/>
    </row>
    <row r="2168" spans="1:7" ht="12.75" hidden="1" customHeight="1">
      <c r="A2168" s="39" t="s">
        <v>35</v>
      </c>
      <c r="B2168" s="43"/>
      <c r="C2168" s="44">
        <f t="shared" si="97"/>
        <v>0</v>
      </c>
      <c r="D2168" s="44">
        <f t="shared" si="97"/>
        <v>0</v>
      </c>
      <c r="E2168" s="44">
        <f t="shared" si="97"/>
        <v>0</v>
      </c>
      <c r="F2168" s="44">
        <f t="shared" si="96"/>
        <v>0</v>
      </c>
      <c r="G2168" s="40"/>
    </row>
    <row r="2169" spans="1:7" ht="12.75" hidden="1" customHeight="1">
      <c r="A2169" s="39" t="s">
        <v>305</v>
      </c>
      <c r="B2169" s="43">
        <v>11</v>
      </c>
      <c r="C2169" s="66">
        <f t="shared" si="97"/>
        <v>14566.467279029463</v>
      </c>
      <c r="D2169" s="66">
        <f t="shared" si="97"/>
        <v>19875.731091854417</v>
      </c>
      <c r="E2169" s="66">
        <f t="shared" si="97"/>
        <v>6227.3684228769498</v>
      </c>
      <c r="F2169" s="44">
        <f t="shared" si="96"/>
        <v>40669.56679376083</v>
      </c>
      <c r="G2169" s="40"/>
    </row>
    <row r="2170" spans="1:7" ht="12.75" hidden="1" customHeight="1">
      <c r="A2170" s="39" t="s">
        <v>306</v>
      </c>
      <c r="B2170" s="45"/>
      <c r="C2170" s="44">
        <f t="shared" si="97"/>
        <v>0</v>
      </c>
      <c r="D2170" s="44">
        <f t="shared" si="97"/>
        <v>0</v>
      </c>
      <c r="E2170" s="44">
        <f t="shared" si="97"/>
        <v>0</v>
      </c>
      <c r="F2170" s="44">
        <f t="shared" si="96"/>
        <v>0</v>
      </c>
      <c r="G2170" s="40"/>
    </row>
    <row r="2171" spans="1:7" ht="12.75" hidden="1" customHeight="1">
      <c r="A2171" s="39" t="s">
        <v>36</v>
      </c>
      <c r="B2171" s="43">
        <v>79.5</v>
      </c>
      <c r="C2171" s="66">
        <f t="shared" si="97"/>
        <v>105275.83169844022</v>
      </c>
      <c r="D2171" s="66">
        <f t="shared" si="97"/>
        <v>143647.32925476602</v>
      </c>
      <c r="E2171" s="66">
        <f t="shared" si="97"/>
        <v>45006.889965337963</v>
      </c>
      <c r="F2171" s="44">
        <f t="shared" si="96"/>
        <v>293930.05091854418</v>
      </c>
      <c r="G2171" s="40"/>
    </row>
    <row r="2172" spans="1:7" ht="12.75" hidden="1" customHeight="1">
      <c r="A2172" s="39" t="s">
        <v>37</v>
      </c>
      <c r="B2172" s="45"/>
      <c r="C2172" s="44">
        <f t="shared" si="97"/>
        <v>0</v>
      </c>
      <c r="D2172" s="44">
        <f t="shared" si="97"/>
        <v>0</v>
      </c>
      <c r="E2172" s="44">
        <f t="shared" si="97"/>
        <v>0</v>
      </c>
      <c r="F2172" s="44">
        <f t="shared" si="96"/>
        <v>0</v>
      </c>
      <c r="G2172" s="40"/>
    </row>
    <row r="2173" spans="1:7" ht="12.75" hidden="1" customHeight="1">
      <c r="A2173" s="39" t="s">
        <v>38</v>
      </c>
      <c r="B2173" s="43"/>
      <c r="C2173" s="44">
        <f t="shared" si="97"/>
        <v>0</v>
      </c>
      <c r="D2173" s="44">
        <f t="shared" si="97"/>
        <v>0</v>
      </c>
      <c r="E2173" s="44">
        <f t="shared" si="97"/>
        <v>0</v>
      </c>
      <c r="F2173" s="44">
        <f t="shared" si="96"/>
        <v>0</v>
      </c>
      <c r="G2173" s="40"/>
    </row>
    <row r="2174" spans="1:7" ht="12.75" hidden="1" customHeight="1">
      <c r="A2174" s="39" t="s">
        <v>307</v>
      </c>
      <c r="B2174" s="43"/>
      <c r="C2174" s="44">
        <f t="shared" si="97"/>
        <v>0</v>
      </c>
      <c r="D2174" s="44">
        <f t="shared" si="97"/>
        <v>0</v>
      </c>
      <c r="E2174" s="44">
        <f t="shared" si="97"/>
        <v>0</v>
      </c>
      <c r="F2174" s="44">
        <f t="shared" si="96"/>
        <v>0</v>
      </c>
      <c r="G2174" s="40"/>
    </row>
    <row r="2175" spans="1:7" ht="12.75" hidden="1" customHeight="1">
      <c r="A2175" s="39" t="s">
        <v>308</v>
      </c>
      <c r="B2175" s="43"/>
      <c r="C2175" s="44">
        <f t="shared" si="97"/>
        <v>0</v>
      </c>
      <c r="D2175" s="44">
        <f t="shared" si="97"/>
        <v>0</v>
      </c>
      <c r="E2175" s="44">
        <f t="shared" si="97"/>
        <v>0</v>
      </c>
      <c r="F2175" s="44">
        <f t="shared" si="96"/>
        <v>0</v>
      </c>
      <c r="G2175" s="40"/>
    </row>
    <row r="2176" spans="1:7" ht="12.75" hidden="1" customHeight="1">
      <c r="A2176" s="39" t="s">
        <v>39</v>
      </c>
      <c r="B2176" s="45"/>
      <c r="C2176" s="44">
        <f t="shared" si="97"/>
        <v>0</v>
      </c>
      <c r="D2176" s="44">
        <f t="shared" si="97"/>
        <v>0</v>
      </c>
      <c r="E2176" s="44">
        <f t="shared" si="97"/>
        <v>0</v>
      </c>
      <c r="F2176" s="44">
        <f t="shared" si="96"/>
        <v>0</v>
      </c>
      <c r="G2176" s="40"/>
    </row>
    <row r="2177" spans="1:7" ht="12.75" hidden="1" customHeight="1">
      <c r="A2177" s="39" t="s">
        <v>40</v>
      </c>
      <c r="B2177" s="43"/>
      <c r="C2177" s="44">
        <f t="shared" si="97"/>
        <v>0</v>
      </c>
      <c r="D2177" s="44">
        <f t="shared" si="97"/>
        <v>0</v>
      </c>
      <c r="E2177" s="44">
        <f t="shared" si="97"/>
        <v>0</v>
      </c>
      <c r="F2177" s="44">
        <f t="shared" si="96"/>
        <v>0</v>
      </c>
      <c r="G2177" s="40"/>
    </row>
    <row r="2178" spans="1:7" ht="12.75" hidden="1" customHeight="1">
      <c r="A2178" s="39" t="s">
        <v>41</v>
      </c>
      <c r="B2178" s="43"/>
      <c r="C2178" s="44">
        <f t="shared" si="97"/>
        <v>0</v>
      </c>
      <c r="D2178" s="44">
        <f t="shared" si="97"/>
        <v>0</v>
      </c>
      <c r="E2178" s="44">
        <f t="shared" si="97"/>
        <v>0</v>
      </c>
      <c r="F2178" s="44">
        <f t="shared" si="96"/>
        <v>0</v>
      </c>
      <c r="G2178" s="40"/>
    </row>
    <row r="2179" spans="1:7" ht="12.75" hidden="1" customHeight="1">
      <c r="A2179" s="39" t="s">
        <v>309</v>
      </c>
      <c r="B2179" s="45">
        <v>32</v>
      </c>
      <c r="C2179" s="66">
        <f t="shared" si="97"/>
        <v>42375.177538994802</v>
      </c>
      <c r="D2179" s="66">
        <f t="shared" si="97"/>
        <v>57820.308630849213</v>
      </c>
      <c r="E2179" s="66">
        <f t="shared" si="97"/>
        <v>18115.980866551126</v>
      </c>
      <c r="F2179" s="44">
        <f t="shared" si="96"/>
        <v>118311.46703639514</v>
      </c>
      <c r="G2179" s="40"/>
    </row>
    <row r="2180" spans="1:7" ht="12.75" hidden="1" customHeight="1">
      <c r="A2180" s="39" t="s">
        <v>310</v>
      </c>
      <c r="B2180" s="45">
        <v>34.5</v>
      </c>
      <c r="C2180" s="66">
        <f t="shared" si="97"/>
        <v>45685.738284228777</v>
      </c>
      <c r="D2180" s="66">
        <f t="shared" si="97"/>
        <v>62337.520242634324</v>
      </c>
      <c r="E2180" s="66">
        <f t="shared" si="97"/>
        <v>19531.291871750436</v>
      </c>
      <c r="F2180" s="44">
        <f t="shared" si="96"/>
        <v>127554.55039861353</v>
      </c>
      <c r="G2180" s="40"/>
    </row>
    <row r="2181" spans="1:7" ht="12.75" hidden="1" customHeight="1">
      <c r="A2181" s="39" t="s">
        <v>311</v>
      </c>
      <c r="B2181" s="43"/>
      <c r="C2181" s="44">
        <f t="shared" si="97"/>
        <v>0</v>
      </c>
      <c r="D2181" s="44">
        <f t="shared" si="97"/>
        <v>0</v>
      </c>
      <c r="E2181" s="44">
        <f t="shared" si="97"/>
        <v>0</v>
      </c>
      <c r="F2181" s="44">
        <f t="shared" si="96"/>
        <v>0</v>
      </c>
      <c r="G2181" s="40"/>
    </row>
    <row r="2182" spans="1:7" ht="12.75" hidden="1" customHeight="1">
      <c r="A2182" s="39" t="s">
        <v>312</v>
      </c>
      <c r="B2182" s="43"/>
      <c r="C2182" s="44">
        <f t="shared" ref="C2182:E2188" si="98">B2182/B$2206*C$2206</f>
        <v>0</v>
      </c>
      <c r="D2182" s="44">
        <f t="shared" si="98"/>
        <v>0</v>
      </c>
      <c r="E2182" s="44">
        <f t="shared" si="98"/>
        <v>0</v>
      </c>
      <c r="F2182" s="44">
        <f t="shared" si="96"/>
        <v>0</v>
      </c>
      <c r="G2182" s="40"/>
    </row>
    <row r="2183" spans="1:7" ht="12.75" hidden="1" customHeight="1">
      <c r="A2183" s="39" t="s">
        <v>497</v>
      </c>
      <c r="B2183" s="45"/>
      <c r="C2183" s="44">
        <f t="shared" si="98"/>
        <v>0</v>
      </c>
      <c r="D2183" s="44">
        <f t="shared" si="98"/>
        <v>0</v>
      </c>
      <c r="E2183" s="44">
        <f t="shared" si="98"/>
        <v>0</v>
      </c>
      <c r="F2183" s="44">
        <f t="shared" si="96"/>
        <v>0</v>
      </c>
      <c r="G2183" s="40"/>
    </row>
    <row r="2184" spans="1:7" ht="12.75" hidden="1" customHeight="1">
      <c r="A2184" s="39" t="s">
        <v>314</v>
      </c>
      <c r="B2184" s="45"/>
      <c r="C2184" s="44">
        <f t="shared" si="98"/>
        <v>0</v>
      </c>
      <c r="D2184" s="44">
        <f t="shared" si="98"/>
        <v>0</v>
      </c>
      <c r="E2184" s="44">
        <f t="shared" si="98"/>
        <v>0</v>
      </c>
      <c r="F2184" s="44">
        <f t="shared" si="96"/>
        <v>0</v>
      </c>
      <c r="G2184" s="40"/>
    </row>
    <row r="2185" spans="1:7" ht="12.75" hidden="1" customHeight="1">
      <c r="A2185" s="39" t="s">
        <v>315</v>
      </c>
      <c r="B2185" s="43"/>
      <c r="C2185" s="44">
        <f t="shared" si="98"/>
        <v>0</v>
      </c>
      <c r="D2185" s="44">
        <f t="shared" si="98"/>
        <v>0</v>
      </c>
      <c r="E2185" s="44">
        <f t="shared" si="98"/>
        <v>0</v>
      </c>
      <c r="F2185" s="44">
        <f t="shared" si="96"/>
        <v>0</v>
      </c>
      <c r="G2185" s="40"/>
    </row>
    <row r="2186" spans="1:7" ht="12.75" hidden="1" customHeight="1">
      <c r="A2186" s="39" t="s">
        <v>316</v>
      </c>
      <c r="B2186" s="45"/>
      <c r="C2186" s="44">
        <f t="shared" si="98"/>
        <v>0</v>
      </c>
      <c r="D2186" s="44">
        <f t="shared" si="98"/>
        <v>0</v>
      </c>
      <c r="E2186" s="44">
        <f t="shared" si="98"/>
        <v>0</v>
      </c>
      <c r="F2186" s="44">
        <f t="shared" si="96"/>
        <v>0</v>
      </c>
      <c r="G2186" s="40"/>
    </row>
    <row r="2187" spans="1:7" ht="12.75" hidden="1" customHeight="1">
      <c r="A2187" s="39" t="s">
        <v>317</v>
      </c>
      <c r="B2187" s="45"/>
      <c r="C2187" s="44">
        <f t="shared" si="98"/>
        <v>0</v>
      </c>
      <c r="D2187" s="44">
        <f t="shared" si="98"/>
        <v>0</v>
      </c>
      <c r="E2187" s="44">
        <f t="shared" si="98"/>
        <v>0</v>
      </c>
      <c r="F2187" s="44">
        <f t="shared" si="96"/>
        <v>0</v>
      </c>
      <c r="G2187" s="40"/>
    </row>
    <row r="2188" spans="1:7" ht="12.75" hidden="1" customHeight="1">
      <c r="A2188" s="39" t="s">
        <v>318</v>
      </c>
      <c r="B2188" s="45">
        <v>11</v>
      </c>
      <c r="C2188" s="66">
        <f t="shared" si="98"/>
        <v>14566.467279029463</v>
      </c>
      <c r="D2188" s="66">
        <f t="shared" si="98"/>
        <v>19875.731091854417</v>
      </c>
      <c r="E2188" s="66">
        <f t="shared" si="98"/>
        <v>6227.3684228769498</v>
      </c>
      <c r="F2188" s="44">
        <f t="shared" si="96"/>
        <v>40669.56679376083</v>
      </c>
      <c r="G2188" s="40"/>
    </row>
    <row r="2189" spans="1:7" ht="12.75" hidden="1" customHeight="1">
      <c r="A2189" s="46" t="s">
        <v>319</v>
      </c>
      <c r="B2189" s="45"/>
      <c r="C2189" s="44"/>
      <c r="D2189" s="44"/>
      <c r="E2189" s="44"/>
      <c r="F2189" s="44"/>
      <c r="G2189" s="40"/>
    </row>
    <row r="2190" spans="1:7" ht="12.75" hidden="1" customHeight="1">
      <c r="A2190" s="46" t="s">
        <v>320</v>
      </c>
      <c r="B2190" s="45"/>
      <c r="C2190" s="44"/>
      <c r="D2190" s="44"/>
      <c r="E2190" s="44"/>
      <c r="F2190" s="44"/>
      <c r="G2190" s="40"/>
    </row>
    <row r="2191" spans="1:7" ht="12.75" hidden="1" customHeight="1">
      <c r="A2191" s="46" t="s">
        <v>321</v>
      </c>
      <c r="B2191" s="45"/>
      <c r="C2191" s="44"/>
      <c r="D2191" s="44"/>
      <c r="E2191" s="44"/>
      <c r="F2191" s="44"/>
      <c r="G2191" s="40"/>
    </row>
    <row r="2192" spans="1:7" ht="12.75" hidden="1" customHeight="1">
      <c r="A2192" s="46" t="s">
        <v>322</v>
      </c>
      <c r="B2192" s="45"/>
      <c r="C2192" s="44"/>
      <c r="D2192" s="44"/>
      <c r="E2192" s="44"/>
      <c r="F2192" s="44"/>
      <c r="G2192" s="40"/>
    </row>
    <row r="2193" spans="1:7" ht="12.75" hidden="1" customHeight="1">
      <c r="A2193" s="46" t="s">
        <v>323</v>
      </c>
      <c r="B2193" s="45"/>
      <c r="C2193" s="44"/>
      <c r="D2193" s="44"/>
      <c r="E2193" s="44"/>
      <c r="F2193" s="44"/>
      <c r="G2193" s="40"/>
    </row>
    <row r="2194" spans="1:7" ht="12.75" hidden="1" customHeight="1">
      <c r="A2194" s="46" t="s">
        <v>324</v>
      </c>
      <c r="B2194" s="45"/>
      <c r="C2194" s="44"/>
      <c r="D2194" s="44"/>
      <c r="E2194" s="44"/>
      <c r="F2194" s="44"/>
      <c r="G2194" s="40"/>
    </row>
    <row r="2195" spans="1:7" ht="12.75" hidden="1" customHeight="1">
      <c r="A2195" s="46" t="s">
        <v>325</v>
      </c>
      <c r="B2195" s="45"/>
      <c r="C2195" s="44"/>
      <c r="D2195" s="44"/>
      <c r="E2195" s="44"/>
      <c r="F2195" s="44"/>
      <c r="G2195" s="40"/>
    </row>
    <row r="2196" spans="1:7" ht="12.75" hidden="1" customHeight="1">
      <c r="A2196" s="46" t="s">
        <v>326</v>
      </c>
      <c r="B2196" s="45"/>
      <c r="C2196" s="44"/>
      <c r="D2196" s="44"/>
      <c r="E2196" s="44"/>
      <c r="F2196" s="44"/>
      <c r="G2196" s="40"/>
    </row>
    <row r="2197" spans="1:7" ht="12.75" hidden="1" customHeight="1">
      <c r="A2197" s="46" t="s">
        <v>327</v>
      </c>
      <c r="B2197" s="45"/>
      <c r="C2197" s="44"/>
      <c r="D2197" s="44"/>
      <c r="E2197" s="44"/>
      <c r="F2197" s="44"/>
      <c r="G2197" s="40"/>
    </row>
    <row r="2198" spans="1:7" ht="12.75" hidden="1" customHeight="1">
      <c r="A2198" s="46" t="s">
        <v>328</v>
      </c>
      <c r="B2198" s="45"/>
      <c r="C2198" s="44"/>
      <c r="D2198" s="44"/>
      <c r="E2198" s="44"/>
      <c r="F2198" s="44"/>
      <c r="G2198" s="40"/>
    </row>
    <row r="2199" spans="1:7" ht="12.75" hidden="1" customHeight="1">
      <c r="A2199" s="46" t="s">
        <v>329</v>
      </c>
      <c r="B2199" s="47"/>
      <c r="C2199" s="44"/>
      <c r="D2199" s="44"/>
      <c r="E2199" s="44"/>
      <c r="F2199" s="44"/>
      <c r="G2199" s="40"/>
    </row>
    <row r="2200" spans="1:7" ht="12.75" hidden="1" customHeight="1">
      <c r="A2200" s="152" t="s">
        <v>490</v>
      </c>
      <c r="B2200" s="176"/>
      <c r="C2200" s="44"/>
      <c r="D2200" s="44"/>
      <c r="E2200" s="44"/>
      <c r="F2200" s="44"/>
      <c r="G2200" s="40"/>
    </row>
    <row r="2201" spans="1:7" ht="12.75" hidden="1" customHeight="1">
      <c r="A2201" s="152" t="s">
        <v>493</v>
      </c>
      <c r="B2201" s="176"/>
      <c r="C2201" s="44"/>
      <c r="D2201" s="44"/>
      <c r="E2201" s="44"/>
      <c r="F2201" s="44"/>
      <c r="G2201" s="40"/>
    </row>
    <row r="2202" spans="1:7" ht="12.75" hidden="1" customHeight="1">
      <c r="A2202" s="152" t="s">
        <v>495</v>
      </c>
      <c r="B2202" s="176"/>
      <c r="C2202" s="44"/>
      <c r="D2202" s="44"/>
      <c r="E2202" s="44"/>
      <c r="F2202" s="44"/>
      <c r="G2202" s="40"/>
    </row>
    <row r="2203" spans="1:7" ht="12.75" hidden="1" customHeight="1">
      <c r="A2203" s="152" t="s">
        <v>496</v>
      </c>
      <c r="B2203" s="176"/>
      <c r="C2203" s="44"/>
      <c r="D2203" s="44"/>
      <c r="E2203" s="44"/>
      <c r="F2203" s="44"/>
      <c r="G2203" s="40"/>
    </row>
    <row r="2204" spans="1:7" ht="12.75" hidden="1" customHeight="1">
      <c r="A2204" s="152" t="s">
        <v>498</v>
      </c>
      <c r="B2204" s="176"/>
      <c r="C2204" s="44"/>
      <c r="D2204" s="44"/>
      <c r="E2204" s="44"/>
      <c r="F2204" s="44"/>
      <c r="G2204" s="40"/>
    </row>
    <row r="2205" spans="1:7" ht="12.75" hidden="1" customHeight="1">
      <c r="A2205" s="46" t="s">
        <v>330</v>
      </c>
      <c r="B2205" s="47"/>
      <c r="C2205" s="44"/>
      <c r="D2205" s="44"/>
      <c r="E2205" s="44"/>
      <c r="F2205" s="44"/>
      <c r="G2205" s="40"/>
    </row>
    <row r="2206" spans="1:7" ht="12.75" hidden="1" customHeight="1">
      <c r="A2206" s="48" t="s">
        <v>150</v>
      </c>
      <c r="B2206" s="48">
        <f>SUM(B2142:B2205)</f>
        <v>288.5</v>
      </c>
      <c r="C2206" s="49">
        <f>382038.71</f>
        <v>382038.71</v>
      </c>
      <c r="D2206" s="50">
        <f>30194.1+337343.3+75292.92+60187.7+18268.2</f>
        <v>521286.22</v>
      </c>
      <c r="E2206" s="50">
        <f>163326.89</f>
        <v>163326.89000000001</v>
      </c>
      <c r="F2206" s="50">
        <f>SUM(C2206:E2206)</f>
        <v>1066651.8199999998</v>
      </c>
      <c r="G2206" s="40"/>
    </row>
    <row r="2207" spans="1:7" ht="12.75" hidden="1" customHeight="1"/>
    <row r="2208" spans="1:7" ht="12.75" hidden="1" customHeight="1"/>
    <row r="2209" spans="1:7" ht="12.75" hidden="1" customHeight="1">
      <c r="A2209" s="77" t="s">
        <v>562</v>
      </c>
      <c r="B2209" s="39"/>
      <c r="C2209" s="78"/>
      <c r="D2209" s="78"/>
      <c r="E2209" s="78"/>
      <c r="F2209" s="78"/>
      <c r="G2209" s="40"/>
    </row>
    <row r="2210" spans="1:7" ht="12.75" hidden="1" customHeight="1">
      <c r="A2210" s="206" t="s">
        <v>337</v>
      </c>
      <c r="B2210" s="81" t="s">
        <v>87</v>
      </c>
      <c r="C2210" s="81" t="s">
        <v>338</v>
      </c>
      <c r="D2210" s="78" t="s">
        <v>339</v>
      </c>
      <c r="E2210" s="78" t="s">
        <v>340</v>
      </c>
      <c r="F2210" s="78" t="s">
        <v>341</v>
      </c>
      <c r="G2210" s="40"/>
    </row>
    <row r="2211" spans="1:7" ht="12.75" hidden="1" customHeight="1">
      <c r="A2211" s="206" t="s">
        <v>0</v>
      </c>
      <c r="B2211" s="81">
        <f>16*20</f>
        <v>320</v>
      </c>
      <c r="C2211" s="81">
        <f t="shared" ref="C2211:E2212" si="99">B2211/B$2216*C$2216</f>
        <v>66348.293698630136</v>
      </c>
      <c r="D2211" s="81">
        <f t="shared" si="99"/>
        <v>41495.15397260274</v>
      </c>
      <c r="E2211" s="81">
        <f t="shared" si="99"/>
        <v>44590.934794520552</v>
      </c>
      <c r="F2211" s="81">
        <f>SUM(C2211:E2211)</f>
        <v>152434.38246575341</v>
      </c>
      <c r="G2211" s="40"/>
    </row>
    <row r="2212" spans="1:7" ht="12.75" hidden="1" customHeight="1">
      <c r="A2212" s="206" t="s">
        <v>342</v>
      </c>
      <c r="B2212" s="81">
        <f>57*20</f>
        <v>1140</v>
      </c>
      <c r="C2212" s="81">
        <f t="shared" si="99"/>
        <v>236365.79630136988</v>
      </c>
      <c r="D2212" s="81">
        <f t="shared" si="99"/>
        <v>147826.48602739727</v>
      </c>
      <c r="E2212" s="81">
        <f t="shared" si="99"/>
        <v>158855.20520547946</v>
      </c>
      <c r="F2212" s="81">
        <f>SUM(C2212:E2212)</f>
        <v>543047.48753424664</v>
      </c>
      <c r="G2212" s="40"/>
    </row>
    <row r="2213" spans="1:7" ht="12.75" hidden="1" customHeight="1">
      <c r="A2213" s="206" t="s">
        <v>343</v>
      </c>
      <c r="B2213" s="81"/>
      <c r="C2213" s="81"/>
      <c r="D2213" s="81"/>
      <c r="E2213" s="81"/>
      <c r="F2213" s="81"/>
      <c r="G2213" s="40"/>
    </row>
    <row r="2214" spans="1:7" ht="12.75" hidden="1" customHeight="1">
      <c r="A2214" s="206" t="s">
        <v>344</v>
      </c>
      <c r="B2214" s="81"/>
      <c r="C2214" s="81"/>
      <c r="D2214" s="81"/>
      <c r="E2214" s="81"/>
      <c r="F2214" s="81"/>
      <c r="G2214" s="40"/>
    </row>
    <row r="2215" spans="1:7" ht="12.75" hidden="1" customHeight="1">
      <c r="A2215" s="206" t="s">
        <v>345</v>
      </c>
      <c r="B2215" s="81"/>
      <c r="C2215" s="81"/>
      <c r="D2215" s="81"/>
      <c r="E2215" s="81"/>
      <c r="F2215" s="81"/>
      <c r="G2215" s="40"/>
    </row>
    <row r="2216" spans="1:7" ht="12.75" hidden="1" customHeight="1">
      <c r="A2216" s="206" t="s">
        <v>346</v>
      </c>
      <c r="B2216" s="205">
        <f>SUM(B2211:B2215)</f>
        <v>1460</v>
      </c>
      <c r="C2216" s="205">
        <v>302714.09000000003</v>
      </c>
      <c r="D2216" s="82">
        <f>19023.8+49343.4+12462.44+83325.8+25166.2</f>
        <v>189321.64</v>
      </c>
      <c r="E2216" s="82">
        <v>203446.14</v>
      </c>
      <c r="F2216" s="82">
        <f>SUM(C2216:E2216)</f>
        <v>695481.87000000011</v>
      </c>
      <c r="G2216" s="40"/>
    </row>
    <row r="2217" spans="1:7" ht="12.75" hidden="1" customHeight="1">
      <c r="A2217" s="270" t="s">
        <v>578</v>
      </c>
      <c r="B2217" s="271"/>
      <c r="C2217" s="271"/>
      <c r="D2217" s="271"/>
      <c r="E2217" s="271"/>
      <c r="F2217" s="271"/>
      <c r="G2217" s="40"/>
    </row>
    <row r="2218" spans="1:7" ht="12.75" hidden="1" customHeight="1">
      <c r="A2218" s="278"/>
      <c r="B2218" s="279"/>
      <c r="C2218" s="279"/>
      <c r="D2218" s="279"/>
      <c r="E2218" s="279"/>
      <c r="F2218" s="279"/>
      <c r="G2218" s="40"/>
    </row>
    <row r="2219" spans="1:7" ht="12.75" hidden="1" customHeight="1">
      <c r="A2219" s="83"/>
      <c r="B2219" s="84"/>
      <c r="C2219" s="40"/>
      <c r="D2219" s="40"/>
      <c r="E2219" s="41"/>
      <c r="F2219" s="40"/>
      <c r="G2219" s="40"/>
    </row>
    <row r="2220" spans="1:7" ht="12.75" hidden="1" customHeight="1">
      <c r="A2220" s="85"/>
      <c r="B2220" s="84"/>
      <c r="C2220" s="40"/>
      <c r="D2220" s="40"/>
      <c r="E2220" s="41"/>
      <c r="F2220" s="40"/>
      <c r="G2220" s="40"/>
    </row>
    <row r="2221" spans="1:7" ht="12.75" hidden="1" customHeight="1">
      <c r="A2221" s="77"/>
      <c r="B2221" s="82"/>
      <c r="C2221" s="82"/>
      <c r="D2221" s="82"/>
      <c r="E2221" s="82"/>
      <c r="F2221" s="82"/>
      <c r="G2221" s="40"/>
    </row>
    <row r="2222" spans="1:7" ht="12.75" hidden="1" customHeight="1">
      <c r="A2222" s="77" t="s">
        <v>563</v>
      </c>
      <c r="B2222" s="43" t="s">
        <v>87</v>
      </c>
      <c r="C2222" s="86" t="s">
        <v>88</v>
      </c>
      <c r="D2222" s="86" t="s">
        <v>89</v>
      </c>
      <c r="E2222" s="86" t="s">
        <v>90</v>
      </c>
      <c r="F2222" s="86" t="s">
        <v>91</v>
      </c>
      <c r="G2222" s="40"/>
    </row>
    <row r="2223" spans="1:7" ht="12.75" hidden="1" customHeight="1">
      <c r="A2223" s="87" t="s">
        <v>349</v>
      </c>
      <c r="B2223" s="88"/>
      <c r="C2223" s="88"/>
      <c r="D2223" s="88"/>
      <c r="E2223" s="88"/>
      <c r="F2223" s="88"/>
      <c r="G2223" s="40"/>
    </row>
    <row r="2224" spans="1:7" ht="12.75" hidden="1" customHeight="1">
      <c r="A2224" s="87" t="s">
        <v>350</v>
      </c>
      <c r="B2224" s="88"/>
      <c r="C2224" s="88"/>
      <c r="D2224" s="88"/>
      <c r="E2224" s="88"/>
      <c r="F2224" s="88"/>
      <c r="G2224" s="40"/>
    </row>
    <row r="2225" spans="1:7" ht="12.75" hidden="1" customHeight="1">
      <c r="A2225" s="87" t="s">
        <v>351</v>
      </c>
      <c r="B2225" s="88"/>
      <c r="C2225" s="88"/>
      <c r="D2225" s="88"/>
      <c r="E2225" s="88"/>
      <c r="F2225" s="88"/>
      <c r="G2225" s="40"/>
    </row>
    <row r="2226" spans="1:7" ht="12.75" hidden="1" customHeight="1">
      <c r="A2226" s="87" t="s">
        <v>352</v>
      </c>
      <c r="B2226" s="57"/>
      <c r="C2226" s="88"/>
      <c r="D2226" s="88"/>
      <c r="E2226" s="88"/>
      <c r="F2226" s="88"/>
      <c r="G2226" s="40"/>
    </row>
    <row r="2227" spans="1:7" ht="12.75" hidden="1" customHeight="1">
      <c r="A2227" s="87" t="s">
        <v>556</v>
      </c>
      <c r="B2227" s="88"/>
      <c r="C2227" s="88"/>
      <c r="D2227" s="88"/>
      <c r="E2227" s="88"/>
      <c r="F2227" s="88"/>
      <c r="G2227" s="40"/>
    </row>
    <row r="2228" spans="1:7" ht="12.75" hidden="1" customHeight="1">
      <c r="A2228" s="87" t="s">
        <v>354</v>
      </c>
      <c r="B2228" s="88"/>
      <c r="C2228" s="88"/>
      <c r="D2228" s="88"/>
      <c r="E2228" s="88"/>
      <c r="F2228" s="88"/>
      <c r="G2228" s="40"/>
    </row>
    <row r="2229" spans="1:7" ht="12.75" hidden="1" customHeight="1">
      <c r="A2229" s="87" t="s">
        <v>355</v>
      </c>
      <c r="B2229" s="88"/>
      <c r="C2229" s="88"/>
      <c r="D2229" s="88"/>
      <c r="E2229" s="88"/>
      <c r="F2229" s="88"/>
      <c r="G2229" s="40"/>
    </row>
    <row r="2230" spans="1:7" ht="12.75" hidden="1" customHeight="1">
      <c r="A2230" s="87" t="s">
        <v>356</v>
      </c>
      <c r="B2230" s="88"/>
      <c r="C2230" s="88"/>
      <c r="D2230" s="88"/>
      <c r="E2230" s="88"/>
      <c r="F2230" s="88"/>
      <c r="G2230" s="40"/>
    </row>
    <row r="2231" spans="1:7" ht="12.75" hidden="1" customHeight="1">
      <c r="A2231" s="87" t="s">
        <v>357</v>
      </c>
      <c r="B2231" s="57"/>
      <c r="C2231" s="88"/>
      <c r="D2231" s="88"/>
      <c r="E2231" s="88"/>
      <c r="F2231" s="88"/>
      <c r="G2231" s="40"/>
    </row>
    <row r="2232" spans="1:7" ht="12.75" hidden="1" customHeight="1">
      <c r="A2232" s="87" t="s">
        <v>243</v>
      </c>
      <c r="B2232" s="57"/>
      <c r="C2232" s="88">
        <v>61615.64</v>
      </c>
      <c r="D2232" s="88">
        <v>0</v>
      </c>
      <c r="E2232" s="88">
        <v>395562.65</v>
      </c>
      <c r="F2232" s="88">
        <v>457178.29000000004</v>
      </c>
      <c r="G2232" s="40"/>
    </row>
    <row r="2233" spans="1:7" ht="12.75" hidden="1" customHeight="1">
      <c r="A2233" s="77" t="s">
        <v>346</v>
      </c>
      <c r="B2233" s="82"/>
      <c r="C2233" s="82">
        <v>61615.64</v>
      </c>
      <c r="D2233" s="82">
        <v>0</v>
      </c>
      <c r="E2233" s="82">
        <v>395562.65</v>
      </c>
      <c r="F2233" s="82">
        <f>SUM(C2233:E2233)</f>
        <v>457178.29000000004</v>
      </c>
      <c r="G2233" s="40"/>
    </row>
    <row r="2234" spans="1:7" ht="12.75" hidden="1" customHeight="1">
      <c r="A2234" s="151" t="s">
        <v>577</v>
      </c>
      <c r="B2234" s="84"/>
      <c r="C2234" s="84"/>
      <c r="D2234" s="84"/>
      <c r="E2234" s="84"/>
      <c r="F2234" s="84"/>
      <c r="G2234" s="90"/>
    </row>
    <row r="2235" spans="1:7" ht="12.75" hidden="1" customHeight="1">
      <c r="A2235" s="85"/>
      <c r="B2235" s="84"/>
      <c r="C2235" s="84"/>
      <c r="D2235" s="84"/>
      <c r="E2235" s="84"/>
      <c r="F2235" s="84"/>
      <c r="G2235" s="90"/>
    </row>
    <row r="2236" spans="1:7" ht="12.75" hidden="1" customHeight="1">
      <c r="A2236" s="91"/>
      <c r="B2236" s="84"/>
      <c r="C2236" s="84"/>
      <c r="D2236" s="84"/>
      <c r="E2236" s="84"/>
      <c r="F2236" s="84"/>
      <c r="G2236" s="90"/>
    </row>
    <row r="2237" spans="1:7" ht="12.75" hidden="1" customHeight="1">
      <c r="A2237" s="91"/>
      <c r="B2237" s="84"/>
      <c r="C2237" s="84"/>
      <c r="D2237" s="84"/>
      <c r="E2237" s="84"/>
      <c r="F2237" s="84"/>
      <c r="G2237" s="40"/>
    </row>
    <row r="2238" spans="1:7" ht="12.75" hidden="1" customHeight="1">
      <c r="A2238" s="83"/>
      <c r="B2238" s="92"/>
      <c r="C2238" s="92"/>
      <c r="D2238" s="92"/>
      <c r="E2238" s="92"/>
      <c r="F2238" s="92"/>
      <c r="G2238" s="40"/>
    </row>
    <row r="2239" spans="1:7" ht="12.75" hidden="1" customHeight="1">
      <c r="A2239" s="77" t="s">
        <v>564</v>
      </c>
      <c r="B2239" s="43" t="s">
        <v>87</v>
      </c>
      <c r="C2239" s="78" t="s">
        <v>338</v>
      </c>
      <c r="D2239" s="78" t="s">
        <v>339</v>
      </c>
      <c r="E2239" s="78" t="s">
        <v>340</v>
      </c>
      <c r="F2239" s="78" t="s">
        <v>341</v>
      </c>
      <c r="G2239" s="40"/>
    </row>
    <row r="2240" spans="1:7" ht="12.75" hidden="1" customHeight="1">
      <c r="A2240" s="80" t="s">
        <v>361</v>
      </c>
      <c r="B2240" s="93"/>
      <c r="C2240" s="94"/>
      <c r="D2240" s="94"/>
      <c r="E2240" s="94"/>
      <c r="F2240" s="94"/>
      <c r="G2240" s="40"/>
    </row>
    <row r="2241" spans="1:7" ht="12.75" hidden="1" customHeight="1">
      <c r="A2241" s="80" t="s">
        <v>362</v>
      </c>
      <c r="B2241" s="93">
        <f>48*13</f>
        <v>624</v>
      </c>
      <c r="C2241" s="204">
        <f>B2241/B$2252*C$2252</f>
        <v>39173.712275862068</v>
      </c>
      <c r="D2241" s="204">
        <f>C2241/C$2252*D$2252</f>
        <v>10524.26924137931</v>
      </c>
      <c r="E2241" s="204">
        <f>D2241/D$2252*E$2252</f>
        <v>22739.255724137933</v>
      </c>
      <c r="F2241" s="94">
        <f>SUM(C2241:E2241)</f>
        <v>72437.237241379305</v>
      </c>
      <c r="G2241" s="40"/>
    </row>
    <row r="2242" spans="1:7" ht="12.75" hidden="1" customHeight="1">
      <c r="A2242" s="80" t="s">
        <v>363</v>
      </c>
      <c r="B2242" s="93">
        <f>48*13</f>
        <v>624</v>
      </c>
      <c r="C2242" s="204">
        <f t="shared" ref="C2242:E2249" si="100">B2242/B$2252*C$2252</f>
        <v>39173.712275862068</v>
      </c>
      <c r="D2242" s="204">
        <f t="shared" si="100"/>
        <v>10524.26924137931</v>
      </c>
      <c r="E2242" s="204">
        <f t="shared" si="100"/>
        <v>22739.255724137933</v>
      </c>
      <c r="F2242" s="94">
        <f t="shared" ref="F2242:F2249" si="101">SUM(C2242:E2242)</f>
        <v>72437.237241379305</v>
      </c>
      <c r="G2242" s="40"/>
    </row>
    <row r="2243" spans="1:7" ht="12.75" hidden="1" customHeight="1">
      <c r="A2243" s="80" t="s">
        <v>364</v>
      </c>
      <c r="B2243" s="93"/>
      <c r="C2243" s="94"/>
      <c r="D2243" s="94"/>
      <c r="E2243" s="94"/>
      <c r="F2243" s="94"/>
      <c r="G2243" s="40"/>
    </row>
    <row r="2244" spans="1:7" ht="12.75" hidden="1" customHeight="1">
      <c r="A2244" s="80" t="s">
        <v>365</v>
      </c>
      <c r="B2244" s="93">
        <f>12*26</f>
        <v>312</v>
      </c>
      <c r="C2244" s="204">
        <f t="shared" si="100"/>
        <v>19586.856137931034</v>
      </c>
      <c r="D2244" s="204">
        <f t="shared" si="100"/>
        <v>5262.1346206896551</v>
      </c>
      <c r="E2244" s="204">
        <f t="shared" si="100"/>
        <v>11369.627862068966</v>
      </c>
      <c r="F2244" s="94">
        <f t="shared" si="101"/>
        <v>36218.618620689653</v>
      </c>
      <c r="G2244" s="40"/>
    </row>
    <row r="2245" spans="1:7" ht="12.75" hidden="1" customHeight="1">
      <c r="A2245" s="80" t="s">
        <v>366</v>
      </c>
      <c r="B2245" s="93">
        <f>10*12</f>
        <v>120</v>
      </c>
      <c r="C2245" s="204">
        <f t="shared" si="100"/>
        <v>7533.4062068965513</v>
      </c>
      <c r="D2245" s="204">
        <f t="shared" si="100"/>
        <v>2023.8979310344828</v>
      </c>
      <c r="E2245" s="204">
        <f t="shared" si="100"/>
        <v>4372.9337931034479</v>
      </c>
      <c r="F2245" s="94">
        <f t="shared" si="101"/>
        <v>13930.237931034482</v>
      </c>
      <c r="G2245" s="40"/>
    </row>
    <row r="2246" spans="1:7" ht="12.75" hidden="1" customHeight="1">
      <c r="A2246" s="203" t="s">
        <v>571</v>
      </c>
      <c r="B2246" s="93">
        <f>4*12</f>
        <v>48</v>
      </c>
      <c r="C2246" s="204">
        <f t="shared" si="100"/>
        <v>3013.3624827586204</v>
      </c>
      <c r="D2246" s="204">
        <f t="shared" si="100"/>
        <v>809.55917241379314</v>
      </c>
      <c r="E2246" s="204">
        <f t="shared" si="100"/>
        <v>1749.1735172413794</v>
      </c>
      <c r="F2246" s="94">
        <f t="shared" si="101"/>
        <v>5572.0951724137931</v>
      </c>
      <c r="G2246" s="40"/>
    </row>
    <row r="2247" spans="1:7" ht="12.75" hidden="1" customHeight="1">
      <c r="A2247" s="80" t="s">
        <v>368</v>
      </c>
      <c r="B2247" s="40"/>
      <c r="C2247" s="204"/>
      <c r="D2247" s="204"/>
      <c r="E2247" s="204"/>
      <c r="F2247" s="94"/>
      <c r="G2247" s="40"/>
    </row>
    <row r="2248" spans="1:7" ht="12.75" hidden="1" customHeight="1">
      <c r="A2248" s="80" t="s">
        <v>369</v>
      </c>
      <c r="B2248" s="93"/>
      <c r="C2248" s="204"/>
      <c r="D2248" s="204"/>
      <c r="E2248" s="204"/>
      <c r="F2248" s="94"/>
      <c r="G2248" s="40"/>
    </row>
    <row r="2249" spans="1:7" ht="12.75" hidden="1" customHeight="1">
      <c r="A2249" s="80" t="s">
        <v>370</v>
      </c>
      <c r="B2249" s="93">
        <f>1*12</f>
        <v>12</v>
      </c>
      <c r="C2249" s="204">
        <f t="shared" si="100"/>
        <v>753.34062068965511</v>
      </c>
      <c r="D2249" s="204">
        <f t="shared" si="100"/>
        <v>202.38979310344828</v>
      </c>
      <c r="E2249" s="204">
        <f t="shared" si="100"/>
        <v>437.29337931034485</v>
      </c>
      <c r="F2249" s="94">
        <f t="shared" si="101"/>
        <v>1393.0237931034483</v>
      </c>
      <c r="G2249" s="40"/>
    </row>
    <row r="2250" spans="1:7" ht="12.75" hidden="1" customHeight="1">
      <c r="A2250" s="80" t="s">
        <v>554</v>
      </c>
      <c r="B2250" s="93"/>
      <c r="C2250" s="94"/>
      <c r="D2250" s="94"/>
      <c r="E2250" s="94"/>
      <c r="F2250" s="94"/>
      <c r="G2250" s="40"/>
    </row>
    <row r="2251" spans="1:7" ht="12.75" hidden="1" customHeight="1">
      <c r="A2251" s="80" t="s">
        <v>371</v>
      </c>
      <c r="B2251" s="93"/>
      <c r="C2251" s="94"/>
      <c r="D2251" s="94"/>
      <c r="E2251" s="94"/>
      <c r="F2251" s="94"/>
      <c r="G2251" s="40"/>
    </row>
    <row r="2252" spans="1:7" ht="12.75" hidden="1" customHeight="1">
      <c r="A2252" s="77" t="s">
        <v>346</v>
      </c>
      <c r="B2252" s="95">
        <f>SUM(B2240:B2251)</f>
        <v>1740</v>
      </c>
      <c r="C2252" s="96">
        <v>109234.39</v>
      </c>
      <c r="D2252" s="96">
        <f>11337.6+3286.92+14722</f>
        <v>29346.52</v>
      </c>
      <c r="E2252" s="96">
        <f>63407.54</f>
        <v>63407.54</v>
      </c>
      <c r="F2252" s="97">
        <f>SUM(C2252:E2252)</f>
        <v>201988.45</v>
      </c>
      <c r="G2252" s="40"/>
    </row>
    <row r="2253" spans="1:7" ht="12.75" hidden="1" customHeight="1">
      <c r="A2253" s="140" t="s">
        <v>572</v>
      </c>
      <c r="B2253" s="99"/>
      <c r="C2253" s="100"/>
      <c r="D2253" s="100"/>
      <c r="E2253" s="100"/>
      <c r="F2253" s="100"/>
      <c r="G2253" s="40"/>
    </row>
    <row r="2254" spans="1:7" ht="12.75" hidden="1" customHeight="1">
      <c r="A2254" s="98"/>
      <c r="B2254" s="99"/>
      <c r="C2254" s="100"/>
      <c r="D2254" s="100"/>
      <c r="E2254" s="100"/>
      <c r="F2254" s="100"/>
      <c r="G2254" s="40"/>
    </row>
    <row r="2255" spans="1:7" ht="12.75" hidden="1" customHeight="1">
      <c r="A2255" s="98"/>
      <c r="B2255" s="99"/>
      <c r="C2255" s="100"/>
      <c r="D2255" s="115"/>
      <c r="E2255" s="115"/>
      <c r="F2255" s="100"/>
      <c r="G2255" s="40"/>
    </row>
    <row r="2256" spans="1:7" ht="12.75" hidden="1" customHeight="1">
      <c r="A2256" s="101"/>
      <c r="B2256" s="92"/>
      <c r="C2256" s="92"/>
      <c r="D2256" s="115"/>
      <c r="E2256" s="116"/>
      <c r="F2256" s="92"/>
      <c r="G2256" s="40"/>
    </row>
    <row r="2257" spans="1:7" ht="12.75" hidden="1" customHeight="1">
      <c r="A2257" s="101"/>
      <c r="B2257" s="92"/>
      <c r="C2257" s="92"/>
      <c r="D2257" s="92"/>
      <c r="E2257" s="92"/>
      <c r="F2257" s="92"/>
      <c r="G2257" s="40"/>
    </row>
    <row r="2258" spans="1:7" ht="12.75" hidden="1" customHeight="1">
      <c r="A2258" s="101"/>
      <c r="B2258" s="92"/>
      <c r="C2258" s="92"/>
      <c r="D2258" s="92"/>
      <c r="E2258" s="92"/>
      <c r="F2258" s="92"/>
      <c r="G2258" s="40"/>
    </row>
    <row r="2259" spans="1:7" ht="12.75" hidden="1" customHeight="1">
      <c r="A2259" s="77" t="s">
        <v>565</v>
      </c>
      <c r="B2259" s="43" t="s">
        <v>87</v>
      </c>
      <c r="C2259" s="78" t="s">
        <v>338</v>
      </c>
      <c r="D2259" s="78" t="s">
        <v>339</v>
      </c>
      <c r="E2259" s="78" t="s">
        <v>340</v>
      </c>
      <c r="F2259" s="78" t="s">
        <v>341</v>
      </c>
      <c r="G2259" s="40"/>
    </row>
    <row r="2260" spans="1:7" ht="12.75" hidden="1" customHeight="1">
      <c r="A2260" s="87" t="s">
        <v>481</v>
      </c>
      <c r="B2260" s="42"/>
      <c r="C2260" s="112"/>
      <c r="D2260" s="112"/>
      <c r="E2260" s="112"/>
      <c r="F2260" s="112"/>
      <c r="G2260" s="40"/>
    </row>
    <row r="2261" spans="1:7" ht="12.75" hidden="1" customHeight="1">
      <c r="A2261" s="87" t="s">
        <v>482</v>
      </c>
      <c r="B2261" s="42"/>
      <c r="C2261" s="112"/>
      <c r="D2261" s="112"/>
      <c r="E2261" s="112"/>
      <c r="F2261" s="112"/>
      <c r="G2261" s="40"/>
    </row>
    <row r="2262" spans="1:7" ht="12.75" hidden="1" customHeight="1">
      <c r="A2262" s="87" t="s">
        <v>451</v>
      </c>
      <c r="B2262" s="42"/>
      <c r="C2262" s="112"/>
      <c r="D2262" s="112"/>
      <c r="E2262" s="112"/>
      <c r="F2262" s="112"/>
      <c r="G2262" s="40"/>
    </row>
    <row r="2263" spans="1:7" ht="12.75" hidden="1" customHeight="1">
      <c r="A2263" s="87" t="s">
        <v>452</v>
      </c>
      <c r="B2263" s="42"/>
      <c r="C2263" s="112"/>
      <c r="D2263" s="112"/>
      <c r="E2263" s="112"/>
      <c r="F2263" s="112"/>
      <c r="G2263" s="40"/>
    </row>
    <row r="2264" spans="1:7" ht="12.75" hidden="1" customHeight="1">
      <c r="A2264" s="87" t="s">
        <v>453</v>
      </c>
      <c r="B2264" s="42"/>
      <c r="C2264" s="112"/>
      <c r="D2264" s="112"/>
      <c r="E2264" s="112"/>
      <c r="F2264" s="112"/>
      <c r="G2264" s="40"/>
    </row>
    <row r="2265" spans="1:7" ht="12.75" hidden="1" customHeight="1">
      <c r="A2265" s="87" t="s">
        <v>454</v>
      </c>
      <c r="B2265" s="42"/>
      <c r="C2265" s="112"/>
      <c r="D2265" s="112"/>
      <c r="E2265" s="112"/>
      <c r="F2265" s="112"/>
      <c r="G2265" s="40"/>
    </row>
    <row r="2266" spans="1:7" ht="12.75" hidden="1" customHeight="1">
      <c r="A2266" s="87" t="s">
        <v>455</v>
      </c>
      <c r="B2266" s="42"/>
      <c r="C2266" s="112"/>
      <c r="D2266" s="112"/>
      <c r="E2266" s="112"/>
      <c r="F2266" s="112"/>
      <c r="G2266" s="40"/>
    </row>
    <row r="2267" spans="1:7" ht="12.75" hidden="1" customHeight="1">
      <c r="A2267" s="87" t="s">
        <v>456</v>
      </c>
      <c r="B2267" s="93"/>
      <c r="C2267" s="112"/>
      <c r="D2267" s="112"/>
      <c r="E2267" s="112"/>
      <c r="F2267" s="112"/>
      <c r="G2267" s="40"/>
    </row>
    <row r="2268" spans="1:7" ht="12.75" hidden="1" customHeight="1">
      <c r="A2268" s="87" t="s">
        <v>457</v>
      </c>
      <c r="B2268" s="93"/>
      <c r="C2268" s="112"/>
      <c r="D2268" s="112"/>
      <c r="E2268" s="112"/>
      <c r="F2268" s="112"/>
      <c r="G2268" s="40"/>
    </row>
    <row r="2269" spans="1:7" ht="12.75" hidden="1" customHeight="1">
      <c r="A2269" s="87" t="s">
        <v>458</v>
      </c>
      <c r="B2269" s="93"/>
      <c r="C2269" s="112"/>
      <c r="D2269" s="112"/>
      <c r="E2269" s="112"/>
      <c r="F2269" s="112"/>
      <c r="G2269" s="40"/>
    </row>
    <row r="2270" spans="1:7" ht="12.75" hidden="1" customHeight="1">
      <c r="A2270" s="111" t="s">
        <v>480</v>
      </c>
      <c r="B2270" s="93"/>
      <c r="C2270" s="112"/>
      <c r="D2270" s="112"/>
      <c r="E2270" s="112"/>
      <c r="F2270" s="112"/>
      <c r="G2270" s="40"/>
    </row>
    <row r="2271" spans="1:7" ht="12.75" hidden="1" customHeight="1">
      <c r="A2271" s="77" t="s">
        <v>346</v>
      </c>
      <c r="B2271" s="95"/>
      <c r="C2271" s="108">
        <v>45524.45</v>
      </c>
      <c r="D2271" s="108">
        <f>2398.4+1061.04+26035.6+38120</f>
        <v>67615.039999999994</v>
      </c>
      <c r="E2271" s="108">
        <v>72855.62</v>
      </c>
      <c r="F2271" s="207">
        <f>SUM(C2271:E2271)</f>
        <v>185995.11</v>
      </c>
      <c r="G2271" s="40"/>
    </row>
    <row r="2272" spans="1:7" ht="12.75" hidden="1" customHeight="1">
      <c r="A2272" s="114" t="s">
        <v>581</v>
      </c>
      <c r="B2272" s="103"/>
      <c r="C2272" s="104"/>
      <c r="D2272" s="104"/>
      <c r="E2272" s="104"/>
      <c r="F2272" s="104"/>
      <c r="G2272" s="40"/>
    </row>
    <row r="2273" spans="1:7" ht="12.75" hidden="1" customHeight="1">
      <c r="A2273" s="114"/>
      <c r="B2273" s="103"/>
      <c r="C2273" s="104"/>
      <c r="D2273" s="104"/>
      <c r="E2273" s="104"/>
      <c r="F2273" s="104"/>
      <c r="G2273" s="40"/>
    </row>
    <row r="2274" spans="1:7" ht="12.75" hidden="1" customHeight="1">
      <c r="A2274" s="114"/>
      <c r="B2274" s="103"/>
      <c r="C2274" s="104"/>
      <c r="D2274" s="104"/>
      <c r="E2274" s="104"/>
      <c r="F2274" s="104"/>
      <c r="G2274" s="40"/>
    </row>
    <row r="2275" spans="1:7" ht="12.75" hidden="1" customHeight="1">
      <c r="A2275" s="269" t="s">
        <v>566</v>
      </c>
      <c r="B2275" s="269"/>
      <c r="C2275" s="269"/>
      <c r="D2275" s="269"/>
      <c r="E2275" s="269"/>
      <c r="F2275" s="269"/>
      <c r="G2275" s="40"/>
    </row>
    <row r="2276" spans="1:7" ht="12.75" hidden="1" customHeight="1">
      <c r="A2276" s="42" t="s">
        <v>86</v>
      </c>
      <c r="B2276" s="43" t="s">
        <v>87</v>
      </c>
      <c r="C2276" s="43" t="s">
        <v>88</v>
      </c>
      <c r="D2276" s="43" t="s">
        <v>89</v>
      </c>
      <c r="E2276" s="43" t="s">
        <v>90</v>
      </c>
      <c r="F2276" s="43" t="s">
        <v>91</v>
      </c>
      <c r="G2276" s="40"/>
    </row>
    <row r="2277" spans="1:7" ht="12.75" hidden="1" customHeight="1">
      <c r="A2277" s="39" t="s">
        <v>1</v>
      </c>
      <c r="B2277" s="167"/>
      <c r="C2277" s="168"/>
      <c r="D2277" s="168"/>
      <c r="E2277" s="168"/>
      <c r="F2277" s="168"/>
      <c r="G2277" s="40"/>
    </row>
    <row r="2278" spans="1:7" ht="12.75" hidden="1" customHeight="1">
      <c r="A2278" s="39" t="s">
        <v>2</v>
      </c>
      <c r="B2278" s="43"/>
      <c r="C2278" s="44"/>
      <c r="D2278" s="44"/>
      <c r="E2278" s="44"/>
      <c r="F2278" s="44"/>
      <c r="G2278" s="40"/>
    </row>
    <row r="2279" spans="1:7" ht="12.75" hidden="1" customHeight="1">
      <c r="A2279" s="39" t="s">
        <v>92</v>
      </c>
      <c r="B2279" s="43"/>
      <c r="C2279" s="44"/>
      <c r="D2279" s="44"/>
      <c r="E2279" s="44"/>
      <c r="F2279" s="44"/>
      <c r="G2279" s="40"/>
    </row>
    <row r="2280" spans="1:7" ht="12.75" hidden="1" customHeight="1">
      <c r="A2280" s="39" t="s">
        <v>93</v>
      </c>
      <c r="B2280" s="43"/>
      <c r="C2280" s="44"/>
      <c r="D2280" s="44"/>
      <c r="E2280" s="44"/>
      <c r="F2280" s="44"/>
      <c r="G2280" s="40"/>
    </row>
    <row r="2281" spans="1:7" ht="12.75" hidden="1" customHeight="1">
      <c r="A2281" s="39" t="s">
        <v>94</v>
      </c>
      <c r="B2281" s="43"/>
      <c r="C2281" s="44"/>
      <c r="D2281" s="44"/>
      <c r="E2281" s="44"/>
      <c r="F2281" s="44"/>
      <c r="G2281" s="40"/>
    </row>
    <row r="2282" spans="1:7" ht="12.75" hidden="1" customHeight="1">
      <c r="A2282" s="39" t="s">
        <v>95</v>
      </c>
      <c r="B2282" s="43"/>
      <c r="C2282" s="44"/>
      <c r="D2282" s="44"/>
      <c r="E2282" s="44"/>
      <c r="F2282" s="44"/>
      <c r="G2282" s="40"/>
    </row>
    <row r="2283" spans="1:7" ht="12.75" hidden="1" customHeight="1">
      <c r="A2283" s="39" t="s">
        <v>96</v>
      </c>
      <c r="B2283" s="43"/>
      <c r="C2283" s="44"/>
      <c r="D2283" s="44"/>
      <c r="E2283" s="44"/>
      <c r="F2283" s="44"/>
      <c r="G2283" s="40"/>
    </row>
    <row r="2284" spans="1:7" ht="12.75" hidden="1" customHeight="1">
      <c r="A2284" s="39" t="s">
        <v>97</v>
      </c>
      <c r="B2284" s="43"/>
      <c r="C2284" s="44"/>
      <c r="D2284" s="44"/>
      <c r="E2284" s="44"/>
      <c r="F2284" s="44"/>
      <c r="G2284" s="40"/>
    </row>
    <row r="2285" spans="1:7" ht="12.75" hidden="1" customHeight="1">
      <c r="A2285" s="39" t="s">
        <v>98</v>
      </c>
      <c r="B2285" s="43"/>
      <c r="C2285" s="44"/>
      <c r="D2285" s="44"/>
      <c r="E2285" s="44"/>
      <c r="F2285" s="44"/>
      <c r="G2285" s="40"/>
    </row>
    <row r="2286" spans="1:7" ht="12.75" hidden="1" customHeight="1">
      <c r="A2286" s="39" t="s">
        <v>99</v>
      </c>
      <c r="B2286" s="43"/>
      <c r="C2286" s="44"/>
      <c r="D2286" s="44"/>
      <c r="E2286" s="44"/>
      <c r="F2286" s="44"/>
      <c r="G2286" s="40"/>
    </row>
    <row r="2287" spans="1:7" ht="12.75" hidden="1" customHeight="1">
      <c r="A2287" s="39" t="s">
        <v>100</v>
      </c>
      <c r="B2287" s="45"/>
      <c r="C2287" s="44"/>
      <c r="D2287" s="44"/>
      <c r="E2287" s="44"/>
      <c r="F2287" s="44"/>
      <c r="G2287" s="40"/>
    </row>
    <row r="2288" spans="1:7" ht="12.75" hidden="1" customHeight="1">
      <c r="A2288" s="39" t="s">
        <v>101</v>
      </c>
      <c r="B2288" s="43"/>
      <c r="C2288" s="44"/>
      <c r="D2288" s="44"/>
      <c r="E2288" s="44"/>
      <c r="F2288" s="44"/>
      <c r="G2288" s="40"/>
    </row>
    <row r="2289" spans="1:7" ht="12.75" hidden="1" customHeight="1">
      <c r="A2289" s="39" t="s">
        <v>102</v>
      </c>
      <c r="B2289" s="43"/>
      <c r="C2289" s="44"/>
      <c r="D2289" s="44"/>
      <c r="E2289" s="44"/>
      <c r="F2289" s="44"/>
      <c r="G2289" s="40"/>
    </row>
    <row r="2290" spans="1:7" ht="12.75" hidden="1" customHeight="1">
      <c r="A2290" s="39" t="s">
        <v>103</v>
      </c>
      <c r="B2290" s="43"/>
      <c r="C2290" s="44"/>
      <c r="D2290" s="44"/>
      <c r="E2290" s="44"/>
      <c r="F2290" s="44"/>
      <c r="G2290" s="40"/>
    </row>
    <row r="2291" spans="1:7" ht="12.75" hidden="1" customHeight="1">
      <c r="A2291" s="39" t="s">
        <v>104</v>
      </c>
      <c r="B2291" s="45">
        <f>11.5</f>
        <v>11.5</v>
      </c>
      <c r="C2291" s="66">
        <f t="shared" ref="C2291:E2292" si="102">B2291/B$2339*C$2339</f>
        <v>15605.498926905131</v>
      </c>
      <c r="D2291" s="66">
        <f t="shared" si="102"/>
        <v>18005.330373250392</v>
      </c>
      <c r="E2291" s="66">
        <f t="shared" si="102"/>
        <v>10203.117636080871</v>
      </c>
      <c r="F2291" s="44">
        <f>SUM(C2291:E2291)</f>
        <v>43813.946936236389</v>
      </c>
      <c r="G2291" s="40"/>
    </row>
    <row r="2292" spans="1:7" ht="12.75" hidden="1" customHeight="1">
      <c r="A2292" s="58" t="s">
        <v>104</v>
      </c>
      <c r="B2292" s="121">
        <v>11.5</v>
      </c>
      <c r="C2292" s="181">
        <f t="shared" si="102"/>
        <v>15605.498926905131</v>
      </c>
      <c r="D2292" s="181">
        <f t="shared" si="102"/>
        <v>18005.330373250392</v>
      </c>
      <c r="E2292" s="181">
        <f t="shared" si="102"/>
        <v>10203.117636080871</v>
      </c>
      <c r="F2292" s="181">
        <f>SUM(C2292:E2292)</f>
        <v>43813.946936236389</v>
      </c>
      <c r="G2292" s="40"/>
    </row>
    <row r="2293" spans="1:7" ht="12.75" hidden="1" customHeight="1">
      <c r="A2293" s="39" t="s">
        <v>105</v>
      </c>
      <c r="B2293" s="43"/>
      <c r="C2293" s="44"/>
      <c r="D2293" s="44"/>
      <c r="E2293" s="44"/>
      <c r="F2293" s="44"/>
      <c r="G2293" s="40"/>
    </row>
    <row r="2294" spans="1:7" ht="12.75" hidden="1" customHeight="1">
      <c r="A2294" s="39" t="s">
        <v>106</v>
      </c>
      <c r="B2294" s="43">
        <f>10</f>
        <v>10</v>
      </c>
      <c r="C2294" s="66">
        <f t="shared" ref="C2294:E2295" si="103">B2294/B$2339*C$2339</f>
        <v>13569.999066874028</v>
      </c>
      <c r="D2294" s="66">
        <f t="shared" si="103"/>
        <v>15656.809020217734</v>
      </c>
      <c r="E2294" s="66">
        <f t="shared" si="103"/>
        <v>8872.2762052877133</v>
      </c>
      <c r="F2294" s="44">
        <f>SUM(C2294:E2294)</f>
        <v>38099.084292379477</v>
      </c>
      <c r="G2294" s="40"/>
    </row>
    <row r="2295" spans="1:7" ht="12.75" hidden="1" customHeight="1">
      <c r="A2295" s="39" t="s">
        <v>107</v>
      </c>
      <c r="B2295" s="43">
        <f>10</f>
        <v>10</v>
      </c>
      <c r="C2295" s="66">
        <f t="shared" si="103"/>
        <v>13569.999066874028</v>
      </c>
      <c r="D2295" s="66">
        <f t="shared" si="103"/>
        <v>15656.809020217734</v>
      </c>
      <c r="E2295" s="66">
        <f t="shared" si="103"/>
        <v>8872.2762052877133</v>
      </c>
      <c r="F2295" s="44">
        <f>SUM(C2295:E2295)</f>
        <v>38099.084292379477</v>
      </c>
      <c r="G2295" s="40"/>
    </row>
    <row r="2296" spans="1:7" ht="12.75" hidden="1" customHeight="1">
      <c r="A2296" s="39" t="s">
        <v>108</v>
      </c>
      <c r="B2296" s="45"/>
      <c r="C2296" s="44"/>
      <c r="D2296" s="44"/>
      <c r="E2296" s="44"/>
      <c r="F2296" s="44"/>
      <c r="G2296" s="40"/>
    </row>
    <row r="2297" spans="1:7" ht="12.75" hidden="1" customHeight="1">
      <c r="A2297" s="39" t="s">
        <v>109</v>
      </c>
      <c r="B2297" s="43">
        <f>11.5</f>
        <v>11.5</v>
      </c>
      <c r="C2297" s="66">
        <f t="shared" ref="C2297:E2298" si="104">B2297/B$2339*C$2339</f>
        <v>15605.498926905131</v>
      </c>
      <c r="D2297" s="66">
        <f t="shared" si="104"/>
        <v>18005.330373250392</v>
      </c>
      <c r="E2297" s="66">
        <f t="shared" si="104"/>
        <v>10203.117636080871</v>
      </c>
      <c r="F2297" s="44">
        <f>SUM(C2297:E2297)</f>
        <v>43813.946936236389</v>
      </c>
      <c r="G2297" s="40"/>
    </row>
    <row r="2298" spans="1:7" ht="12.75" hidden="1" customHeight="1">
      <c r="A2298" s="39" t="s">
        <v>110</v>
      </c>
      <c r="B2298" s="43">
        <f>11+10+10.5+11.5+10.5+10.5</f>
        <v>64</v>
      </c>
      <c r="C2298" s="66">
        <f t="shared" si="104"/>
        <v>86847.994027993773</v>
      </c>
      <c r="D2298" s="66">
        <f t="shared" si="104"/>
        <v>100203.57772939348</v>
      </c>
      <c r="E2298" s="66">
        <f t="shared" si="104"/>
        <v>56782.567713841367</v>
      </c>
      <c r="F2298" s="44">
        <f>SUM(C2298:E2298)</f>
        <v>243834.13947122861</v>
      </c>
      <c r="G2298" s="40"/>
    </row>
    <row r="2299" spans="1:7" ht="12.75" hidden="1" customHeight="1">
      <c r="A2299" s="39" t="s">
        <v>407</v>
      </c>
      <c r="B2299" s="45"/>
      <c r="C2299" s="44"/>
      <c r="D2299" s="44"/>
      <c r="E2299" s="44"/>
      <c r="F2299" s="44"/>
      <c r="G2299" s="40"/>
    </row>
    <row r="2300" spans="1:7" ht="12.75" hidden="1" customHeight="1">
      <c r="A2300" s="39" t="s">
        <v>408</v>
      </c>
      <c r="B2300" s="45"/>
      <c r="C2300" s="44"/>
      <c r="D2300" s="44"/>
      <c r="E2300" s="44"/>
      <c r="F2300" s="44"/>
      <c r="G2300" s="40"/>
    </row>
    <row r="2301" spans="1:7" ht="12.75" hidden="1" customHeight="1">
      <c r="A2301" s="39" t="s">
        <v>409</v>
      </c>
      <c r="B2301" s="43"/>
      <c r="C2301" s="44"/>
      <c r="D2301" s="44"/>
      <c r="E2301" s="44"/>
      <c r="F2301" s="44"/>
      <c r="G2301" s="40"/>
    </row>
    <row r="2302" spans="1:7" ht="12.75" hidden="1" customHeight="1">
      <c r="A2302" s="39" t="s">
        <v>501</v>
      </c>
      <c r="B2302" s="43">
        <v>10.5</v>
      </c>
      <c r="C2302" s="66">
        <f>B2302/B$2339*C$2339</f>
        <v>14248.499020217729</v>
      </c>
      <c r="D2302" s="66">
        <f>C2302/C$2339*D$2339</f>
        <v>16439.649471228618</v>
      </c>
      <c r="E2302" s="66">
        <f>D2302/D$2339*E$2339</f>
        <v>9315.8900155521005</v>
      </c>
      <c r="F2302" s="44">
        <f>SUM(C2302:E2302)</f>
        <v>40004.038506998448</v>
      </c>
      <c r="G2302" s="40"/>
    </row>
    <row r="2303" spans="1:7" ht="12.75" hidden="1" customHeight="1">
      <c r="A2303" s="39" t="s">
        <v>115</v>
      </c>
      <c r="B2303" s="43"/>
      <c r="C2303" s="44"/>
      <c r="D2303" s="44"/>
      <c r="E2303" s="44"/>
      <c r="F2303" s="44"/>
      <c r="G2303" s="40"/>
    </row>
    <row r="2304" spans="1:7" ht="12.75" hidden="1" customHeight="1">
      <c r="A2304" s="39" t="s">
        <v>116</v>
      </c>
      <c r="B2304" s="43"/>
      <c r="C2304" s="44"/>
      <c r="D2304" s="44"/>
      <c r="E2304" s="44"/>
      <c r="F2304" s="44"/>
      <c r="G2304" s="40"/>
    </row>
    <row r="2305" spans="1:7" ht="12.75" hidden="1" customHeight="1">
      <c r="A2305" s="39" t="s">
        <v>117</v>
      </c>
      <c r="B2305" s="43"/>
      <c r="C2305" s="44"/>
      <c r="D2305" s="44"/>
      <c r="E2305" s="44"/>
      <c r="F2305" s="44"/>
      <c r="G2305" s="40"/>
    </row>
    <row r="2306" spans="1:7" ht="12.75" hidden="1" customHeight="1">
      <c r="A2306" s="39" t="s">
        <v>118</v>
      </c>
      <c r="B2306" s="45"/>
      <c r="C2306" s="44"/>
      <c r="D2306" s="44"/>
      <c r="E2306" s="44"/>
      <c r="F2306" s="44"/>
      <c r="G2306" s="40"/>
    </row>
    <row r="2307" spans="1:7" ht="12.75" hidden="1" customHeight="1">
      <c r="A2307" s="39" t="s">
        <v>119</v>
      </c>
      <c r="B2307" s="43">
        <f>10+10.5</f>
        <v>20.5</v>
      </c>
      <c r="C2307" s="66">
        <f t="shared" ref="C2307:E2308" si="105">B2307/B$2339*C$2339</f>
        <v>27818.498087091757</v>
      </c>
      <c r="D2307" s="66">
        <f t="shared" si="105"/>
        <v>32096.458491446356</v>
      </c>
      <c r="E2307" s="66">
        <f t="shared" si="105"/>
        <v>18188.166220839816</v>
      </c>
      <c r="F2307" s="44">
        <f>SUM(C2307:E2307)</f>
        <v>78103.122799377932</v>
      </c>
      <c r="G2307" s="40"/>
    </row>
    <row r="2308" spans="1:7" ht="12.75" hidden="1" customHeight="1">
      <c r="A2308" s="39" t="s">
        <v>120</v>
      </c>
      <c r="B2308" s="45">
        <f>11+11+4.5+9.5</f>
        <v>36</v>
      </c>
      <c r="C2308" s="66">
        <f t="shared" si="105"/>
        <v>48851.996640746496</v>
      </c>
      <c r="D2308" s="66">
        <f t="shared" si="105"/>
        <v>56364.512472783834</v>
      </c>
      <c r="E2308" s="66">
        <f t="shared" si="105"/>
        <v>31940.194339035766</v>
      </c>
      <c r="F2308" s="44">
        <f>SUM(C2308:E2308)</f>
        <v>137156.70345256611</v>
      </c>
      <c r="G2308" s="40"/>
    </row>
    <row r="2309" spans="1:7" ht="12.75" hidden="1" customHeight="1">
      <c r="A2309" s="39" t="s">
        <v>121</v>
      </c>
      <c r="B2309" s="45"/>
      <c r="C2309" s="44"/>
      <c r="D2309" s="44"/>
      <c r="E2309" s="44"/>
      <c r="F2309" s="44"/>
      <c r="G2309" s="40"/>
    </row>
    <row r="2310" spans="1:7" ht="12.75" hidden="1" customHeight="1">
      <c r="A2310" s="39" t="s">
        <v>122</v>
      </c>
      <c r="B2310" s="43">
        <f>3</f>
        <v>3</v>
      </c>
      <c r="C2310" s="66">
        <f>B2310/B$2339*C$2339</f>
        <v>4070.9997200622083</v>
      </c>
      <c r="D2310" s="66">
        <f>C2310/C$2339*D$2339</f>
        <v>4697.0427060653201</v>
      </c>
      <c r="E2310" s="66">
        <f>D2310/D$2339*E$2339</f>
        <v>2661.6828615863142</v>
      </c>
      <c r="F2310" s="44">
        <f>SUM(C2310:E2310)</f>
        <v>11429.725287713843</v>
      </c>
      <c r="G2310" s="40"/>
    </row>
    <row r="2311" spans="1:7" ht="12.75" hidden="1" customHeight="1">
      <c r="A2311" s="39" t="s">
        <v>123</v>
      </c>
      <c r="B2311" s="43"/>
      <c r="C2311" s="44"/>
      <c r="D2311" s="44"/>
      <c r="E2311" s="44"/>
      <c r="F2311" s="44"/>
      <c r="G2311" s="40"/>
    </row>
    <row r="2312" spans="1:7" ht="12.75" hidden="1" customHeight="1">
      <c r="A2312" s="39" t="s">
        <v>124</v>
      </c>
      <c r="B2312" s="43"/>
      <c r="C2312" s="44"/>
      <c r="D2312" s="44"/>
      <c r="E2312" s="44"/>
      <c r="F2312" s="44"/>
      <c r="G2312" s="40"/>
    </row>
    <row r="2313" spans="1:7" ht="12.75" hidden="1" customHeight="1">
      <c r="A2313" s="39" t="s">
        <v>125</v>
      </c>
      <c r="B2313" s="43"/>
      <c r="C2313" s="44"/>
      <c r="D2313" s="44"/>
      <c r="E2313" s="44"/>
      <c r="F2313" s="44"/>
      <c r="G2313" s="40"/>
    </row>
    <row r="2314" spans="1:7" ht="12.75" hidden="1" customHeight="1">
      <c r="A2314" s="39" t="s">
        <v>126</v>
      </c>
      <c r="B2314" s="45"/>
      <c r="C2314" s="44"/>
      <c r="D2314" s="44"/>
      <c r="E2314" s="44"/>
      <c r="F2314" s="44"/>
      <c r="G2314" s="40"/>
    </row>
    <row r="2315" spans="1:7" ht="12.75" hidden="1" customHeight="1">
      <c r="A2315" s="39" t="s">
        <v>127</v>
      </c>
      <c r="B2315" s="43"/>
      <c r="C2315" s="44"/>
      <c r="D2315" s="44"/>
      <c r="E2315" s="44"/>
      <c r="F2315" s="44"/>
      <c r="G2315" s="40"/>
    </row>
    <row r="2316" spans="1:7" ht="12.75" hidden="1" customHeight="1">
      <c r="A2316" s="58" t="s">
        <v>128</v>
      </c>
      <c r="B2316" s="59">
        <v>7</v>
      </c>
      <c r="C2316" s="181">
        <f>B2316/B$2339*C$2339</f>
        <v>9498.9993468118191</v>
      </c>
      <c r="D2316" s="181">
        <f>C2316/C$2339*D$2339</f>
        <v>10959.766314152414</v>
      </c>
      <c r="E2316" s="181">
        <f>D2316/D$2339*E$2339</f>
        <v>6210.5933437014</v>
      </c>
      <c r="F2316" s="181">
        <f>SUM(C2316:E2316)</f>
        <v>26669.359004665632</v>
      </c>
      <c r="G2316" s="40"/>
    </row>
    <row r="2317" spans="1:7" ht="12.75" hidden="1" customHeight="1">
      <c r="A2317" s="58" t="s">
        <v>129</v>
      </c>
      <c r="B2317" s="121"/>
      <c r="C2317" s="181"/>
      <c r="D2317" s="181"/>
      <c r="E2317" s="181"/>
      <c r="F2317" s="181"/>
      <c r="G2317" s="40"/>
    </row>
    <row r="2318" spans="1:7" ht="12.75" hidden="1" customHeight="1">
      <c r="A2318" s="58" t="s">
        <v>130</v>
      </c>
      <c r="B2318" s="121">
        <f>10.5*4</f>
        <v>42</v>
      </c>
      <c r="C2318" s="181">
        <f>B2318/B$2339*C$2339</f>
        <v>56993.996080870915</v>
      </c>
      <c r="D2318" s="181">
        <f>C2318/C$2339*D$2339</f>
        <v>65758.597884914474</v>
      </c>
      <c r="E2318" s="181">
        <f>D2318/D$2339*E$2339</f>
        <v>37263.560062208402</v>
      </c>
      <c r="F2318" s="181">
        <f>SUM(C2318:E2318)</f>
        <v>160016.15402799379</v>
      </c>
      <c r="G2318" s="40"/>
    </row>
    <row r="2319" spans="1:7" ht="12.75" hidden="1" customHeight="1">
      <c r="A2319" s="39" t="s">
        <v>131</v>
      </c>
      <c r="B2319" s="45"/>
      <c r="C2319" s="44"/>
      <c r="D2319" s="44"/>
      <c r="E2319" s="44"/>
      <c r="F2319" s="44"/>
      <c r="G2319" s="40"/>
    </row>
    <row r="2320" spans="1:7" ht="12.75" hidden="1" customHeight="1">
      <c r="A2320" s="39" t="s">
        <v>132</v>
      </c>
      <c r="B2320" s="43"/>
      <c r="C2320" s="44"/>
      <c r="D2320" s="44"/>
      <c r="E2320" s="44"/>
      <c r="F2320" s="44"/>
      <c r="G2320" s="40"/>
    </row>
    <row r="2321" spans="1:7" ht="12.75" hidden="1" customHeight="1">
      <c r="A2321" s="39" t="s">
        <v>133</v>
      </c>
      <c r="B2321" s="43">
        <f>6.5</f>
        <v>6.5</v>
      </c>
      <c r="C2321" s="66">
        <f t="shared" ref="C2321:E2323" si="106">B2321/B$2339*C$2339</f>
        <v>8820.4993934681188</v>
      </c>
      <c r="D2321" s="66">
        <f t="shared" si="106"/>
        <v>10176.925863141527</v>
      </c>
      <c r="E2321" s="66">
        <f t="shared" si="106"/>
        <v>5766.9795334370147</v>
      </c>
      <c r="F2321" s="44">
        <f>SUM(C2321:E2321)</f>
        <v>24764.404790046661</v>
      </c>
      <c r="G2321" s="40"/>
    </row>
    <row r="2322" spans="1:7" ht="12.75" hidden="1" customHeight="1">
      <c r="A2322" s="39" t="s">
        <v>134</v>
      </c>
      <c r="B2322" s="45">
        <f>10.5+10.5</f>
        <v>21</v>
      </c>
      <c r="C2322" s="66">
        <f t="shared" si="106"/>
        <v>28496.998040435457</v>
      </c>
      <c r="D2322" s="66">
        <f t="shared" si="106"/>
        <v>32879.298942457237</v>
      </c>
      <c r="E2322" s="66">
        <f t="shared" si="106"/>
        <v>18631.780031104201</v>
      </c>
      <c r="F2322" s="44">
        <f>SUM(C2322:E2322)</f>
        <v>80008.077013996895</v>
      </c>
      <c r="G2322" s="40"/>
    </row>
    <row r="2323" spans="1:7" ht="12.75" hidden="1" customHeight="1">
      <c r="A2323" s="39" t="s">
        <v>135</v>
      </c>
      <c r="B2323" s="45">
        <f>4.5</f>
        <v>4.5</v>
      </c>
      <c r="C2323" s="66">
        <f t="shared" si="106"/>
        <v>6106.499580093312</v>
      </c>
      <c r="D2323" s="66">
        <f t="shared" si="106"/>
        <v>7045.5640590979792</v>
      </c>
      <c r="E2323" s="66">
        <f t="shared" si="106"/>
        <v>3992.5242923794708</v>
      </c>
      <c r="F2323" s="44">
        <f>SUM(C2323:E2323)</f>
        <v>17144.587931570764</v>
      </c>
      <c r="G2323" s="40"/>
    </row>
    <row r="2324" spans="1:7" ht="12.75" hidden="1" customHeight="1">
      <c r="A2324" s="39" t="s">
        <v>136</v>
      </c>
      <c r="B2324" s="43"/>
      <c r="C2324" s="44"/>
      <c r="D2324" s="44"/>
      <c r="E2324" s="44"/>
      <c r="F2324" s="44"/>
      <c r="G2324" s="40"/>
    </row>
    <row r="2325" spans="1:7" ht="12.75" hidden="1" customHeight="1">
      <c r="A2325" s="39" t="s">
        <v>137</v>
      </c>
      <c r="B2325" s="45">
        <f>10.5+10.5</f>
        <v>21</v>
      </c>
      <c r="C2325" s="66">
        <f t="shared" ref="C2325:E2326" si="107">B2325/B$2339*C$2339</f>
        <v>28496.998040435457</v>
      </c>
      <c r="D2325" s="66">
        <f t="shared" si="107"/>
        <v>32879.298942457237</v>
      </c>
      <c r="E2325" s="66">
        <f t="shared" si="107"/>
        <v>18631.780031104201</v>
      </c>
      <c r="F2325" s="44">
        <f>SUM(C2325:E2325)</f>
        <v>80008.077013996895</v>
      </c>
      <c r="G2325" s="40"/>
    </row>
    <row r="2326" spans="1:7" ht="12.75" hidden="1" customHeight="1">
      <c r="A2326" s="58" t="s">
        <v>137</v>
      </c>
      <c r="B2326" s="121">
        <v>10.5</v>
      </c>
      <c r="C2326" s="181">
        <f t="shared" si="107"/>
        <v>14248.499020217729</v>
      </c>
      <c r="D2326" s="181">
        <f t="shared" si="107"/>
        <v>16439.649471228618</v>
      </c>
      <c r="E2326" s="181">
        <f t="shared" si="107"/>
        <v>9315.8900155521005</v>
      </c>
      <c r="F2326" s="181">
        <f>SUM(C2326:E2326)</f>
        <v>40004.038506998448</v>
      </c>
      <c r="G2326" s="40"/>
    </row>
    <row r="2327" spans="1:7" ht="12.75" hidden="1" customHeight="1">
      <c r="A2327" s="39" t="s">
        <v>138</v>
      </c>
      <c r="B2327" s="45"/>
      <c r="C2327" s="44"/>
      <c r="D2327" s="44"/>
      <c r="E2327" s="44"/>
      <c r="F2327" s="44"/>
      <c r="G2327" s="40"/>
    </row>
    <row r="2328" spans="1:7" ht="12.75" hidden="1" customHeight="1">
      <c r="A2328" s="39" t="s">
        <v>502</v>
      </c>
      <c r="B2328" s="45">
        <f>10.5+10</f>
        <v>20.5</v>
      </c>
      <c r="C2328" s="66">
        <f>B2328/B$2339*C$2339</f>
        <v>27818.498087091757</v>
      </c>
      <c r="D2328" s="66">
        <f>C2328/C$2339*D$2339</f>
        <v>32096.458491446356</v>
      </c>
      <c r="E2328" s="66">
        <f>D2328/D$2339*E$2339</f>
        <v>18188.166220839816</v>
      </c>
      <c r="F2328" s="44">
        <f>SUM(C2328:E2328)</f>
        <v>78103.122799377932</v>
      </c>
      <c r="G2328" s="40"/>
    </row>
    <row r="2329" spans="1:7" ht="12.75" hidden="1" customHeight="1">
      <c r="A2329" s="39" t="s">
        <v>503</v>
      </c>
      <c r="B2329" s="45"/>
      <c r="C2329" s="44"/>
      <c r="D2329" s="44"/>
      <c r="E2329" s="44"/>
      <c r="F2329" s="44"/>
      <c r="G2329" s="40"/>
    </row>
    <row r="2330" spans="1:7" ht="12.75" hidden="1" customHeight="1">
      <c r="A2330" s="46" t="s">
        <v>140</v>
      </c>
      <c r="B2330" s="45"/>
      <c r="C2330" s="44"/>
      <c r="D2330" s="44"/>
      <c r="E2330" s="44"/>
      <c r="F2330" s="44"/>
      <c r="G2330" s="40"/>
    </row>
    <row r="2331" spans="1:7" ht="12.75" hidden="1" customHeight="1">
      <c r="A2331" s="46" t="s">
        <v>141</v>
      </c>
      <c r="B2331" s="45"/>
      <c r="C2331" s="44"/>
      <c r="D2331" s="44"/>
      <c r="E2331" s="44"/>
      <c r="F2331" s="44"/>
      <c r="G2331" s="40"/>
    </row>
    <row r="2332" spans="1:7" ht="12.75" hidden="1" customHeight="1">
      <c r="A2332" s="46" t="s">
        <v>142</v>
      </c>
      <c r="B2332" s="45"/>
      <c r="C2332" s="44"/>
      <c r="D2332" s="44"/>
      <c r="E2332" s="44"/>
      <c r="F2332" s="44"/>
      <c r="G2332" s="40"/>
    </row>
    <row r="2333" spans="1:7" ht="12.75" hidden="1" customHeight="1">
      <c r="A2333" s="46" t="s">
        <v>143</v>
      </c>
      <c r="B2333" s="45"/>
      <c r="C2333" s="44"/>
      <c r="D2333" s="44"/>
      <c r="E2333" s="44"/>
      <c r="F2333" s="44"/>
      <c r="G2333" s="40"/>
    </row>
    <row r="2334" spans="1:7" ht="12.75" hidden="1" customHeight="1">
      <c r="A2334" s="46" t="s">
        <v>146</v>
      </c>
      <c r="B2334" s="45"/>
      <c r="C2334" s="44"/>
      <c r="D2334" s="44"/>
      <c r="E2334" s="44"/>
      <c r="F2334" s="44"/>
      <c r="G2334" s="40"/>
    </row>
    <row r="2335" spans="1:7" ht="12.75" hidden="1" customHeight="1">
      <c r="A2335" s="46" t="s">
        <v>147</v>
      </c>
      <c r="B2335" s="45"/>
      <c r="C2335" s="44"/>
      <c r="D2335" s="44"/>
      <c r="E2335" s="44"/>
      <c r="F2335" s="44"/>
      <c r="G2335" s="40"/>
    </row>
    <row r="2336" spans="1:7" ht="12.75" hidden="1" customHeight="1">
      <c r="A2336" s="46" t="s">
        <v>148</v>
      </c>
      <c r="B2336" s="45"/>
      <c r="C2336" s="44"/>
      <c r="D2336" s="44"/>
      <c r="E2336" s="44"/>
      <c r="F2336" s="44"/>
      <c r="G2336" s="40"/>
    </row>
    <row r="2337" spans="1:7" ht="12.75" hidden="1" customHeight="1">
      <c r="A2337" s="126" t="s">
        <v>526</v>
      </c>
      <c r="B2337" s="47"/>
      <c r="C2337" s="44"/>
      <c r="D2337" s="44"/>
      <c r="E2337" s="44"/>
      <c r="F2337" s="44"/>
      <c r="G2337" s="40"/>
    </row>
    <row r="2338" spans="1:7" ht="12.75" hidden="1" customHeight="1">
      <c r="A2338" s="126" t="s">
        <v>406</v>
      </c>
      <c r="B2338" s="47"/>
      <c r="C2338" s="44"/>
      <c r="D2338" s="44"/>
      <c r="E2338" s="44"/>
      <c r="F2338" s="44"/>
      <c r="G2338" s="40"/>
    </row>
    <row r="2339" spans="1:7" ht="12.75" hidden="1" customHeight="1">
      <c r="A2339" s="48" t="s">
        <v>150</v>
      </c>
      <c r="B2339" s="48">
        <f>SUM(B2277:B2338)</f>
        <v>321.5</v>
      </c>
      <c r="C2339" s="49">
        <v>436275.47</v>
      </c>
      <c r="D2339" s="50">
        <f>39576.4+301089.4+67504.21+84688.6+10507.8</f>
        <v>503366.41000000009</v>
      </c>
      <c r="E2339" s="50">
        <v>285243.68</v>
      </c>
      <c r="F2339" s="50">
        <f>SUM(C2339:E2339)</f>
        <v>1224885.56</v>
      </c>
      <c r="G2339" s="40"/>
    </row>
    <row r="2340" spans="1:7" ht="12.75" hidden="1" customHeight="1">
      <c r="A2340" s="180"/>
      <c r="B2340" s="106"/>
      <c r="C2340" s="106"/>
      <c r="D2340" s="106"/>
      <c r="E2340" s="106"/>
      <c r="F2340" s="106"/>
      <c r="G2340" s="107"/>
    </row>
    <row r="2341" spans="1:7" ht="12.75" hidden="1" customHeight="1">
      <c r="A2341" s="51"/>
      <c r="B2341" s="52"/>
      <c r="C2341" s="51"/>
      <c r="D2341" s="51"/>
      <c r="E2341" s="52"/>
      <c r="F2341" s="51"/>
      <c r="G2341" s="40"/>
    </row>
    <row r="2342" spans="1:7" ht="12.75" hidden="1" customHeight="1">
      <c r="A2342" s="51"/>
      <c r="B2342" s="52"/>
      <c r="C2342" s="51"/>
      <c r="D2342" s="51"/>
      <c r="E2342" s="52"/>
      <c r="F2342" s="51"/>
      <c r="G2342" s="40"/>
    </row>
    <row r="2343" spans="1:7" ht="12.75" hidden="1" customHeight="1">
      <c r="A2343" s="51"/>
      <c r="B2343" s="52"/>
      <c r="C2343" s="51"/>
      <c r="D2343" s="51"/>
      <c r="E2343" s="52"/>
      <c r="F2343" s="51"/>
      <c r="G2343" s="40"/>
    </row>
    <row r="2344" spans="1:7" ht="12.75" hidden="1" customHeight="1">
      <c r="A2344" s="269" t="s">
        <v>567</v>
      </c>
      <c r="B2344" s="269"/>
      <c r="C2344" s="269"/>
      <c r="D2344" s="269"/>
      <c r="E2344" s="269"/>
      <c r="F2344" s="269"/>
      <c r="G2344" s="40"/>
    </row>
    <row r="2345" spans="1:7" ht="12.75" hidden="1" customHeight="1">
      <c r="A2345" s="43" t="s">
        <v>86</v>
      </c>
      <c r="B2345" s="43" t="s">
        <v>87</v>
      </c>
      <c r="C2345" s="43" t="s">
        <v>88</v>
      </c>
      <c r="D2345" s="43" t="s">
        <v>89</v>
      </c>
      <c r="E2345" s="43" t="s">
        <v>90</v>
      </c>
      <c r="F2345" s="45" t="s">
        <v>152</v>
      </c>
      <c r="G2345" s="43" t="s">
        <v>91</v>
      </c>
    </row>
    <row r="2346" spans="1:7" ht="12.75" hidden="1" customHeight="1">
      <c r="A2346" s="39" t="s">
        <v>153</v>
      </c>
      <c r="B2346" s="43"/>
      <c r="C2346" s="42"/>
      <c r="D2346" s="42"/>
      <c r="E2346" s="42"/>
      <c r="F2346" s="45"/>
      <c r="G2346" s="42"/>
    </row>
    <row r="2347" spans="1:7" ht="12.75" hidden="1" customHeight="1">
      <c r="A2347" s="39" t="s">
        <v>154</v>
      </c>
      <c r="B2347" s="43"/>
      <c r="C2347" s="42"/>
      <c r="D2347" s="42"/>
      <c r="E2347" s="42"/>
      <c r="F2347" s="45"/>
      <c r="G2347" s="42"/>
    </row>
    <row r="2348" spans="1:7" ht="12.75" hidden="1" customHeight="1">
      <c r="A2348" s="39" t="s">
        <v>155</v>
      </c>
      <c r="B2348" s="43"/>
      <c r="C2348" s="42"/>
      <c r="D2348" s="42"/>
      <c r="E2348" s="42"/>
      <c r="F2348" s="45"/>
      <c r="G2348" s="42"/>
    </row>
    <row r="2349" spans="1:7" ht="12.75" hidden="1" customHeight="1">
      <c r="A2349" s="39" t="s">
        <v>156</v>
      </c>
      <c r="B2349" s="43"/>
      <c r="C2349" s="42"/>
      <c r="D2349" s="42"/>
      <c r="E2349" s="42"/>
      <c r="F2349" s="45"/>
      <c r="G2349" s="42"/>
    </row>
    <row r="2350" spans="1:7" ht="12.75" hidden="1" customHeight="1">
      <c r="A2350" s="39" t="s">
        <v>3</v>
      </c>
      <c r="B2350" s="43"/>
      <c r="C2350" s="42"/>
      <c r="D2350" s="42"/>
      <c r="E2350" s="42"/>
      <c r="F2350" s="45"/>
      <c r="G2350" s="42"/>
    </row>
    <row r="2351" spans="1:7" ht="12.75" hidden="1" customHeight="1">
      <c r="A2351" s="39" t="s">
        <v>4</v>
      </c>
      <c r="B2351" s="43"/>
      <c r="C2351" s="42"/>
      <c r="D2351" s="42"/>
      <c r="E2351" s="42"/>
      <c r="F2351" s="45"/>
      <c r="G2351" s="42"/>
    </row>
    <row r="2352" spans="1:7" ht="12.75" hidden="1" customHeight="1">
      <c r="A2352" s="39" t="s">
        <v>5</v>
      </c>
      <c r="B2352" s="43"/>
      <c r="C2352" s="42"/>
      <c r="D2352" s="42"/>
      <c r="E2352" s="42"/>
      <c r="F2352" s="45"/>
      <c r="G2352" s="42"/>
    </row>
    <row r="2353" spans="1:7" ht="12.75" hidden="1" customHeight="1">
      <c r="A2353" s="39" t="s">
        <v>157</v>
      </c>
      <c r="B2353" s="43">
        <v>23.5</v>
      </c>
      <c r="C2353" s="53">
        <f>B2353/B$2423*C$2423</f>
        <v>31155.930661417322</v>
      </c>
      <c r="D2353" s="53">
        <f>C2353/C$2423*D$2423</f>
        <v>40625.83631496063</v>
      </c>
      <c r="E2353" s="53">
        <f>D2353/D$2423*E$2423</f>
        <v>18267.789023622045</v>
      </c>
      <c r="F2353" s="57"/>
      <c r="G2353" s="42">
        <f>SUM(C2353:F2353)</f>
        <v>90049.555999999997</v>
      </c>
    </row>
    <row r="2354" spans="1:7" ht="12.75" hidden="1" customHeight="1">
      <c r="A2354" s="39" t="s">
        <v>158</v>
      </c>
      <c r="B2354" s="43"/>
      <c r="C2354" s="42"/>
      <c r="D2354" s="42"/>
      <c r="E2354" s="42"/>
      <c r="F2354" s="57"/>
      <c r="G2354" s="42"/>
    </row>
    <row r="2355" spans="1:7" ht="12.75" hidden="1" customHeight="1">
      <c r="A2355" s="39" t="s">
        <v>159</v>
      </c>
      <c r="B2355" s="43"/>
      <c r="C2355" s="42"/>
      <c r="D2355" s="42"/>
      <c r="E2355" s="42"/>
      <c r="F2355" s="57"/>
      <c r="G2355" s="42"/>
    </row>
    <row r="2356" spans="1:7" ht="12.75" hidden="1" customHeight="1">
      <c r="A2356" s="39" t="s">
        <v>160</v>
      </c>
      <c r="B2356" s="43"/>
      <c r="C2356" s="42"/>
      <c r="D2356" s="42"/>
      <c r="E2356" s="42"/>
      <c r="F2356" s="57"/>
      <c r="G2356" s="42"/>
    </row>
    <row r="2357" spans="1:7" ht="12.75" hidden="1" customHeight="1">
      <c r="A2357" s="39" t="s">
        <v>161</v>
      </c>
      <c r="B2357" s="43">
        <v>11.5</v>
      </c>
      <c r="C2357" s="53">
        <f>B2357/B$2423*C$2423</f>
        <v>15246.51925984252</v>
      </c>
      <c r="D2357" s="53">
        <f>C2357/C$2423*D$2423</f>
        <v>19880.728409448817</v>
      </c>
      <c r="E2357" s="53">
        <f>D2357/D$2423*E$2423</f>
        <v>8939.5563307086613</v>
      </c>
      <c r="F2357" s="57"/>
      <c r="G2357" s="42">
        <f>SUM(C2357:F2357)</f>
        <v>44066.803999999996</v>
      </c>
    </row>
    <row r="2358" spans="1:7" ht="12.75" hidden="1" customHeight="1">
      <c r="A2358" s="39" t="s">
        <v>6</v>
      </c>
      <c r="B2358" s="43"/>
      <c r="C2358" s="42"/>
      <c r="D2358" s="42"/>
      <c r="E2358" s="42"/>
      <c r="F2358" s="57"/>
      <c r="G2358" s="42"/>
    </row>
    <row r="2359" spans="1:7" ht="12.75" hidden="1" customHeight="1">
      <c r="A2359" s="39" t="s">
        <v>7</v>
      </c>
      <c r="B2359" s="43"/>
      <c r="C2359" s="42"/>
      <c r="D2359" s="42"/>
      <c r="E2359" s="42"/>
      <c r="F2359" s="57"/>
      <c r="G2359" s="42"/>
    </row>
    <row r="2360" spans="1:7" ht="12.75" hidden="1" customHeight="1">
      <c r="A2360" s="39" t="s">
        <v>162</v>
      </c>
      <c r="B2360" s="43"/>
      <c r="C2360" s="42"/>
      <c r="D2360" s="42"/>
      <c r="E2360" s="42"/>
      <c r="F2360" s="57"/>
      <c r="G2360" s="42"/>
    </row>
    <row r="2361" spans="1:7" ht="12.75" hidden="1" customHeight="1">
      <c r="A2361" s="39" t="s">
        <v>401</v>
      </c>
      <c r="B2361" s="45"/>
      <c r="C2361" s="42"/>
      <c r="D2361" s="42"/>
      <c r="E2361" s="42"/>
      <c r="F2361" s="57"/>
      <c r="G2361" s="42"/>
    </row>
    <row r="2362" spans="1:7" ht="12.75" hidden="1" customHeight="1">
      <c r="A2362" s="39" t="s">
        <v>402</v>
      </c>
      <c r="B2362" s="45"/>
      <c r="C2362" s="42"/>
      <c r="D2362" s="42"/>
      <c r="E2362" s="42"/>
      <c r="F2362" s="57"/>
      <c r="G2362" s="42"/>
    </row>
    <row r="2363" spans="1:7" ht="12.75" hidden="1" customHeight="1">
      <c r="A2363" s="39" t="s">
        <v>8</v>
      </c>
      <c r="B2363" s="43"/>
      <c r="C2363" s="42"/>
      <c r="D2363" s="42"/>
      <c r="E2363" s="42"/>
      <c r="F2363" s="57"/>
      <c r="G2363" s="42"/>
    </row>
    <row r="2364" spans="1:7" ht="12.75" hidden="1" customHeight="1">
      <c r="A2364" s="58" t="s">
        <v>9</v>
      </c>
      <c r="B2364" s="59">
        <v>4.5</v>
      </c>
      <c r="C2364" s="60">
        <f t="shared" ref="C2364:E2365" si="108">B2364/B$2423*C$2423</f>
        <v>5966.0292755905512</v>
      </c>
      <c r="D2364" s="60">
        <f t="shared" si="108"/>
        <v>7779.4154645669287</v>
      </c>
      <c r="E2364" s="60">
        <f t="shared" si="108"/>
        <v>3498.0872598425194</v>
      </c>
      <c r="F2364" s="61"/>
      <c r="G2364" s="42">
        <f>SUM(C2364:F2364)</f>
        <v>17243.531999999999</v>
      </c>
    </row>
    <row r="2365" spans="1:7" ht="12.75" hidden="1" customHeight="1">
      <c r="A2365" s="39" t="s">
        <v>10</v>
      </c>
      <c r="B2365" s="43">
        <v>5</v>
      </c>
      <c r="C2365" s="53">
        <f t="shared" si="108"/>
        <v>6628.9214173228347</v>
      </c>
      <c r="D2365" s="53">
        <f t="shared" si="108"/>
        <v>8643.7949606299208</v>
      </c>
      <c r="E2365" s="53">
        <f t="shared" si="108"/>
        <v>3886.7636220472441</v>
      </c>
      <c r="F2365" s="57"/>
      <c r="G2365" s="42">
        <f>SUM(C2365:F2365)</f>
        <v>19159.48</v>
      </c>
    </row>
    <row r="2366" spans="1:7" ht="12.75" hidden="1" customHeight="1">
      <c r="A2366" s="39" t="s">
        <v>11</v>
      </c>
      <c r="B2366" s="43"/>
      <c r="C2366" s="42"/>
      <c r="D2366" s="42"/>
      <c r="E2366" s="42"/>
      <c r="F2366" s="57"/>
      <c r="G2366" s="42"/>
    </row>
    <row r="2367" spans="1:7" ht="12.75" hidden="1" customHeight="1">
      <c r="A2367" s="39" t="s">
        <v>164</v>
      </c>
      <c r="B2367" s="43"/>
      <c r="C2367" s="42"/>
      <c r="D2367" s="42"/>
      <c r="E2367" s="42"/>
      <c r="F2367" s="57"/>
      <c r="G2367" s="42"/>
    </row>
    <row r="2368" spans="1:7" ht="12.75" hidden="1" customHeight="1">
      <c r="A2368" s="39" t="s">
        <v>165</v>
      </c>
      <c r="B2368" s="43"/>
      <c r="C2368" s="42"/>
      <c r="D2368" s="42"/>
      <c r="E2368" s="42"/>
      <c r="F2368" s="57"/>
      <c r="G2368" s="42"/>
    </row>
    <row r="2369" spans="1:7" ht="12.75" hidden="1" customHeight="1">
      <c r="A2369" s="39" t="s">
        <v>505</v>
      </c>
      <c r="B2369" s="43"/>
      <c r="C2369" s="42"/>
      <c r="D2369" s="42"/>
      <c r="E2369" s="42"/>
      <c r="F2369" s="57"/>
      <c r="G2369" s="42"/>
    </row>
    <row r="2370" spans="1:7" ht="12.75" hidden="1" customHeight="1">
      <c r="A2370" s="39" t="s">
        <v>166</v>
      </c>
      <c r="B2370" s="43"/>
      <c r="C2370" s="42"/>
      <c r="D2370" s="42"/>
      <c r="E2370" s="42"/>
      <c r="F2370" s="57"/>
      <c r="G2370" s="42"/>
    </row>
    <row r="2371" spans="1:7" ht="12.75" hidden="1" customHeight="1">
      <c r="A2371" s="39" t="s">
        <v>167</v>
      </c>
      <c r="B2371" s="43"/>
      <c r="C2371" s="42"/>
      <c r="D2371" s="42"/>
      <c r="E2371" s="42"/>
      <c r="F2371" s="57"/>
      <c r="G2371" s="42"/>
    </row>
    <row r="2372" spans="1:7" ht="12.75" hidden="1" customHeight="1">
      <c r="A2372" s="39" t="s">
        <v>168</v>
      </c>
      <c r="B2372" s="43"/>
      <c r="C2372" s="42"/>
      <c r="D2372" s="42"/>
      <c r="E2372" s="42"/>
      <c r="F2372" s="57"/>
      <c r="G2372" s="42"/>
    </row>
    <row r="2373" spans="1:7" ht="12.75" hidden="1" customHeight="1">
      <c r="A2373" s="39" t="s">
        <v>169</v>
      </c>
      <c r="B2373" s="43"/>
      <c r="C2373" s="42"/>
      <c r="D2373" s="42"/>
      <c r="E2373" s="42"/>
      <c r="F2373" s="57"/>
      <c r="G2373" s="42"/>
    </row>
    <row r="2374" spans="1:7" ht="12.75" hidden="1" customHeight="1">
      <c r="A2374" s="39" t="s">
        <v>170</v>
      </c>
      <c r="B2374" s="43"/>
      <c r="C2374" s="42"/>
      <c r="D2374" s="42"/>
      <c r="E2374" s="42"/>
      <c r="F2374" s="57"/>
      <c r="G2374" s="42"/>
    </row>
    <row r="2375" spans="1:7" ht="12.75" hidden="1" customHeight="1">
      <c r="A2375" s="39" t="s">
        <v>171</v>
      </c>
      <c r="B2375" s="43"/>
      <c r="C2375" s="42"/>
      <c r="D2375" s="42"/>
      <c r="E2375" s="42"/>
      <c r="F2375" s="57"/>
      <c r="G2375" s="42"/>
    </row>
    <row r="2376" spans="1:7" ht="12.75" hidden="1" customHeight="1">
      <c r="A2376" s="39" t="s">
        <v>172</v>
      </c>
      <c r="B2376" s="41"/>
      <c r="C2376" s="42"/>
      <c r="D2376" s="42"/>
      <c r="E2376" s="42"/>
      <c r="F2376" s="57"/>
      <c r="G2376" s="42"/>
    </row>
    <row r="2377" spans="1:7" ht="12.75" hidden="1" customHeight="1">
      <c r="A2377" s="39" t="s">
        <v>12</v>
      </c>
      <c r="B2377" s="43">
        <v>3</v>
      </c>
      <c r="C2377" s="53">
        <f t="shared" ref="C2377:E2381" si="109">B2377/B$2423*C$2423</f>
        <v>3977.3528503937009</v>
      </c>
      <c r="D2377" s="53">
        <f t="shared" si="109"/>
        <v>5186.2769763779525</v>
      </c>
      <c r="E2377" s="53">
        <f t="shared" si="109"/>
        <v>2332.0581732283463</v>
      </c>
      <c r="F2377" s="57"/>
      <c r="G2377" s="42">
        <f>SUM(C2377:F2377)</f>
        <v>11495.688</v>
      </c>
    </row>
    <row r="2378" spans="1:7" ht="12.75" hidden="1" customHeight="1">
      <c r="A2378" s="39" t="s">
        <v>13</v>
      </c>
      <c r="B2378" s="43">
        <v>11</v>
      </c>
      <c r="C2378" s="53">
        <f t="shared" si="109"/>
        <v>14583.627118110237</v>
      </c>
      <c r="D2378" s="53">
        <f t="shared" si="109"/>
        <v>19016.348913385827</v>
      </c>
      <c r="E2378" s="53">
        <f t="shared" si="109"/>
        <v>8550.8799685039357</v>
      </c>
      <c r="F2378" s="57"/>
      <c r="G2378" s="42">
        <f>SUM(C2378:F2378)</f>
        <v>42150.856</v>
      </c>
    </row>
    <row r="2379" spans="1:7" ht="12.75" hidden="1" customHeight="1">
      <c r="A2379" s="39" t="s">
        <v>14</v>
      </c>
      <c r="B2379" s="43">
        <v>11</v>
      </c>
      <c r="C2379" s="53">
        <f t="shared" si="109"/>
        <v>14583.627118110237</v>
      </c>
      <c r="D2379" s="53">
        <f t="shared" si="109"/>
        <v>19016.348913385827</v>
      </c>
      <c r="E2379" s="53">
        <f t="shared" si="109"/>
        <v>8550.8799685039357</v>
      </c>
      <c r="F2379" s="57"/>
      <c r="G2379" s="42">
        <f>SUM(C2379:F2379)</f>
        <v>42150.856</v>
      </c>
    </row>
    <row r="2380" spans="1:7" ht="12.75" hidden="1" customHeight="1">
      <c r="A2380" s="58" t="s">
        <v>14</v>
      </c>
      <c r="B2380" s="59">
        <v>23</v>
      </c>
      <c r="C2380" s="60">
        <f t="shared" si="109"/>
        <v>30493.03851968504</v>
      </c>
      <c r="D2380" s="60">
        <f t="shared" si="109"/>
        <v>39761.456818897634</v>
      </c>
      <c r="E2380" s="60">
        <f t="shared" si="109"/>
        <v>17879.112661417323</v>
      </c>
      <c r="F2380" s="61"/>
      <c r="G2380" s="42">
        <f>SUM(C2380:F2380)</f>
        <v>88133.607999999993</v>
      </c>
    </row>
    <row r="2381" spans="1:7" ht="12.75" hidden="1" customHeight="1">
      <c r="A2381" s="58" t="s">
        <v>15</v>
      </c>
      <c r="B2381" s="59">
        <v>11.5</v>
      </c>
      <c r="C2381" s="60">
        <f t="shared" si="109"/>
        <v>15246.51925984252</v>
      </c>
      <c r="D2381" s="60">
        <f t="shared" si="109"/>
        <v>19880.728409448817</v>
      </c>
      <c r="E2381" s="60">
        <f t="shared" si="109"/>
        <v>8939.5563307086613</v>
      </c>
      <c r="F2381" s="61"/>
      <c r="G2381" s="42">
        <f>SUM(C2381:F2381)</f>
        <v>44066.803999999996</v>
      </c>
    </row>
    <row r="2382" spans="1:7" ht="12.75" hidden="1" customHeight="1">
      <c r="A2382" s="39" t="s">
        <v>16</v>
      </c>
      <c r="B2382" s="43"/>
      <c r="C2382" s="60"/>
      <c r="D2382" s="60"/>
      <c r="E2382" s="60"/>
      <c r="F2382" s="57"/>
      <c r="G2382" s="42"/>
    </row>
    <row r="2383" spans="1:7" ht="12.75" hidden="1" customHeight="1">
      <c r="A2383" s="39" t="s">
        <v>173</v>
      </c>
      <c r="B2383" s="43"/>
      <c r="C2383" s="60"/>
      <c r="D2383" s="60"/>
      <c r="E2383" s="60"/>
      <c r="F2383" s="57"/>
      <c r="G2383" s="42"/>
    </row>
    <row r="2384" spans="1:7" ht="12.75" hidden="1" customHeight="1">
      <c r="A2384" s="39" t="s">
        <v>174</v>
      </c>
      <c r="B2384" s="45"/>
      <c r="C2384" s="60"/>
      <c r="D2384" s="60"/>
      <c r="E2384" s="60"/>
      <c r="F2384" s="57"/>
      <c r="G2384" s="42"/>
    </row>
    <row r="2385" spans="1:7" ht="12.75" hidden="1" customHeight="1">
      <c r="A2385" s="39" t="s">
        <v>175</v>
      </c>
      <c r="B2385" s="45"/>
      <c r="C2385" s="60"/>
      <c r="D2385" s="60"/>
      <c r="E2385" s="60"/>
      <c r="F2385" s="57"/>
      <c r="G2385" s="42"/>
    </row>
    <row r="2386" spans="1:7" ht="12.75" hidden="1" customHeight="1">
      <c r="A2386" s="58" t="s">
        <v>176</v>
      </c>
      <c r="B2386" s="59">
        <v>22</v>
      </c>
      <c r="C2386" s="60">
        <f>B2386/B$2423*C$2423</f>
        <v>29167.254236220473</v>
      </c>
      <c r="D2386" s="60">
        <f>C2386/C$2423*D$2423</f>
        <v>38032.697826771655</v>
      </c>
      <c r="E2386" s="60">
        <f>D2386/D$2423*E$2423</f>
        <v>17101.759937007871</v>
      </c>
      <c r="F2386" s="61"/>
      <c r="G2386" s="42">
        <f>SUM(C2386:F2386)</f>
        <v>84301.712</v>
      </c>
    </row>
    <row r="2387" spans="1:7" ht="12.75" hidden="1" customHeight="1">
      <c r="A2387" s="39" t="s">
        <v>466</v>
      </c>
      <c r="B2387" s="43"/>
      <c r="C2387" s="42"/>
      <c r="D2387" s="42"/>
      <c r="E2387" s="42"/>
      <c r="F2387" s="57"/>
      <c r="G2387" s="42"/>
    </row>
    <row r="2388" spans="1:7" ht="12.75" hidden="1" customHeight="1">
      <c r="A2388" s="39" t="s">
        <v>178</v>
      </c>
      <c r="B2388" s="43">
        <v>1</v>
      </c>
      <c r="C2388" s="53">
        <f t="shared" ref="C2388:E2391" si="110">B2388/B$2423*C$2423</f>
        <v>1325.7842834645669</v>
      </c>
      <c r="D2388" s="53">
        <f t="shared" si="110"/>
        <v>1728.7589921259842</v>
      </c>
      <c r="E2388" s="53">
        <f t="shared" si="110"/>
        <v>777.3527244094488</v>
      </c>
      <c r="F2388" s="57">
        <f>1/14.5*F2423</f>
        <v>1282.9862068965517</v>
      </c>
      <c r="G2388" s="42">
        <f>SUM(C2388:F2388)</f>
        <v>5114.8822068965519</v>
      </c>
    </row>
    <row r="2389" spans="1:7" ht="12.75" hidden="1" customHeight="1">
      <c r="A2389" s="39" t="s">
        <v>179</v>
      </c>
      <c r="B2389" s="43">
        <v>21</v>
      </c>
      <c r="C2389" s="53">
        <f t="shared" si="110"/>
        <v>27841.469952755906</v>
      </c>
      <c r="D2389" s="53">
        <f t="shared" si="110"/>
        <v>36303.938834645669</v>
      </c>
      <c r="E2389" s="53">
        <f t="shared" si="110"/>
        <v>16324.407212598424</v>
      </c>
      <c r="F2389" s="57"/>
      <c r="G2389" s="42">
        <f>SUM(C2389:F2389)</f>
        <v>80469.815999999992</v>
      </c>
    </row>
    <row r="2390" spans="1:7" ht="12.75" hidden="1" customHeight="1">
      <c r="A2390" s="58" t="s">
        <v>179</v>
      </c>
      <c r="B2390" s="59">
        <v>11.5</v>
      </c>
      <c r="C2390" s="60">
        <f t="shared" si="110"/>
        <v>15246.51925984252</v>
      </c>
      <c r="D2390" s="60">
        <f t="shared" si="110"/>
        <v>19880.728409448817</v>
      </c>
      <c r="E2390" s="60">
        <f t="shared" si="110"/>
        <v>8939.5563307086613</v>
      </c>
      <c r="F2390" s="61"/>
      <c r="G2390" s="42">
        <f>SUM(C2390:F2390)</f>
        <v>44066.803999999996</v>
      </c>
    </row>
    <row r="2391" spans="1:7" ht="12.75" hidden="1" customHeight="1">
      <c r="A2391" s="39" t="s">
        <v>180</v>
      </c>
      <c r="B2391" s="43">
        <v>6</v>
      </c>
      <c r="C2391" s="53">
        <f t="shared" si="110"/>
        <v>7954.7057007874018</v>
      </c>
      <c r="D2391" s="53">
        <f t="shared" si="110"/>
        <v>10372.553952755905</v>
      </c>
      <c r="E2391" s="53">
        <f t="shared" si="110"/>
        <v>4664.1163464566926</v>
      </c>
      <c r="F2391" s="57"/>
      <c r="G2391" s="42">
        <f>SUM(C2391:F2391)</f>
        <v>22991.376</v>
      </c>
    </row>
    <row r="2392" spans="1:7" ht="12.75" hidden="1" customHeight="1">
      <c r="A2392" s="39" t="s">
        <v>181</v>
      </c>
      <c r="B2392" s="43"/>
      <c r="C2392" s="42"/>
      <c r="D2392" s="42"/>
      <c r="E2392" s="42"/>
      <c r="F2392" s="57"/>
      <c r="G2392" s="42"/>
    </row>
    <row r="2393" spans="1:7" ht="12.75" hidden="1" customHeight="1">
      <c r="A2393" s="39" t="s">
        <v>182</v>
      </c>
      <c r="B2393" s="41">
        <v>17</v>
      </c>
      <c r="C2393" s="53">
        <f>B2393/B$2423*C$2423</f>
        <v>22538.332818897637</v>
      </c>
      <c r="D2393" s="53">
        <f>C2393/C$2423*D$2423</f>
        <v>29388.902866141732</v>
      </c>
      <c r="E2393" s="53">
        <f>D2393/D$2423*E$2423</f>
        <v>13214.99631496063</v>
      </c>
      <c r="F2393" s="57"/>
      <c r="G2393" s="42">
        <f>SUM(C2393:F2393)</f>
        <v>65142.232000000004</v>
      </c>
    </row>
    <row r="2394" spans="1:7" ht="12.75" hidden="1" customHeight="1">
      <c r="A2394" s="39" t="s">
        <v>183</v>
      </c>
      <c r="B2394" s="43"/>
      <c r="C2394" s="42"/>
      <c r="D2394" s="42"/>
      <c r="E2394" s="42"/>
      <c r="F2394" s="57"/>
      <c r="G2394" s="42"/>
    </row>
    <row r="2395" spans="1:7" ht="12.75" hidden="1" customHeight="1">
      <c r="A2395" s="39" t="s">
        <v>184</v>
      </c>
      <c r="B2395" s="43">
        <v>4</v>
      </c>
      <c r="C2395" s="53">
        <f t="shared" ref="C2395:E2397" si="111">B2395/B$2423*C$2423</f>
        <v>5303.1371338582676</v>
      </c>
      <c r="D2395" s="53">
        <f t="shared" si="111"/>
        <v>6915.0359685039366</v>
      </c>
      <c r="E2395" s="53">
        <f t="shared" si="111"/>
        <v>3109.4108976377952</v>
      </c>
      <c r="F2395" s="57"/>
      <c r="G2395" s="42">
        <f>SUM(C2395:F2395)</f>
        <v>15327.584000000001</v>
      </c>
    </row>
    <row r="2396" spans="1:7" ht="12.75" hidden="1" customHeight="1">
      <c r="A2396" s="39" t="s">
        <v>185</v>
      </c>
      <c r="B2396" s="43">
        <v>11</v>
      </c>
      <c r="C2396" s="53">
        <f t="shared" si="111"/>
        <v>14583.627118110237</v>
      </c>
      <c r="D2396" s="53">
        <f t="shared" si="111"/>
        <v>19016.348913385827</v>
      </c>
      <c r="E2396" s="53">
        <f t="shared" si="111"/>
        <v>8550.8799685039357</v>
      </c>
      <c r="F2396" s="57"/>
      <c r="G2396" s="42">
        <f>SUM(C2396:F2396)</f>
        <v>42150.856</v>
      </c>
    </row>
    <row r="2397" spans="1:7" ht="12.75" hidden="1" customHeight="1">
      <c r="A2397" s="39" t="s">
        <v>186</v>
      </c>
      <c r="B2397" s="43">
        <v>20.5</v>
      </c>
      <c r="C2397" s="53">
        <f t="shared" si="111"/>
        <v>27178.577811023621</v>
      </c>
      <c r="D2397" s="53">
        <f t="shared" si="111"/>
        <v>35439.559338582672</v>
      </c>
      <c r="E2397" s="53">
        <f t="shared" si="111"/>
        <v>15935.7308503937</v>
      </c>
      <c r="F2397" s="57"/>
      <c r="G2397" s="42">
        <f>SUM(C2397:F2397)</f>
        <v>78553.867999999988</v>
      </c>
    </row>
    <row r="2398" spans="1:7" ht="12.75" hidden="1" customHeight="1">
      <c r="A2398" s="39" t="s">
        <v>187</v>
      </c>
      <c r="B2398" s="43"/>
      <c r="C2398" s="42"/>
      <c r="D2398" s="42"/>
      <c r="E2398" s="42"/>
      <c r="F2398" s="57"/>
      <c r="G2398" s="42"/>
    </row>
    <row r="2399" spans="1:7" ht="12.75" hidden="1" customHeight="1">
      <c r="A2399" s="39" t="s">
        <v>188</v>
      </c>
      <c r="B2399" s="43">
        <v>1</v>
      </c>
      <c r="C2399" s="53">
        <f t="shared" ref="C2399:E2404" si="112">B2399/B$2423*C$2423</f>
        <v>1325.7842834645669</v>
      </c>
      <c r="D2399" s="53">
        <f t="shared" si="112"/>
        <v>1728.7589921259842</v>
      </c>
      <c r="E2399" s="53">
        <f t="shared" si="112"/>
        <v>777.3527244094488</v>
      </c>
      <c r="F2399" s="57">
        <f>1/14.5*F2423</f>
        <v>1282.9862068965517</v>
      </c>
      <c r="G2399" s="42">
        <f t="shared" ref="G2399:G2404" si="113">SUM(C2399:F2399)</f>
        <v>5114.8822068965519</v>
      </c>
    </row>
    <row r="2400" spans="1:7" ht="12.75" hidden="1" customHeight="1">
      <c r="A2400" s="39" t="s">
        <v>189</v>
      </c>
      <c r="B2400" s="43">
        <v>9.5</v>
      </c>
      <c r="C2400" s="53">
        <f t="shared" si="112"/>
        <v>12594.950692913386</v>
      </c>
      <c r="D2400" s="53">
        <f t="shared" si="112"/>
        <v>16423.210425196849</v>
      </c>
      <c r="E2400" s="53">
        <f t="shared" si="112"/>
        <v>7384.8508818897626</v>
      </c>
      <c r="F2400" s="57"/>
      <c r="G2400" s="42">
        <f t="shared" si="113"/>
        <v>36403.011999999995</v>
      </c>
    </row>
    <row r="2401" spans="1:7" ht="12.75" hidden="1" customHeight="1">
      <c r="A2401" s="39" t="s">
        <v>190</v>
      </c>
      <c r="B2401" s="43">
        <v>12.5</v>
      </c>
      <c r="C2401" s="53">
        <f t="shared" si="112"/>
        <v>16572.303543307087</v>
      </c>
      <c r="D2401" s="53">
        <f t="shared" si="112"/>
        <v>21609.487401574803</v>
      </c>
      <c r="E2401" s="53">
        <f t="shared" si="112"/>
        <v>9716.9090551181089</v>
      </c>
      <c r="F2401" s="57">
        <f>12.5/14.5*F2423</f>
        <v>16037.327586206895</v>
      </c>
      <c r="G2401" s="42">
        <f t="shared" si="113"/>
        <v>63936.027586206896</v>
      </c>
    </row>
    <row r="2402" spans="1:7" ht="12.75" hidden="1" customHeight="1">
      <c r="A2402" s="58" t="s">
        <v>190</v>
      </c>
      <c r="B2402" s="59">
        <v>20</v>
      </c>
      <c r="C2402" s="60">
        <f t="shared" si="112"/>
        <v>26515.685669291339</v>
      </c>
      <c r="D2402" s="60">
        <f t="shared" si="112"/>
        <v>34575.179842519683</v>
      </c>
      <c r="E2402" s="60">
        <f t="shared" si="112"/>
        <v>15547.054488188976</v>
      </c>
      <c r="F2402" s="61"/>
      <c r="G2402" s="42">
        <f t="shared" si="113"/>
        <v>76637.919999999998</v>
      </c>
    </row>
    <row r="2403" spans="1:7" ht="12.75" hidden="1" customHeight="1">
      <c r="A2403" s="39" t="s">
        <v>191</v>
      </c>
      <c r="B2403" s="45">
        <v>51.5</v>
      </c>
      <c r="C2403" s="53">
        <f t="shared" si="112"/>
        <v>68277.890598425205</v>
      </c>
      <c r="D2403" s="53">
        <f t="shared" si="112"/>
        <v>89031.088094488194</v>
      </c>
      <c r="E2403" s="53">
        <f t="shared" si="112"/>
        <v>40033.665307086616</v>
      </c>
      <c r="F2403" s="57"/>
      <c r="G2403" s="42">
        <f t="shared" si="113"/>
        <v>197342.64400000003</v>
      </c>
    </row>
    <row r="2404" spans="1:7" ht="12.75" hidden="1" customHeight="1">
      <c r="A2404" s="58" t="s">
        <v>17</v>
      </c>
      <c r="B2404" s="220">
        <v>5</v>
      </c>
      <c r="C2404" s="60">
        <f t="shared" si="112"/>
        <v>6628.9214173228347</v>
      </c>
      <c r="D2404" s="60">
        <f t="shared" si="112"/>
        <v>8643.7949606299208</v>
      </c>
      <c r="E2404" s="60">
        <f t="shared" si="112"/>
        <v>3886.7636220472441</v>
      </c>
      <c r="F2404" s="121"/>
      <c r="G2404" s="42">
        <f t="shared" si="113"/>
        <v>19159.48</v>
      </c>
    </row>
    <row r="2405" spans="1:7" ht="12.75" hidden="1" customHeight="1">
      <c r="A2405" s="39" t="s">
        <v>18</v>
      </c>
      <c r="B2405" s="43"/>
      <c r="C2405" s="42"/>
      <c r="D2405" s="42"/>
      <c r="E2405" s="42"/>
      <c r="F2405" s="45"/>
      <c r="G2405" s="42"/>
    </row>
    <row r="2406" spans="1:7" ht="12.75" hidden="1" customHeight="1">
      <c r="A2406" s="39" t="s">
        <v>192</v>
      </c>
      <c r="B2406" s="43"/>
      <c r="C2406" s="42"/>
      <c r="D2406" s="42"/>
      <c r="E2406" s="42"/>
      <c r="F2406" s="45"/>
      <c r="G2406" s="42"/>
    </row>
    <row r="2407" spans="1:7" ht="12.75" hidden="1" customHeight="1">
      <c r="A2407" s="39" t="s">
        <v>19</v>
      </c>
      <c r="B2407" s="43"/>
      <c r="C2407" s="42"/>
      <c r="D2407" s="42"/>
      <c r="E2407" s="42"/>
      <c r="F2407" s="45"/>
      <c r="G2407" s="42"/>
    </row>
    <row r="2408" spans="1:7" ht="12.75" hidden="1" customHeight="1">
      <c r="A2408" s="39" t="s">
        <v>193</v>
      </c>
      <c r="B2408" s="43"/>
      <c r="C2408" s="42"/>
      <c r="D2408" s="42"/>
      <c r="E2408" s="42"/>
      <c r="F2408" s="45"/>
      <c r="G2408" s="42"/>
    </row>
    <row r="2409" spans="1:7" ht="12.75" hidden="1" customHeight="1">
      <c r="A2409" s="39" t="s">
        <v>194</v>
      </c>
      <c r="B2409" s="43"/>
      <c r="C2409" s="42"/>
      <c r="D2409" s="42"/>
      <c r="E2409" s="42"/>
      <c r="F2409" s="45"/>
      <c r="G2409" s="42"/>
    </row>
    <row r="2410" spans="1:7" ht="12.75" hidden="1" customHeight="1">
      <c r="A2410" s="39" t="s">
        <v>195</v>
      </c>
      <c r="B2410" s="43"/>
      <c r="C2410" s="42"/>
      <c r="D2410" s="42"/>
      <c r="E2410" s="42"/>
      <c r="F2410" s="45"/>
      <c r="G2410" s="42"/>
    </row>
    <row r="2411" spans="1:7" ht="12.75" hidden="1" customHeight="1">
      <c r="A2411" s="39" t="s">
        <v>196</v>
      </c>
      <c r="B2411" s="43"/>
      <c r="C2411" s="42"/>
      <c r="D2411" s="42"/>
      <c r="E2411" s="42"/>
      <c r="F2411" s="45"/>
      <c r="G2411" s="42"/>
    </row>
    <row r="2412" spans="1:7" ht="12.75" hidden="1" customHeight="1">
      <c r="A2412" s="39" t="s">
        <v>197</v>
      </c>
      <c r="B2412" s="43"/>
      <c r="C2412" s="42"/>
      <c r="D2412" s="42"/>
      <c r="E2412" s="42"/>
      <c r="F2412" s="45"/>
      <c r="G2412" s="42"/>
    </row>
    <row r="2413" spans="1:7" ht="12.75" hidden="1" customHeight="1">
      <c r="A2413" s="39" t="s">
        <v>198</v>
      </c>
      <c r="B2413" s="43"/>
      <c r="C2413" s="42"/>
      <c r="D2413" s="42"/>
      <c r="E2413" s="42"/>
      <c r="F2413" s="45"/>
      <c r="G2413" s="42"/>
    </row>
    <row r="2414" spans="1:7" ht="12.75" hidden="1" customHeight="1">
      <c r="A2414" s="39" t="s">
        <v>199</v>
      </c>
      <c r="B2414" s="43"/>
      <c r="C2414" s="42"/>
      <c r="D2414" s="42"/>
      <c r="E2414" s="42"/>
      <c r="F2414" s="45"/>
      <c r="G2414" s="42"/>
    </row>
    <row r="2415" spans="1:7" ht="12.75" hidden="1" customHeight="1">
      <c r="A2415" s="39" t="s">
        <v>200</v>
      </c>
      <c r="B2415" s="43"/>
      <c r="C2415" s="42"/>
      <c r="D2415" s="42"/>
      <c r="E2415" s="42"/>
      <c r="F2415" s="45"/>
      <c r="G2415" s="42"/>
    </row>
    <row r="2416" spans="1:7" ht="12.75" hidden="1" customHeight="1">
      <c r="A2416" s="39" t="s">
        <v>201</v>
      </c>
      <c r="B2416" s="43"/>
      <c r="C2416" s="42"/>
      <c r="D2416" s="42"/>
      <c r="E2416" s="42"/>
      <c r="F2416" s="45"/>
      <c r="G2416" s="42"/>
    </row>
    <row r="2417" spans="1:7" ht="12.75" hidden="1" customHeight="1">
      <c r="A2417" s="49" t="s">
        <v>207</v>
      </c>
      <c r="B2417" s="43"/>
      <c r="C2417" s="42"/>
      <c r="D2417" s="42"/>
      <c r="E2417" s="42"/>
      <c r="F2417" s="42"/>
      <c r="G2417" s="42"/>
    </row>
    <row r="2418" spans="1:7" ht="12.75" hidden="1" customHeight="1">
      <c r="A2418" s="46" t="s">
        <v>203</v>
      </c>
      <c r="B2418" s="43"/>
      <c r="C2418" s="42"/>
      <c r="D2418" s="42"/>
      <c r="E2418" s="42"/>
      <c r="F2418" s="45"/>
      <c r="G2418" s="42"/>
    </row>
    <row r="2419" spans="1:7" ht="12.75" hidden="1" customHeight="1">
      <c r="A2419" s="46" t="s">
        <v>204</v>
      </c>
      <c r="B2419" s="43"/>
      <c r="C2419" s="42"/>
      <c r="D2419" s="42"/>
      <c r="E2419" s="42"/>
      <c r="F2419" s="45"/>
      <c r="G2419" s="42"/>
    </row>
    <row r="2420" spans="1:7" ht="12.75" hidden="1" customHeight="1">
      <c r="A2420" s="46" t="s">
        <v>205</v>
      </c>
      <c r="B2420" s="43"/>
      <c r="C2420" s="42"/>
      <c r="D2420" s="42"/>
      <c r="E2420" s="42"/>
      <c r="F2420" s="45"/>
      <c r="G2420" s="42"/>
    </row>
    <row r="2421" spans="1:7" ht="12.75" hidden="1" customHeight="1">
      <c r="A2421" s="39" t="s">
        <v>202</v>
      </c>
      <c r="B2421" s="43"/>
      <c r="C2421" s="42"/>
      <c r="D2421" s="42"/>
      <c r="E2421" s="42"/>
      <c r="F2421" s="57"/>
      <c r="G2421" s="42"/>
    </row>
    <row r="2422" spans="1:7" ht="12.75" hidden="1" customHeight="1">
      <c r="A2422" s="39" t="s">
        <v>208</v>
      </c>
      <c r="B2422" s="48"/>
      <c r="C2422" s="42"/>
      <c r="D2422" s="42"/>
      <c r="E2422" s="42"/>
      <c r="F2422" s="57"/>
      <c r="G2422" s="42"/>
    </row>
    <row r="2423" spans="1:7" ht="12.75" hidden="1" customHeight="1">
      <c r="A2423" s="48" t="s">
        <v>209</v>
      </c>
      <c r="B2423" s="43">
        <f>SUM(B2346:B2422)</f>
        <v>317.5</v>
      </c>
      <c r="C2423" s="42">
        <v>420936.51</v>
      </c>
      <c r="D2423" s="42">
        <f>53744.25+359861.85+73087.48+62706.8+18083.9-18603.3</f>
        <v>548880.98</v>
      </c>
      <c r="E2423" s="42">
        <v>246809.49</v>
      </c>
      <c r="F2423" s="39">
        <f>18603.3</f>
        <v>18603.3</v>
      </c>
      <c r="G2423" s="42">
        <f>SUM(C2423:F2423)</f>
        <v>1235230.28</v>
      </c>
    </row>
    <row r="2424" spans="1:7" ht="12.75" hidden="1" customHeight="1">
      <c r="A2424" s="63"/>
      <c r="B2424" s="52"/>
      <c r="C2424" s="51"/>
      <c r="D2424" s="51"/>
      <c r="E2424" s="64"/>
      <c r="F2424" s="65"/>
      <c r="G2424" s="40"/>
    </row>
    <row r="2425" spans="1:7" ht="12.75" hidden="1" customHeight="1">
      <c r="A2425" s="63"/>
      <c r="B2425" s="52"/>
      <c r="C2425" s="51">
        <f>C2423</f>
        <v>420936.51</v>
      </c>
      <c r="D2425" s="51">
        <f>D2423+F2423</f>
        <v>567484.28</v>
      </c>
      <c r="E2425" s="51">
        <f>E2423</f>
        <v>246809.49</v>
      </c>
      <c r="F2425" s="65"/>
      <c r="G2425" s="40"/>
    </row>
    <row r="2426" spans="1:7" ht="12.75" hidden="1" customHeight="1">
      <c r="A2426" s="51"/>
      <c r="B2426" s="52"/>
      <c r="C2426" s="51"/>
      <c r="D2426" s="51"/>
      <c r="E2426" s="64"/>
      <c r="F2426" s="65"/>
      <c r="G2426" s="40"/>
    </row>
    <row r="2427" spans="1:7" ht="12.75" hidden="1" customHeight="1">
      <c r="A2427" s="269" t="s">
        <v>568</v>
      </c>
      <c r="B2427" s="269"/>
      <c r="C2427" s="269"/>
      <c r="D2427" s="269"/>
      <c r="E2427" s="269"/>
      <c r="F2427" s="269"/>
      <c r="G2427" s="40"/>
    </row>
    <row r="2428" spans="1:7" ht="12.75" hidden="1" customHeight="1">
      <c r="A2428" s="42" t="s">
        <v>86</v>
      </c>
      <c r="B2428" s="43" t="s">
        <v>211</v>
      </c>
      <c r="C2428" s="43" t="s">
        <v>212</v>
      </c>
      <c r="D2428" s="43" t="s">
        <v>88</v>
      </c>
      <c r="E2428" s="43" t="s">
        <v>89</v>
      </c>
      <c r="F2428" s="43" t="s">
        <v>90</v>
      </c>
      <c r="G2428" s="45" t="s">
        <v>213</v>
      </c>
    </row>
    <row r="2429" spans="1:7" ht="12.75" hidden="1" customHeight="1">
      <c r="A2429" s="42" t="s">
        <v>20</v>
      </c>
      <c r="B2429" s="43"/>
      <c r="C2429" s="43"/>
      <c r="D2429" s="44"/>
      <c r="E2429" s="44"/>
      <c r="F2429" s="44"/>
      <c r="G2429" s="39"/>
    </row>
    <row r="2430" spans="1:7" ht="12.75" hidden="1" customHeight="1">
      <c r="A2430" s="60" t="s">
        <v>214</v>
      </c>
      <c r="B2430" s="59">
        <v>24</v>
      </c>
      <c r="C2430" s="59">
        <v>64</v>
      </c>
      <c r="D2430" s="181">
        <f>C2430/C$2469*D$2469</f>
        <v>11023.494000000001</v>
      </c>
      <c r="E2430" s="181">
        <f>B2430/B$2469*E$2469</f>
        <v>7608.92</v>
      </c>
      <c r="F2430" s="181">
        <f>C2430/C$2469*F$2469</f>
        <v>6540.0436666666665</v>
      </c>
      <c r="G2430" s="181">
        <f>SUM(D2430:F2430)</f>
        <v>25172.457666666669</v>
      </c>
    </row>
    <row r="2431" spans="1:7" ht="12.75" hidden="1" customHeight="1">
      <c r="A2431" s="42" t="s">
        <v>215</v>
      </c>
      <c r="B2431" s="43"/>
      <c r="C2431" s="43"/>
      <c r="D2431" s="44"/>
      <c r="E2431" s="44"/>
      <c r="F2431" s="44"/>
      <c r="G2431" s="44"/>
    </row>
    <row r="2432" spans="1:7" ht="12.75" hidden="1" customHeight="1">
      <c r="A2432" s="42" t="s">
        <v>216</v>
      </c>
      <c r="B2432" s="43"/>
      <c r="C2432" s="43"/>
      <c r="D2432" s="44"/>
      <c r="E2432" s="44"/>
      <c r="F2432" s="44"/>
      <c r="G2432" s="44"/>
    </row>
    <row r="2433" spans="1:7" ht="12.75" hidden="1" customHeight="1">
      <c r="A2433" s="42" t="s">
        <v>217</v>
      </c>
      <c r="B2433" s="43"/>
      <c r="C2433" s="43"/>
      <c r="D2433" s="44"/>
      <c r="E2433" s="44"/>
      <c r="F2433" s="44"/>
      <c r="G2433" s="44"/>
    </row>
    <row r="2434" spans="1:7" ht="12.75" hidden="1" customHeight="1">
      <c r="A2434" s="42" t="s">
        <v>218</v>
      </c>
      <c r="B2434" s="45"/>
      <c r="C2434" s="45"/>
      <c r="D2434" s="44"/>
      <c r="E2434" s="44"/>
      <c r="F2434" s="44"/>
      <c r="G2434" s="44"/>
    </row>
    <row r="2435" spans="1:7" ht="12.75" hidden="1" customHeight="1">
      <c r="A2435" s="42" t="s">
        <v>219</v>
      </c>
      <c r="B2435" s="45"/>
      <c r="C2435" s="45"/>
      <c r="D2435" s="44"/>
      <c r="E2435" s="44"/>
      <c r="F2435" s="44"/>
      <c r="G2435" s="44"/>
    </row>
    <row r="2436" spans="1:7" ht="12.75" hidden="1" customHeight="1">
      <c r="A2436" s="42" t="s">
        <v>21</v>
      </c>
      <c r="B2436" s="43"/>
      <c r="C2436" s="43"/>
      <c r="D2436" s="44"/>
      <c r="E2436" s="44"/>
      <c r="F2436" s="44"/>
      <c r="G2436" s="44"/>
    </row>
    <row r="2437" spans="1:7" ht="12.75" hidden="1" customHeight="1">
      <c r="A2437" s="42" t="s">
        <v>220</v>
      </c>
      <c r="B2437" s="43"/>
      <c r="C2437" s="43"/>
      <c r="D2437" s="44"/>
      <c r="E2437" s="44"/>
      <c r="F2437" s="44"/>
      <c r="G2437" s="44"/>
    </row>
    <row r="2438" spans="1:7" ht="12.75" hidden="1" customHeight="1">
      <c r="A2438" s="42" t="s">
        <v>221</v>
      </c>
      <c r="B2438" s="43"/>
      <c r="C2438" s="43"/>
      <c r="D2438" s="44"/>
      <c r="E2438" s="44"/>
      <c r="F2438" s="44"/>
      <c r="G2438" s="44"/>
    </row>
    <row r="2439" spans="1:7" ht="12.75" hidden="1" customHeight="1">
      <c r="A2439" s="42" t="s">
        <v>22</v>
      </c>
      <c r="B2439" s="43"/>
      <c r="C2439" s="43"/>
      <c r="D2439" s="44"/>
      <c r="E2439" s="44"/>
      <c r="F2439" s="44"/>
      <c r="G2439" s="44"/>
    </row>
    <row r="2440" spans="1:7" ht="12.75" hidden="1" customHeight="1">
      <c r="A2440" s="42" t="s">
        <v>23</v>
      </c>
      <c r="B2440" s="43"/>
      <c r="C2440" s="43"/>
      <c r="D2440" s="44"/>
      <c r="E2440" s="44"/>
      <c r="F2440" s="44"/>
      <c r="G2440" s="44"/>
    </row>
    <row r="2441" spans="1:7" ht="12.75" hidden="1" customHeight="1">
      <c r="A2441" s="42" t="s">
        <v>24</v>
      </c>
      <c r="B2441" s="43"/>
      <c r="C2441" s="43"/>
      <c r="D2441" s="44"/>
      <c r="E2441" s="44"/>
      <c r="F2441" s="44"/>
      <c r="G2441" s="44"/>
    </row>
    <row r="2442" spans="1:7" ht="12.75" hidden="1" customHeight="1">
      <c r="A2442" s="42" t="s">
        <v>222</v>
      </c>
      <c r="B2442" s="43">
        <v>168</v>
      </c>
      <c r="C2442" s="43">
        <v>448</v>
      </c>
      <c r="D2442" s="66">
        <f>C2442/C$2469*D$2469</f>
        <v>77164.457999999999</v>
      </c>
      <c r="E2442" s="66">
        <f>B2442/B$2469*E$2469</f>
        <v>53262.44</v>
      </c>
      <c r="F2442" s="66">
        <f>C2442/C$2469*F$2469</f>
        <v>45780.305666666667</v>
      </c>
      <c r="G2442" s="44">
        <f>SUM(D2442:F2442)</f>
        <v>176207.20366666667</v>
      </c>
    </row>
    <row r="2443" spans="1:7" ht="12.75" hidden="1" customHeight="1">
      <c r="A2443" s="60" t="s">
        <v>222</v>
      </c>
      <c r="B2443" s="59">
        <v>48</v>
      </c>
      <c r="C2443" s="59">
        <v>128</v>
      </c>
      <c r="D2443" s="181">
        <f>C2443/C$2469*D$2469</f>
        <v>22046.988000000001</v>
      </c>
      <c r="E2443" s="181">
        <f>B2443/B$2469*E$2469</f>
        <v>15217.84</v>
      </c>
      <c r="F2443" s="181">
        <f>C2443/C$2469*F$2469</f>
        <v>13080.087333333333</v>
      </c>
      <c r="G2443" s="181">
        <f>SUM(D2443:F2443)</f>
        <v>50344.915333333338</v>
      </c>
    </row>
    <row r="2444" spans="1:7" ht="12.75" hidden="1" customHeight="1">
      <c r="A2444" s="42" t="s">
        <v>224</v>
      </c>
      <c r="B2444" s="43"/>
      <c r="C2444" s="43"/>
      <c r="D2444" s="44"/>
      <c r="E2444" s="44"/>
      <c r="F2444" s="44"/>
      <c r="G2444" s="44"/>
    </row>
    <row r="2445" spans="1:7" ht="12.75" hidden="1" customHeight="1">
      <c r="A2445" s="42" t="s">
        <v>225</v>
      </c>
      <c r="B2445" s="43">
        <v>156</v>
      </c>
      <c r="C2445" s="43">
        <v>384</v>
      </c>
      <c r="D2445" s="66">
        <f>C2445/C$2469*D$2469</f>
        <v>66140.964000000007</v>
      </c>
      <c r="E2445" s="66">
        <f>B2445/B$2469*E$2469</f>
        <v>49457.98</v>
      </c>
      <c r="F2445" s="66">
        <f>C2445/C$2469*F$2469</f>
        <v>39240.262000000002</v>
      </c>
      <c r="G2445" s="44">
        <f>SUM(D2445:F2445)</f>
        <v>154839.20600000001</v>
      </c>
    </row>
    <row r="2446" spans="1:7" ht="12.75" hidden="1" customHeight="1">
      <c r="A2446" s="42" t="s">
        <v>226</v>
      </c>
      <c r="B2446" s="43"/>
      <c r="C2446" s="43"/>
      <c r="D2446" s="44"/>
      <c r="E2446" s="44"/>
      <c r="F2446" s="44"/>
      <c r="G2446" s="44"/>
    </row>
    <row r="2447" spans="1:7" ht="12.75" hidden="1" customHeight="1">
      <c r="A2447" s="42" t="s">
        <v>227</v>
      </c>
      <c r="B2447" s="43">
        <v>80</v>
      </c>
      <c r="C2447" s="43">
        <v>128</v>
      </c>
      <c r="D2447" s="66">
        <f>C2447/C$2469*D$2469</f>
        <v>22046.988000000001</v>
      </c>
      <c r="E2447" s="66">
        <f>B2447/B$2469*E$2469</f>
        <v>25363.066666666669</v>
      </c>
      <c r="F2447" s="66">
        <f>C2447/C$2469*F$2469</f>
        <v>13080.087333333333</v>
      </c>
      <c r="G2447" s="44">
        <f>SUM(D2447:F2447)</f>
        <v>60490.142000000007</v>
      </c>
    </row>
    <row r="2448" spans="1:7" ht="12.75" hidden="1" customHeight="1">
      <c r="A2448" s="46" t="s">
        <v>228</v>
      </c>
      <c r="B2448" s="43"/>
      <c r="C2448" s="43"/>
      <c r="D2448" s="44"/>
      <c r="E2448" s="44"/>
      <c r="F2448" s="44"/>
      <c r="G2448" s="44"/>
    </row>
    <row r="2449" spans="1:7" ht="12.75" hidden="1" customHeight="1">
      <c r="A2449" s="42" t="s">
        <v>25</v>
      </c>
      <c r="B2449" s="43"/>
      <c r="C2449" s="43"/>
      <c r="D2449" s="44"/>
      <c r="E2449" s="44"/>
      <c r="F2449" s="44"/>
      <c r="G2449" s="44"/>
    </row>
    <row r="2450" spans="1:7" ht="12.75" hidden="1" customHeight="1">
      <c r="A2450" s="46" t="s">
        <v>463</v>
      </c>
      <c r="B2450" s="43"/>
      <c r="C2450" s="43"/>
      <c r="D2450" s="44"/>
      <c r="E2450" s="44"/>
      <c r="F2450" s="44"/>
      <c r="G2450" s="44"/>
    </row>
    <row r="2451" spans="1:7" ht="12.75" hidden="1" customHeight="1">
      <c r="A2451" s="46" t="s">
        <v>464</v>
      </c>
      <c r="B2451" s="43"/>
      <c r="C2451" s="43"/>
      <c r="D2451" s="44"/>
      <c r="E2451" s="44"/>
      <c r="F2451" s="44"/>
      <c r="G2451" s="44"/>
    </row>
    <row r="2452" spans="1:7" ht="12.75" hidden="1" customHeight="1">
      <c r="A2452" s="42" t="s">
        <v>508</v>
      </c>
      <c r="B2452" s="43">
        <v>240</v>
      </c>
      <c r="C2452" s="43">
        <v>704</v>
      </c>
      <c r="D2452" s="66">
        <f>C2452/C$2469*D$2469</f>
        <v>121258.43399999999</v>
      </c>
      <c r="E2452" s="66">
        <f>B2452/B$2469*E$2469</f>
        <v>76089.2</v>
      </c>
      <c r="F2452" s="66">
        <f>C2452/C$2469*F$2469</f>
        <v>71940.480333333326</v>
      </c>
      <c r="G2452" s="44">
        <f>SUM(D2452:F2452)</f>
        <v>269288.11433333333</v>
      </c>
    </row>
    <row r="2453" spans="1:7" ht="12.75" hidden="1" customHeight="1">
      <c r="A2453" s="174" t="s">
        <v>509</v>
      </c>
      <c r="B2453" s="43"/>
      <c r="C2453" s="43"/>
      <c r="D2453" s="44"/>
      <c r="E2453" s="44"/>
      <c r="F2453" s="44"/>
      <c r="G2453" s="44"/>
    </row>
    <row r="2454" spans="1:7" ht="12.75" hidden="1" customHeight="1">
      <c r="A2454" s="42" t="s">
        <v>231</v>
      </c>
      <c r="B2454" s="43"/>
      <c r="C2454" s="43"/>
      <c r="D2454" s="44"/>
      <c r="E2454" s="44"/>
      <c r="F2454" s="44"/>
      <c r="G2454" s="44"/>
    </row>
    <row r="2455" spans="1:7" ht="12.75" hidden="1" customHeight="1">
      <c r="A2455" s="42" t="s">
        <v>232</v>
      </c>
      <c r="B2455" s="43"/>
      <c r="C2455" s="43"/>
      <c r="D2455" s="44"/>
      <c r="E2455" s="44"/>
      <c r="F2455" s="44"/>
      <c r="G2455" s="44"/>
    </row>
    <row r="2456" spans="1:7" ht="12.75" hidden="1" customHeight="1">
      <c r="A2456" s="42" t="s">
        <v>26</v>
      </c>
      <c r="B2456" s="43">
        <v>28</v>
      </c>
      <c r="C2456" s="43">
        <v>64</v>
      </c>
      <c r="D2456" s="66">
        <f>C2456/C$2469*D$2469</f>
        <v>11023.494000000001</v>
      </c>
      <c r="E2456" s="66">
        <f>B2456/B$2469*E$2469</f>
        <v>8877.0733333333337</v>
      </c>
      <c r="F2456" s="66">
        <f>C2456/C$2469*F$2469</f>
        <v>6540.0436666666665</v>
      </c>
      <c r="G2456" s="44">
        <f>SUM(D2456:F2456)</f>
        <v>26440.610999999997</v>
      </c>
    </row>
    <row r="2457" spans="1:7" ht="12.75" hidden="1" customHeight="1">
      <c r="A2457" s="42" t="s">
        <v>27</v>
      </c>
      <c r="B2457" s="43"/>
      <c r="C2457" s="43"/>
      <c r="D2457" s="44"/>
      <c r="E2457" s="44"/>
      <c r="F2457" s="44"/>
      <c r="G2457" s="44"/>
    </row>
    <row r="2458" spans="1:7" ht="12.75" hidden="1" customHeight="1">
      <c r="A2458" s="42" t="s">
        <v>28</v>
      </c>
      <c r="B2458" s="43"/>
      <c r="C2458" s="43"/>
      <c r="D2458" s="44"/>
      <c r="E2458" s="44"/>
      <c r="F2458" s="44"/>
      <c r="G2458" s="44"/>
    </row>
    <row r="2459" spans="1:7" ht="12.75" hidden="1" customHeight="1">
      <c r="A2459" s="46" t="s">
        <v>233</v>
      </c>
      <c r="B2459" s="43"/>
      <c r="C2459" s="43"/>
      <c r="D2459" s="44"/>
      <c r="E2459" s="44"/>
      <c r="F2459" s="44"/>
      <c r="G2459" s="44"/>
    </row>
    <row r="2460" spans="1:7" ht="12.75" hidden="1" customHeight="1">
      <c r="A2460" s="46" t="s">
        <v>235</v>
      </c>
      <c r="B2460" s="43"/>
      <c r="C2460" s="43"/>
      <c r="D2460" s="44"/>
      <c r="E2460" s="44"/>
      <c r="F2460" s="44"/>
      <c r="G2460" s="44"/>
    </row>
    <row r="2461" spans="1:7" ht="12.75" hidden="1" customHeight="1">
      <c r="A2461" s="46" t="s">
        <v>236</v>
      </c>
      <c r="B2461" s="43"/>
      <c r="C2461" s="43"/>
      <c r="D2461" s="44"/>
      <c r="E2461" s="44"/>
      <c r="F2461" s="44"/>
      <c r="G2461" s="44"/>
    </row>
    <row r="2462" spans="1:7" ht="12.75" hidden="1" customHeight="1">
      <c r="A2462" s="46" t="s">
        <v>411</v>
      </c>
      <c r="B2462" s="43"/>
      <c r="C2462" s="43"/>
      <c r="D2462" s="44"/>
      <c r="E2462" s="44"/>
      <c r="F2462" s="44"/>
      <c r="G2462" s="44"/>
    </row>
    <row r="2463" spans="1:7" ht="12.75" hidden="1" customHeight="1">
      <c r="A2463" s="39" t="s">
        <v>239</v>
      </c>
      <c r="B2463" s="43"/>
      <c r="C2463" s="45"/>
      <c r="D2463" s="44"/>
      <c r="E2463" s="44"/>
      <c r="F2463" s="44"/>
      <c r="G2463" s="44"/>
    </row>
    <row r="2464" spans="1:7" ht="12.75" hidden="1" customHeight="1">
      <c r="A2464" s="110" t="s">
        <v>529</v>
      </c>
      <c r="B2464" s="43"/>
      <c r="C2464" s="45"/>
      <c r="D2464" s="44"/>
      <c r="E2464" s="44"/>
      <c r="F2464" s="44"/>
      <c r="G2464" s="44"/>
    </row>
    <row r="2465" spans="1:7" ht="12.75" hidden="1" customHeight="1">
      <c r="A2465" s="110" t="s">
        <v>530</v>
      </c>
      <c r="B2465" s="43"/>
      <c r="C2465" s="45"/>
      <c r="D2465" s="44"/>
      <c r="E2465" s="44"/>
      <c r="F2465" s="44"/>
      <c r="G2465" s="44"/>
    </row>
    <row r="2466" spans="1:7" ht="12.75" hidden="1" customHeight="1">
      <c r="A2466" s="110" t="s">
        <v>531</v>
      </c>
      <c r="B2466" s="43"/>
      <c r="C2466" s="45"/>
      <c r="D2466" s="44"/>
      <c r="E2466" s="44"/>
      <c r="F2466" s="44"/>
      <c r="G2466" s="44"/>
    </row>
    <row r="2467" spans="1:7" ht="12.75" hidden="1" customHeight="1">
      <c r="A2467" s="49" t="s">
        <v>238</v>
      </c>
      <c r="B2467" s="43"/>
      <c r="C2467" s="45"/>
      <c r="D2467" s="44"/>
      <c r="E2467" s="44"/>
      <c r="F2467" s="44"/>
      <c r="G2467" s="44"/>
    </row>
    <row r="2468" spans="1:7" ht="12.75" hidden="1" customHeight="1">
      <c r="A2468" s="110" t="s">
        <v>386</v>
      </c>
      <c r="B2468" s="43"/>
      <c r="C2468" s="39"/>
      <c r="D2468" s="44"/>
      <c r="E2468" s="44"/>
      <c r="F2468" s="44"/>
      <c r="G2468" s="44"/>
    </row>
    <row r="2469" spans="1:7" ht="12.75" hidden="1" customHeight="1">
      <c r="A2469" s="42" t="s">
        <v>244</v>
      </c>
      <c r="B2469" s="45">
        <f>SUM(B2429:B2468)</f>
        <v>744</v>
      </c>
      <c r="C2469" s="45">
        <f>SUM(C2429:C2468)</f>
        <v>1920</v>
      </c>
      <c r="D2469" s="44">
        <v>330704.82</v>
      </c>
      <c r="E2469" s="44">
        <f>24922.4+72123.8+25061.32+96587+17182</f>
        <v>235876.52000000002</v>
      </c>
      <c r="F2469" s="44">
        <v>196201.31</v>
      </c>
      <c r="G2469" s="44">
        <f>SUM(D2469:F2469)</f>
        <v>762782.65000000014</v>
      </c>
    </row>
    <row r="2470" spans="1:7" ht="12.75" hidden="1" customHeight="1">
      <c r="A2470" s="268" t="s">
        <v>377</v>
      </c>
      <c r="B2470" s="268"/>
      <c r="C2470" s="268"/>
      <c r="D2470" s="268"/>
      <c r="E2470" s="268"/>
      <c r="F2470" s="268"/>
      <c r="G2470" s="268"/>
    </row>
    <row r="2471" spans="1:7" ht="12.75" hidden="1" customHeight="1">
      <c r="A2471" s="201"/>
      <c r="B2471" s="64"/>
      <c r="C2471" s="65"/>
      <c r="D2471" s="65"/>
      <c r="E2471" s="64"/>
      <c r="F2471" s="65"/>
      <c r="G2471" s="40"/>
    </row>
    <row r="2472" spans="1:7" ht="12.75" hidden="1" customHeight="1">
      <c r="A2472" s="65"/>
      <c r="B2472" s="64"/>
      <c r="C2472" s="65"/>
      <c r="D2472" s="65"/>
      <c r="E2472" s="64"/>
      <c r="F2472" s="65"/>
      <c r="G2472" s="40"/>
    </row>
    <row r="2473" spans="1:7" ht="12.75" hidden="1" customHeight="1">
      <c r="A2473" s="65"/>
      <c r="B2473" s="64"/>
      <c r="C2473" s="65"/>
      <c r="D2473" s="65"/>
      <c r="E2473" s="64"/>
      <c r="F2473" s="65"/>
      <c r="G2473" s="40"/>
    </row>
    <row r="2474" spans="1:7" ht="12.75" hidden="1" customHeight="1">
      <c r="A2474" s="65"/>
      <c r="B2474" s="64"/>
      <c r="C2474" s="65"/>
      <c r="D2474" s="65"/>
      <c r="E2474" s="64"/>
      <c r="F2474" s="65"/>
      <c r="G2474" s="40"/>
    </row>
    <row r="2475" spans="1:7" ht="12.75" hidden="1" customHeight="1">
      <c r="A2475" s="269" t="s">
        <v>569</v>
      </c>
      <c r="B2475" s="269"/>
      <c r="C2475" s="269"/>
      <c r="D2475" s="269"/>
      <c r="E2475" s="269"/>
      <c r="F2475" s="269"/>
      <c r="G2475" s="40"/>
    </row>
    <row r="2476" spans="1:7" ht="12.75" hidden="1" customHeight="1">
      <c r="A2476" s="42" t="s">
        <v>86</v>
      </c>
      <c r="B2476" s="43" t="s">
        <v>246</v>
      </c>
      <c r="C2476" s="43" t="s">
        <v>88</v>
      </c>
      <c r="D2476" s="43" t="s">
        <v>89</v>
      </c>
      <c r="E2476" s="43" t="s">
        <v>90</v>
      </c>
      <c r="F2476" s="43" t="s">
        <v>91</v>
      </c>
      <c r="G2476" s="40"/>
    </row>
    <row r="2477" spans="1:7" ht="12.75" hidden="1" customHeight="1">
      <c r="A2477" s="67" t="s">
        <v>247</v>
      </c>
      <c r="B2477" s="43"/>
      <c r="C2477" s="42"/>
      <c r="D2477" s="42"/>
      <c r="E2477" s="42"/>
      <c r="F2477" s="42"/>
      <c r="G2477" s="40"/>
    </row>
    <row r="2478" spans="1:7" ht="12.75" hidden="1" customHeight="1">
      <c r="A2478" s="67" t="s">
        <v>248</v>
      </c>
      <c r="B2478" s="43"/>
      <c r="C2478" s="42"/>
      <c r="D2478" s="42"/>
      <c r="E2478" s="42"/>
      <c r="F2478" s="42"/>
      <c r="G2478" s="40"/>
    </row>
    <row r="2479" spans="1:7" ht="12.75" hidden="1" customHeight="1">
      <c r="A2479" s="67" t="s">
        <v>249</v>
      </c>
      <c r="B2479" s="45"/>
      <c r="C2479" s="42"/>
      <c r="D2479" s="42"/>
      <c r="E2479" s="42"/>
      <c r="F2479" s="42"/>
      <c r="G2479" s="40"/>
    </row>
    <row r="2480" spans="1:7" ht="12.75" hidden="1" customHeight="1">
      <c r="A2480" s="217" t="s">
        <v>250</v>
      </c>
      <c r="B2480" s="59">
        <v>45</v>
      </c>
      <c r="C2480" s="60">
        <f t="shared" ref="C2480:E2504" si="114">B2480/B$2516*C$2516</f>
        <v>26020.074626865673</v>
      </c>
      <c r="D2480" s="60">
        <f t="shared" si="114"/>
        <v>18711.45</v>
      </c>
      <c r="E2480" s="60">
        <f t="shared" si="114"/>
        <v>16509.808208955226</v>
      </c>
      <c r="F2480" s="60">
        <f>SUM(C2480:E2480)</f>
        <v>61241.332835820904</v>
      </c>
      <c r="G2480" s="40"/>
    </row>
    <row r="2481" spans="1:7" ht="12.75" hidden="1" customHeight="1">
      <c r="A2481" s="67" t="s">
        <v>251</v>
      </c>
      <c r="B2481" s="43"/>
      <c r="C2481" s="60">
        <f t="shared" si="114"/>
        <v>0</v>
      </c>
      <c r="D2481" s="60">
        <f t="shared" si="114"/>
        <v>0</v>
      </c>
      <c r="E2481" s="60">
        <f t="shared" si="114"/>
        <v>0</v>
      </c>
      <c r="F2481" s="60">
        <f t="shared" ref="F2481:F2504" si="115">SUM(C2481:E2481)</f>
        <v>0</v>
      </c>
      <c r="G2481" s="40"/>
    </row>
    <row r="2482" spans="1:7" ht="12.75" hidden="1" customHeight="1">
      <c r="A2482" s="208" t="s">
        <v>252</v>
      </c>
      <c r="B2482" s="209"/>
      <c r="C2482" s="60">
        <f t="shared" si="114"/>
        <v>0</v>
      </c>
      <c r="D2482" s="60">
        <f t="shared" si="114"/>
        <v>0</v>
      </c>
      <c r="E2482" s="60">
        <f t="shared" si="114"/>
        <v>0</v>
      </c>
      <c r="F2482" s="60">
        <f t="shared" si="115"/>
        <v>0</v>
      </c>
      <c r="G2482" s="40"/>
    </row>
    <row r="2483" spans="1:7" ht="12.75" hidden="1" customHeight="1">
      <c r="A2483" s="208" t="s">
        <v>582</v>
      </c>
      <c r="B2483" s="209">
        <v>26</v>
      </c>
      <c r="C2483" s="53">
        <f t="shared" si="114"/>
        <v>15033.820895522389</v>
      </c>
      <c r="D2483" s="53">
        <f t="shared" si="114"/>
        <v>10811.060000000001</v>
      </c>
      <c r="E2483" s="53">
        <f t="shared" si="114"/>
        <v>9539.0002985074643</v>
      </c>
      <c r="F2483" s="42">
        <f t="shared" si="115"/>
        <v>35383.881194029855</v>
      </c>
      <c r="G2483" s="40"/>
    </row>
    <row r="2484" spans="1:7" ht="12.75" hidden="1" customHeight="1">
      <c r="A2484" s="208" t="s">
        <v>583</v>
      </c>
      <c r="B2484" s="209">
        <v>10</v>
      </c>
      <c r="C2484" s="53">
        <f t="shared" si="114"/>
        <v>5782.2388059701489</v>
      </c>
      <c r="D2484" s="53">
        <f t="shared" si="114"/>
        <v>4158.0999999999995</v>
      </c>
      <c r="E2484" s="53">
        <f t="shared" si="114"/>
        <v>3668.8462686567163</v>
      </c>
      <c r="F2484" s="42">
        <f t="shared" si="115"/>
        <v>13609.185074626865</v>
      </c>
      <c r="G2484" s="40"/>
    </row>
    <row r="2485" spans="1:7" ht="12.75" hidden="1" customHeight="1">
      <c r="A2485" s="210" t="s">
        <v>254</v>
      </c>
      <c r="B2485" s="211"/>
      <c r="C2485" s="42">
        <f t="shared" si="114"/>
        <v>0</v>
      </c>
      <c r="D2485" s="42">
        <f t="shared" si="114"/>
        <v>0</v>
      </c>
      <c r="E2485" s="42">
        <f t="shared" si="114"/>
        <v>0</v>
      </c>
      <c r="F2485" s="42">
        <f t="shared" si="115"/>
        <v>0</v>
      </c>
      <c r="G2485" s="40"/>
    </row>
    <row r="2486" spans="1:7" ht="12.75" hidden="1" customHeight="1">
      <c r="A2486" s="210" t="s">
        <v>255</v>
      </c>
      <c r="B2486" s="211"/>
      <c r="C2486" s="42">
        <f t="shared" si="114"/>
        <v>0</v>
      </c>
      <c r="D2486" s="42">
        <f t="shared" si="114"/>
        <v>0</v>
      </c>
      <c r="E2486" s="42">
        <f t="shared" si="114"/>
        <v>0</v>
      </c>
      <c r="F2486" s="42">
        <f t="shared" si="115"/>
        <v>0</v>
      </c>
      <c r="G2486" s="40"/>
    </row>
    <row r="2487" spans="1:7" ht="12.75" hidden="1" customHeight="1">
      <c r="A2487" s="210" t="s">
        <v>256</v>
      </c>
      <c r="B2487" s="212"/>
      <c r="C2487" s="42">
        <f t="shared" si="114"/>
        <v>0</v>
      </c>
      <c r="D2487" s="42">
        <f t="shared" si="114"/>
        <v>0</v>
      </c>
      <c r="E2487" s="42">
        <f t="shared" si="114"/>
        <v>0</v>
      </c>
      <c r="F2487" s="42">
        <f t="shared" si="115"/>
        <v>0</v>
      </c>
      <c r="G2487" s="40"/>
    </row>
    <row r="2488" spans="1:7" ht="12.75" hidden="1" customHeight="1">
      <c r="A2488" s="210" t="s">
        <v>257</v>
      </c>
      <c r="B2488" s="211">
        <v>48</v>
      </c>
      <c r="C2488" s="53">
        <f t="shared" si="114"/>
        <v>27754.746268656716</v>
      </c>
      <c r="D2488" s="53">
        <f t="shared" si="114"/>
        <v>19958.879999999997</v>
      </c>
      <c r="E2488" s="53">
        <f t="shared" si="114"/>
        <v>17610.462089552235</v>
      </c>
      <c r="F2488" s="42">
        <f t="shared" si="115"/>
        <v>65324.088358208945</v>
      </c>
      <c r="G2488" s="40"/>
    </row>
    <row r="2489" spans="1:7" ht="12.75" hidden="1" customHeight="1">
      <c r="A2489" s="210" t="s">
        <v>535</v>
      </c>
      <c r="B2489" s="211"/>
      <c r="C2489" s="42">
        <f t="shared" si="114"/>
        <v>0</v>
      </c>
      <c r="D2489" s="42">
        <f t="shared" si="114"/>
        <v>0</v>
      </c>
      <c r="E2489" s="42">
        <f t="shared" si="114"/>
        <v>0</v>
      </c>
      <c r="F2489" s="42">
        <f t="shared" si="115"/>
        <v>0</v>
      </c>
      <c r="G2489" s="40"/>
    </row>
    <row r="2490" spans="1:7" ht="12.75" hidden="1" customHeight="1">
      <c r="A2490" s="213" t="s">
        <v>258</v>
      </c>
      <c r="B2490" s="214"/>
      <c r="C2490" s="42">
        <f t="shared" si="114"/>
        <v>0</v>
      </c>
      <c r="D2490" s="42">
        <f t="shared" si="114"/>
        <v>0</v>
      </c>
      <c r="E2490" s="42">
        <f t="shared" si="114"/>
        <v>0</v>
      </c>
      <c r="F2490" s="42">
        <f t="shared" si="115"/>
        <v>0</v>
      </c>
      <c r="G2490" s="40"/>
    </row>
    <row r="2491" spans="1:7" ht="12.75" hidden="1" customHeight="1">
      <c r="A2491" s="210" t="s">
        <v>259</v>
      </c>
      <c r="B2491" s="167"/>
      <c r="C2491" s="42">
        <f t="shared" si="114"/>
        <v>0</v>
      </c>
      <c r="D2491" s="42">
        <f t="shared" si="114"/>
        <v>0</v>
      </c>
      <c r="E2491" s="42">
        <f t="shared" si="114"/>
        <v>0</v>
      </c>
      <c r="F2491" s="42">
        <f t="shared" si="115"/>
        <v>0</v>
      </c>
      <c r="G2491" s="40"/>
    </row>
    <row r="2492" spans="1:7" ht="12.75" hidden="1" customHeight="1">
      <c r="A2492" s="215" t="s">
        <v>584</v>
      </c>
      <c r="B2492" s="167">
        <v>28</v>
      </c>
      <c r="C2492" s="53">
        <f t="shared" si="114"/>
        <v>16190.268656716416</v>
      </c>
      <c r="D2492" s="53">
        <f t="shared" si="114"/>
        <v>11642.68</v>
      </c>
      <c r="E2492" s="53">
        <f t="shared" si="114"/>
        <v>10272.769552238806</v>
      </c>
      <c r="F2492" s="42">
        <f t="shared" si="115"/>
        <v>38105.718208955223</v>
      </c>
      <c r="G2492" s="40"/>
    </row>
    <row r="2493" spans="1:7" ht="12.75" hidden="1" customHeight="1">
      <c r="A2493" s="215" t="s">
        <v>585</v>
      </c>
      <c r="B2493" s="167"/>
      <c r="C2493" s="42">
        <f t="shared" si="114"/>
        <v>0</v>
      </c>
      <c r="D2493" s="42">
        <f t="shared" si="114"/>
        <v>0</v>
      </c>
      <c r="E2493" s="42">
        <f t="shared" si="114"/>
        <v>0</v>
      </c>
      <c r="F2493" s="42">
        <f t="shared" si="115"/>
        <v>0</v>
      </c>
      <c r="G2493" s="40"/>
    </row>
    <row r="2494" spans="1:7" ht="12.75" hidden="1" customHeight="1">
      <c r="A2494" s="215" t="s">
        <v>262</v>
      </c>
      <c r="B2494" s="167">
        <v>24</v>
      </c>
      <c r="C2494" s="53">
        <f t="shared" si="114"/>
        <v>13877.373134328358</v>
      </c>
      <c r="D2494" s="53">
        <f t="shared" si="114"/>
        <v>9979.4399999999987</v>
      </c>
      <c r="E2494" s="53">
        <f t="shared" si="114"/>
        <v>8805.2310447761174</v>
      </c>
      <c r="F2494" s="42">
        <f t="shared" si="115"/>
        <v>32662.044179104472</v>
      </c>
      <c r="G2494" s="40"/>
    </row>
    <row r="2495" spans="1:7" ht="12.75" hidden="1" customHeight="1">
      <c r="A2495" s="194" t="s">
        <v>262</v>
      </c>
      <c r="B2495" s="59">
        <v>40</v>
      </c>
      <c r="C2495" s="60">
        <f t="shared" si="114"/>
        <v>23128.955223880595</v>
      </c>
      <c r="D2495" s="60">
        <f t="shared" si="114"/>
        <v>16632.399999999998</v>
      </c>
      <c r="E2495" s="60">
        <f t="shared" si="114"/>
        <v>14675.385074626865</v>
      </c>
      <c r="F2495" s="60">
        <f t="shared" si="115"/>
        <v>54436.740298507459</v>
      </c>
      <c r="G2495" s="40"/>
    </row>
    <row r="2496" spans="1:7" ht="12.75" hidden="1" customHeight="1">
      <c r="A2496" s="216" t="s">
        <v>263</v>
      </c>
      <c r="B2496" s="167">
        <v>3</v>
      </c>
      <c r="C2496" s="53">
        <f t="shared" si="114"/>
        <v>1734.6716417910447</v>
      </c>
      <c r="D2496" s="53">
        <f t="shared" si="114"/>
        <v>1247.4299999999998</v>
      </c>
      <c r="E2496" s="53">
        <f t="shared" si="114"/>
        <v>1100.6538805970147</v>
      </c>
      <c r="F2496" s="42">
        <f t="shared" si="115"/>
        <v>4082.755522388059</v>
      </c>
      <c r="G2496" s="40"/>
    </row>
    <row r="2497" spans="1:7" ht="12.75" hidden="1" customHeight="1">
      <c r="A2497" s="216" t="s">
        <v>264</v>
      </c>
      <c r="B2497" s="212"/>
      <c r="C2497" s="60">
        <f t="shared" si="114"/>
        <v>0</v>
      </c>
      <c r="D2497" s="60">
        <f t="shared" si="114"/>
        <v>0</v>
      </c>
      <c r="E2497" s="60">
        <f t="shared" si="114"/>
        <v>0</v>
      </c>
      <c r="F2497" s="60">
        <f t="shared" si="115"/>
        <v>0</v>
      </c>
      <c r="G2497" s="40"/>
    </row>
    <row r="2498" spans="1:7" ht="12.75" hidden="1" customHeight="1">
      <c r="A2498" s="195" t="s">
        <v>549</v>
      </c>
      <c r="B2498" s="59">
        <v>8</v>
      </c>
      <c r="C2498" s="60">
        <f t="shared" si="114"/>
        <v>4625.7910447761196</v>
      </c>
      <c r="D2498" s="60">
        <f t="shared" si="114"/>
        <v>3326.4800000000005</v>
      </c>
      <c r="E2498" s="60">
        <f t="shared" si="114"/>
        <v>2935.0770149253735</v>
      </c>
      <c r="F2498" s="60">
        <f t="shared" si="115"/>
        <v>10887.348059701493</v>
      </c>
      <c r="G2498" s="40"/>
    </row>
    <row r="2499" spans="1:7" ht="12.75" hidden="1" customHeight="1">
      <c r="A2499" s="216" t="s">
        <v>534</v>
      </c>
      <c r="B2499" s="167">
        <v>7</v>
      </c>
      <c r="C2499" s="53">
        <f t="shared" si="114"/>
        <v>4047.5671641791041</v>
      </c>
      <c r="D2499" s="53">
        <f t="shared" si="114"/>
        <v>2910.67</v>
      </c>
      <c r="E2499" s="53">
        <f t="shared" si="114"/>
        <v>2568.1923880597014</v>
      </c>
      <c r="F2499" s="42">
        <f t="shared" si="115"/>
        <v>9526.4295522388056</v>
      </c>
      <c r="G2499" s="40"/>
    </row>
    <row r="2500" spans="1:7" ht="12.75" hidden="1" customHeight="1">
      <c r="A2500" s="195" t="s">
        <v>266</v>
      </c>
      <c r="B2500" s="59">
        <v>26</v>
      </c>
      <c r="C2500" s="60">
        <f t="shared" si="114"/>
        <v>15033.820895522389</v>
      </c>
      <c r="D2500" s="60">
        <f t="shared" si="114"/>
        <v>10811.060000000001</v>
      </c>
      <c r="E2500" s="60">
        <f t="shared" si="114"/>
        <v>9539.0002985074643</v>
      </c>
      <c r="F2500" s="60">
        <f t="shared" si="115"/>
        <v>35383.881194029855</v>
      </c>
      <c r="G2500" s="40"/>
    </row>
    <row r="2501" spans="1:7" ht="12.75" hidden="1" customHeight="1">
      <c r="A2501" s="74" t="s">
        <v>267</v>
      </c>
      <c r="B2501" s="48"/>
      <c r="C2501" s="60">
        <f t="shared" si="114"/>
        <v>0</v>
      </c>
      <c r="D2501" s="60">
        <f t="shared" si="114"/>
        <v>0</v>
      </c>
      <c r="E2501" s="60">
        <f t="shared" si="114"/>
        <v>0</v>
      </c>
      <c r="F2501" s="60">
        <f t="shared" si="115"/>
        <v>0</v>
      </c>
      <c r="G2501" s="40"/>
    </row>
    <row r="2502" spans="1:7" ht="12.75" hidden="1" customHeight="1">
      <c r="A2502" s="74" t="s">
        <v>268</v>
      </c>
      <c r="B2502" s="43"/>
      <c r="C2502" s="60">
        <f t="shared" si="114"/>
        <v>0</v>
      </c>
      <c r="D2502" s="60">
        <f t="shared" si="114"/>
        <v>0</v>
      </c>
      <c r="E2502" s="60">
        <f t="shared" si="114"/>
        <v>0</v>
      </c>
      <c r="F2502" s="60">
        <f t="shared" si="115"/>
        <v>0</v>
      </c>
      <c r="G2502" s="40"/>
    </row>
    <row r="2503" spans="1:7" ht="12.75" hidden="1" customHeight="1">
      <c r="A2503" s="67" t="s">
        <v>269</v>
      </c>
      <c r="B2503" s="43"/>
      <c r="C2503" s="60">
        <f t="shared" si="114"/>
        <v>0</v>
      </c>
      <c r="D2503" s="60">
        <f t="shared" si="114"/>
        <v>0</v>
      </c>
      <c r="E2503" s="60">
        <f t="shared" si="114"/>
        <v>0</v>
      </c>
      <c r="F2503" s="60">
        <f t="shared" si="115"/>
        <v>0</v>
      </c>
      <c r="G2503" s="40"/>
    </row>
    <row r="2504" spans="1:7" ht="12.75" hidden="1" customHeight="1">
      <c r="A2504" s="218" t="s">
        <v>586</v>
      </c>
      <c r="B2504" s="59">
        <v>3</v>
      </c>
      <c r="C2504" s="60">
        <f t="shared" si="114"/>
        <v>1734.6716417910447</v>
      </c>
      <c r="D2504" s="60">
        <f t="shared" si="114"/>
        <v>1247.4299999999998</v>
      </c>
      <c r="E2504" s="60">
        <f t="shared" si="114"/>
        <v>1100.6538805970147</v>
      </c>
      <c r="F2504" s="60">
        <f t="shared" si="115"/>
        <v>4082.755522388059</v>
      </c>
      <c r="G2504" s="40"/>
    </row>
    <row r="2505" spans="1:7" ht="12.75" hidden="1" customHeight="1">
      <c r="A2505" s="159" t="s">
        <v>507</v>
      </c>
      <c r="B2505" s="43"/>
      <c r="C2505" s="42"/>
      <c r="D2505" s="42"/>
      <c r="E2505" s="42"/>
      <c r="F2505" s="42"/>
      <c r="G2505" s="40"/>
    </row>
    <row r="2506" spans="1:7" ht="12.75" hidden="1" customHeight="1">
      <c r="A2506" s="67" t="s">
        <v>271</v>
      </c>
      <c r="B2506" s="43"/>
      <c r="C2506" s="42"/>
      <c r="D2506" s="42"/>
      <c r="E2506" s="42"/>
      <c r="F2506" s="42"/>
      <c r="G2506" s="40"/>
    </row>
    <row r="2507" spans="1:7" ht="12.75" hidden="1" customHeight="1">
      <c r="A2507" s="67" t="s">
        <v>272</v>
      </c>
      <c r="B2507" s="43"/>
      <c r="C2507" s="42"/>
      <c r="D2507" s="42"/>
      <c r="E2507" s="42"/>
      <c r="F2507" s="42"/>
      <c r="G2507" s="40"/>
    </row>
    <row r="2508" spans="1:7" ht="12.75" hidden="1" customHeight="1">
      <c r="A2508" s="67" t="s">
        <v>273</v>
      </c>
      <c r="B2508" s="43"/>
      <c r="C2508" s="42"/>
      <c r="D2508" s="42"/>
      <c r="E2508" s="42"/>
      <c r="F2508" s="42"/>
      <c r="G2508" s="40"/>
    </row>
    <row r="2509" spans="1:7" ht="12.75" hidden="1" customHeight="1">
      <c r="A2509" s="67" t="s">
        <v>274</v>
      </c>
      <c r="B2509" s="43"/>
      <c r="C2509" s="42"/>
      <c r="D2509" s="42"/>
      <c r="E2509" s="42"/>
      <c r="F2509" s="42"/>
      <c r="G2509" s="40"/>
    </row>
    <row r="2510" spans="1:7" ht="12.75" hidden="1" customHeight="1">
      <c r="A2510" s="67" t="s">
        <v>275</v>
      </c>
      <c r="B2510" s="43"/>
      <c r="C2510" s="42"/>
      <c r="D2510" s="42"/>
      <c r="E2510" s="42"/>
      <c r="F2510" s="42"/>
      <c r="G2510" s="40"/>
    </row>
    <row r="2511" spans="1:7" ht="12.75" hidden="1" customHeight="1">
      <c r="A2511" s="67" t="s">
        <v>276</v>
      </c>
      <c r="B2511" s="43"/>
      <c r="C2511" s="42"/>
      <c r="D2511" s="42"/>
      <c r="E2511" s="42"/>
      <c r="F2511" s="42"/>
      <c r="G2511" s="40"/>
    </row>
    <row r="2512" spans="1:7" ht="12.75" hidden="1" customHeight="1">
      <c r="A2512" s="67" t="s">
        <v>277</v>
      </c>
      <c r="B2512" s="43"/>
      <c r="C2512" s="42"/>
      <c r="D2512" s="42"/>
      <c r="E2512" s="42"/>
      <c r="F2512" s="42"/>
      <c r="G2512" s="40"/>
    </row>
    <row r="2513" spans="1:7" ht="12.75" hidden="1" customHeight="1">
      <c r="A2513" s="67" t="s">
        <v>536</v>
      </c>
      <c r="B2513" s="43"/>
      <c r="C2513" s="42"/>
      <c r="D2513" s="42"/>
      <c r="E2513" s="42"/>
      <c r="F2513" s="42"/>
      <c r="G2513" s="40"/>
    </row>
    <row r="2514" spans="1:7" ht="12.75" hidden="1" customHeight="1">
      <c r="A2514" s="79" t="s">
        <v>533</v>
      </c>
      <c r="B2514" s="43"/>
      <c r="C2514" s="42"/>
      <c r="D2514" s="42"/>
      <c r="E2514" s="42"/>
      <c r="F2514" s="42"/>
      <c r="G2514" s="40"/>
    </row>
    <row r="2515" spans="1:7" ht="12.75" hidden="1" customHeight="1">
      <c r="A2515" s="49" t="s">
        <v>278</v>
      </c>
      <c r="B2515" s="43"/>
      <c r="C2515" s="42"/>
      <c r="D2515" s="42"/>
      <c r="E2515" s="42"/>
      <c r="F2515" s="42"/>
      <c r="G2515" s="40"/>
    </row>
    <row r="2516" spans="1:7" ht="12.75" hidden="1" customHeight="1">
      <c r="A2516" s="75" t="s">
        <v>281</v>
      </c>
      <c r="B2516" s="43">
        <f>SUM(B2477:B2515)</f>
        <v>268</v>
      </c>
      <c r="C2516" s="42">
        <v>154964</v>
      </c>
      <c r="D2516" s="42">
        <f>16352.2+53547+18780.08+16066.8+6691</f>
        <v>111437.08</v>
      </c>
      <c r="E2516" s="44">
        <v>98325.08</v>
      </c>
      <c r="F2516" s="42">
        <f>SUM(C2516:E2516)</f>
        <v>364726.16000000003</v>
      </c>
      <c r="G2516" s="40"/>
    </row>
    <row r="2517" spans="1:7" ht="12.75" hidden="1" customHeight="1">
      <c r="A2517" s="219" t="s">
        <v>587</v>
      </c>
      <c r="B2517" s="41"/>
      <c r="C2517" s="40"/>
      <c r="D2517" s="40"/>
      <c r="E2517" s="41"/>
      <c r="F2517" s="40"/>
      <c r="G2517" s="40"/>
    </row>
    <row r="2518" spans="1:7" ht="12.75" hidden="1" customHeight="1">
      <c r="A2518" s="76"/>
      <c r="B2518" s="41"/>
      <c r="C2518" s="40"/>
      <c r="D2518" s="40"/>
      <c r="E2518" s="41"/>
      <c r="F2518" s="40"/>
      <c r="G2518" s="40"/>
    </row>
    <row r="2519" spans="1:7" ht="12.75" hidden="1" customHeight="1">
      <c r="A2519" s="269" t="s">
        <v>570</v>
      </c>
      <c r="B2519" s="269"/>
      <c r="C2519" s="269"/>
      <c r="D2519" s="269"/>
      <c r="E2519" s="269"/>
      <c r="F2519" s="269"/>
      <c r="G2519" s="40"/>
    </row>
    <row r="2520" spans="1:7" ht="12.75" hidden="1" customHeight="1">
      <c r="A2520" s="42" t="s">
        <v>86</v>
      </c>
      <c r="B2520" s="43" t="s">
        <v>87</v>
      </c>
      <c r="C2520" s="43" t="s">
        <v>88</v>
      </c>
      <c r="D2520" s="43" t="s">
        <v>89</v>
      </c>
      <c r="E2520" s="43" t="s">
        <v>90</v>
      </c>
      <c r="F2520" s="43" t="s">
        <v>91</v>
      </c>
      <c r="G2520" s="40"/>
    </row>
    <row r="2521" spans="1:7" ht="12.75" hidden="1" customHeight="1">
      <c r="A2521" s="39" t="s">
        <v>284</v>
      </c>
      <c r="B2521" s="43"/>
      <c r="C2521" s="44"/>
      <c r="D2521" s="44"/>
      <c r="E2521" s="44"/>
      <c r="F2521" s="44"/>
      <c r="G2521" s="40"/>
    </row>
    <row r="2522" spans="1:7" ht="12.75" hidden="1" customHeight="1">
      <c r="A2522" s="39" t="s">
        <v>285</v>
      </c>
      <c r="B2522" s="43"/>
      <c r="C2522" s="44"/>
      <c r="D2522" s="44"/>
      <c r="E2522" s="44"/>
      <c r="F2522" s="44"/>
      <c r="G2522" s="40"/>
    </row>
    <row r="2523" spans="1:7" ht="12.75" hidden="1" customHeight="1">
      <c r="A2523" s="39" t="s">
        <v>286</v>
      </c>
      <c r="B2523" s="43"/>
      <c r="C2523" s="44"/>
      <c r="D2523" s="44"/>
      <c r="E2523" s="44"/>
      <c r="F2523" s="44"/>
      <c r="G2523" s="40"/>
    </row>
    <row r="2524" spans="1:7" ht="12.75" hidden="1" customHeight="1">
      <c r="A2524" s="39" t="s">
        <v>287</v>
      </c>
      <c r="B2524" s="43"/>
      <c r="C2524" s="44"/>
      <c r="D2524" s="44"/>
      <c r="E2524" s="44"/>
      <c r="F2524" s="44"/>
      <c r="G2524" s="40"/>
    </row>
    <row r="2525" spans="1:7" ht="12.75" hidden="1" customHeight="1">
      <c r="A2525" s="39" t="s">
        <v>288</v>
      </c>
      <c r="B2525" s="43"/>
      <c r="C2525" s="44"/>
      <c r="D2525" s="44"/>
      <c r="E2525" s="44"/>
      <c r="F2525" s="44"/>
      <c r="G2525" s="40"/>
    </row>
    <row r="2526" spans="1:7" ht="12.75" hidden="1" customHeight="1">
      <c r="A2526" s="39" t="s">
        <v>289</v>
      </c>
      <c r="B2526" s="43"/>
      <c r="C2526" s="44"/>
      <c r="D2526" s="44"/>
      <c r="E2526" s="44"/>
      <c r="F2526" s="44"/>
      <c r="G2526" s="40"/>
    </row>
    <row r="2527" spans="1:7" ht="12.75" hidden="1" customHeight="1">
      <c r="A2527" s="39" t="s">
        <v>290</v>
      </c>
      <c r="B2527" s="43"/>
      <c r="C2527" s="44"/>
      <c r="D2527" s="44"/>
      <c r="E2527" s="44"/>
      <c r="F2527" s="44"/>
      <c r="G2527" s="40"/>
    </row>
    <row r="2528" spans="1:7" ht="12.75" hidden="1" customHeight="1">
      <c r="A2528" s="39" t="s">
        <v>291</v>
      </c>
      <c r="B2528" s="43"/>
      <c r="C2528" s="44"/>
      <c r="D2528" s="44"/>
      <c r="E2528" s="44"/>
      <c r="F2528" s="44"/>
      <c r="G2528" s="40"/>
    </row>
    <row r="2529" spans="1:7" ht="12.75" hidden="1" customHeight="1">
      <c r="A2529" s="39" t="s">
        <v>292</v>
      </c>
      <c r="B2529" s="43"/>
      <c r="C2529" s="44"/>
      <c r="D2529" s="44"/>
      <c r="E2529" s="44"/>
      <c r="F2529" s="44"/>
      <c r="G2529" s="40"/>
    </row>
    <row r="2530" spans="1:7" ht="12.75" hidden="1" customHeight="1">
      <c r="A2530" s="39" t="s">
        <v>293</v>
      </c>
      <c r="B2530" s="43"/>
      <c r="C2530" s="44"/>
      <c r="D2530" s="44"/>
      <c r="E2530" s="44"/>
      <c r="F2530" s="44"/>
      <c r="G2530" s="40"/>
    </row>
    <row r="2531" spans="1:7" ht="12.75" hidden="1" customHeight="1">
      <c r="A2531" s="39" t="s">
        <v>30</v>
      </c>
      <c r="B2531" s="45"/>
      <c r="C2531" s="44"/>
      <c r="D2531" s="44"/>
      <c r="E2531" s="44"/>
      <c r="F2531" s="44"/>
      <c r="G2531" s="40"/>
    </row>
    <row r="2532" spans="1:7" ht="12.75" hidden="1" customHeight="1">
      <c r="A2532" s="39" t="s">
        <v>294</v>
      </c>
      <c r="B2532" s="43"/>
      <c r="C2532" s="44"/>
      <c r="D2532" s="44"/>
      <c r="E2532" s="44"/>
      <c r="F2532" s="44"/>
      <c r="G2532" s="40"/>
    </row>
    <row r="2533" spans="1:7" ht="12.75" hidden="1" customHeight="1">
      <c r="A2533" s="39" t="s">
        <v>31</v>
      </c>
      <c r="B2533" s="43"/>
      <c r="C2533" s="44"/>
      <c r="D2533" s="44"/>
      <c r="E2533" s="44"/>
      <c r="F2533" s="44"/>
      <c r="G2533" s="40"/>
    </row>
    <row r="2534" spans="1:7" ht="12.75" hidden="1" customHeight="1">
      <c r="A2534" s="39" t="s">
        <v>295</v>
      </c>
      <c r="B2534" s="43"/>
      <c r="C2534" s="44"/>
      <c r="D2534" s="44"/>
      <c r="E2534" s="44"/>
      <c r="F2534" s="44"/>
      <c r="G2534" s="40"/>
    </row>
    <row r="2535" spans="1:7" ht="12.75" hidden="1" customHeight="1">
      <c r="A2535" s="39" t="s">
        <v>296</v>
      </c>
      <c r="B2535" s="41"/>
      <c r="C2535" s="44"/>
      <c r="D2535" s="44"/>
      <c r="E2535" s="44"/>
      <c r="F2535" s="44"/>
      <c r="G2535" s="40"/>
    </row>
    <row r="2536" spans="1:7" ht="12.75" hidden="1" customHeight="1">
      <c r="A2536" s="39" t="s">
        <v>297</v>
      </c>
      <c r="B2536" s="43"/>
      <c r="C2536" s="44"/>
      <c r="D2536" s="44"/>
      <c r="E2536" s="44"/>
      <c r="F2536" s="44"/>
      <c r="G2536" s="40"/>
    </row>
    <row r="2537" spans="1:7" ht="12.75" hidden="1" customHeight="1">
      <c r="A2537" s="39" t="s">
        <v>492</v>
      </c>
      <c r="B2537" s="43"/>
      <c r="C2537" s="44"/>
      <c r="D2537" s="44"/>
      <c r="E2537" s="44"/>
      <c r="F2537" s="44"/>
      <c r="G2537" s="40"/>
    </row>
    <row r="2538" spans="1:7" ht="12.75" hidden="1" customHeight="1">
      <c r="A2538" s="39" t="s">
        <v>299</v>
      </c>
      <c r="B2538" s="43"/>
      <c r="C2538" s="44"/>
      <c r="D2538" s="44"/>
      <c r="E2538" s="44"/>
      <c r="F2538" s="44"/>
      <c r="G2538" s="40"/>
    </row>
    <row r="2539" spans="1:7" ht="12.75" hidden="1" customHeight="1">
      <c r="A2539" s="39" t="s">
        <v>300</v>
      </c>
      <c r="B2539" s="45"/>
      <c r="C2539" s="44"/>
      <c r="D2539" s="44"/>
      <c r="E2539" s="44"/>
      <c r="F2539" s="44"/>
      <c r="G2539" s="40"/>
    </row>
    <row r="2540" spans="1:7" ht="12.75" hidden="1" customHeight="1">
      <c r="A2540" s="39" t="s">
        <v>301</v>
      </c>
      <c r="B2540" s="43"/>
      <c r="C2540" s="44"/>
      <c r="D2540" s="44"/>
      <c r="E2540" s="44"/>
      <c r="F2540" s="44"/>
      <c r="G2540" s="40"/>
    </row>
    <row r="2541" spans="1:7" ht="12.75" hidden="1" customHeight="1">
      <c r="A2541" s="39" t="s">
        <v>32</v>
      </c>
      <c r="B2541" s="43"/>
      <c r="C2541" s="44"/>
      <c r="D2541" s="44"/>
      <c r="E2541" s="44"/>
      <c r="F2541" s="44"/>
      <c r="G2541" s="40"/>
    </row>
    <row r="2542" spans="1:7" ht="12.75" hidden="1" customHeight="1">
      <c r="A2542" s="39" t="s">
        <v>491</v>
      </c>
      <c r="B2542" s="45"/>
      <c r="C2542" s="44"/>
      <c r="D2542" s="44"/>
      <c r="E2542" s="44"/>
      <c r="F2542" s="44"/>
      <c r="G2542" s="40"/>
    </row>
    <row r="2543" spans="1:7" ht="12.75" hidden="1" customHeight="1">
      <c r="A2543" s="39" t="s">
        <v>489</v>
      </c>
      <c r="B2543" s="45"/>
      <c r="C2543" s="44"/>
      <c r="D2543" s="44"/>
      <c r="E2543" s="44"/>
      <c r="F2543" s="44"/>
      <c r="G2543" s="40"/>
    </row>
    <row r="2544" spans="1:7" ht="12.75" hidden="1" customHeight="1">
      <c r="A2544" s="39" t="s">
        <v>532</v>
      </c>
      <c r="B2544" s="43"/>
      <c r="C2544" s="44"/>
      <c r="D2544" s="44"/>
      <c r="E2544" s="44"/>
      <c r="F2544" s="44"/>
      <c r="G2544" s="40"/>
    </row>
    <row r="2545" spans="1:7" ht="12.75" hidden="1" customHeight="1">
      <c r="A2545" s="39" t="s">
        <v>304</v>
      </c>
      <c r="B2545" s="43"/>
      <c r="C2545" s="44"/>
      <c r="D2545" s="44"/>
      <c r="E2545" s="44"/>
      <c r="F2545" s="44"/>
      <c r="G2545" s="40"/>
    </row>
    <row r="2546" spans="1:7" ht="12.75" hidden="1" customHeight="1">
      <c r="A2546" s="39" t="s">
        <v>34</v>
      </c>
      <c r="B2546" s="43"/>
      <c r="C2546" s="44"/>
      <c r="D2546" s="44"/>
      <c r="E2546" s="44"/>
      <c r="F2546" s="44"/>
      <c r="G2546" s="40"/>
    </row>
    <row r="2547" spans="1:7" ht="12.75" hidden="1" customHeight="1">
      <c r="A2547" s="39" t="s">
        <v>35</v>
      </c>
      <c r="B2547" s="43"/>
      <c r="C2547" s="44"/>
      <c r="D2547" s="44"/>
      <c r="E2547" s="44"/>
      <c r="F2547" s="44"/>
      <c r="G2547" s="40"/>
    </row>
    <row r="2548" spans="1:7" ht="12.75" hidden="1" customHeight="1">
      <c r="A2548" s="39" t="s">
        <v>305</v>
      </c>
      <c r="B2548" s="43"/>
      <c r="C2548" s="44"/>
      <c r="D2548" s="44"/>
      <c r="E2548" s="44"/>
      <c r="F2548" s="44"/>
      <c r="G2548" s="40"/>
    </row>
    <row r="2549" spans="1:7" ht="12.75" hidden="1" customHeight="1">
      <c r="A2549" s="39" t="s">
        <v>306</v>
      </c>
      <c r="B2549" s="45"/>
      <c r="C2549" s="44"/>
      <c r="D2549" s="44"/>
      <c r="E2549" s="44"/>
      <c r="F2549" s="44"/>
      <c r="G2549" s="40"/>
    </row>
    <row r="2550" spans="1:7" ht="12.75" hidden="1" customHeight="1">
      <c r="A2550" s="39" t="s">
        <v>36</v>
      </c>
      <c r="B2550" s="43"/>
      <c r="C2550" s="44"/>
      <c r="D2550" s="44"/>
      <c r="E2550" s="44"/>
      <c r="F2550" s="44"/>
      <c r="G2550" s="40"/>
    </row>
    <row r="2551" spans="1:7" ht="12.75" hidden="1" customHeight="1">
      <c r="A2551" s="39" t="s">
        <v>37</v>
      </c>
      <c r="B2551" s="45"/>
      <c r="C2551" s="44"/>
      <c r="D2551" s="44"/>
      <c r="E2551" s="44"/>
      <c r="F2551" s="44"/>
      <c r="G2551" s="40"/>
    </row>
    <row r="2552" spans="1:7" ht="12.75" hidden="1" customHeight="1">
      <c r="A2552" s="39" t="s">
        <v>38</v>
      </c>
      <c r="B2552" s="43"/>
      <c r="C2552" s="44"/>
      <c r="D2552" s="44"/>
      <c r="E2552" s="44"/>
      <c r="F2552" s="44"/>
      <c r="G2552" s="40"/>
    </row>
    <row r="2553" spans="1:7" ht="12.75" hidden="1" customHeight="1">
      <c r="A2553" s="39" t="s">
        <v>307</v>
      </c>
      <c r="B2553" s="43"/>
      <c r="C2553" s="44"/>
      <c r="D2553" s="44"/>
      <c r="E2553" s="44"/>
      <c r="F2553" s="44"/>
      <c r="G2553" s="40"/>
    </row>
    <row r="2554" spans="1:7" ht="12.75" hidden="1" customHeight="1">
      <c r="A2554" s="39" t="s">
        <v>308</v>
      </c>
      <c r="B2554" s="43"/>
      <c r="C2554" s="44"/>
      <c r="D2554" s="44"/>
      <c r="E2554" s="44"/>
      <c r="F2554" s="44"/>
      <c r="G2554" s="40"/>
    </row>
    <row r="2555" spans="1:7" ht="12.75" hidden="1" customHeight="1">
      <c r="A2555" s="39" t="s">
        <v>39</v>
      </c>
      <c r="B2555" s="45"/>
      <c r="C2555" s="44"/>
      <c r="D2555" s="44"/>
      <c r="E2555" s="44"/>
      <c r="F2555" s="44"/>
      <c r="G2555" s="40"/>
    </row>
    <row r="2556" spans="1:7" ht="12.75" hidden="1" customHeight="1">
      <c r="A2556" s="39" t="s">
        <v>40</v>
      </c>
      <c r="B2556" s="43"/>
      <c r="C2556" s="44"/>
      <c r="D2556" s="44"/>
      <c r="E2556" s="44"/>
      <c r="F2556" s="44"/>
      <c r="G2556" s="40"/>
    </row>
    <row r="2557" spans="1:7" ht="12.75" hidden="1" customHeight="1">
      <c r="A2557" s="39" t="s">
        <v>41</v>
      </c>
      <c r="B2557" s="43"/>
      <c r="C2557" s="44"/>
      <c r="D2557" s="44"/>
      <c r="E2557" s="44"/>
      <c r="F2557" s="44"/>
      <c r="G2557" s="40"/>
    </row>
    <row r="2558" spans="1:7" ht="12.75" hidden="1" customHeight="1">
      <c r="A2558" s="39" t="s">
        <v>309</v>
      </c>
      <c r="B2558" s="45"/>
      <c r="C2558" s="44"/>
      <c r="D2558" s="44"/>
      <c r="E2558" s="44"/>
      <c r="F2558" s="44"/>
      <c r="G2558" s="40"/>
    </row>
    <row r="2559" spans="1:7" ht="12.75" hidden="1" customHeight="1">
      <c r="A2559" s="39" t="s">
        <v>310</v>
      </c>
      <c r="B2559" s="45"/>
      <c r="C2559" s="44"/>
      <c r="D2559" s="44"/>
      <c r="E2559" s="44"/>
      <c r="F2559" s="44"/>
      <c r="G2559" s="40"/>
    </row>
    <row r="2560" spans="1:7" ht="12.75" hidden="1" customHeight="1">
      <c r="A2560" s="39" t="s">
        <v>311</v>
      </c>
      <c r="B2560" s="43"/>
      <c r="C2560" s="44"/>
      <c r="D2560" s="44"/>
      <c r="E2560" s="44"/>
      <c r="F2560" s="44"/>
      <c r="G2560" s="40"/>
    </row>
    <row r="2561" spans="1:7" ht="12.75" hidden="1" customHeight="1">
      <c r="A2561" s="39" t="s">
        <v>312</v>
      </c>
      <c r="B2561" s="43"/>
      <c r="C2561" s="44"/>
      <c r="D2561" s="44"/>
      <c r="E2561" s="44"/>
      <c r="F2561" s="44"/>
      <c r="G2561" s="40"/>
    </row>
    <row r="2562" spans="1:7" ht="12.75" hidden="1" customHeight="1">
      <c r="A2562" s="39" t="s">
        <v>497</v>
      </c>
      <c r="B2562" s="45"/>
      <c r="C2562" s="44"/>
      <c r="D2562" s="44"/>
      <c r="E2562" s="44"/>
      <c r="F2562" s="44"/>
      <c r="G2562" s="40"/>
    </row>
    <row r="2563" spans="1:7" ht="12.75" hidden="1" customHeight="1">
      <c r="A2563" s="39" t="s">
        <v>314</v>
      </c>
      <c r="B2563" s="45"/>
      <c r="C2563" s="44"/>
      <c r="D2563" s="44"/>
      <c r="E2563" s="44"/>
      <c r="F2563" s="44"/>
      <c r="G2563" s="40"/>
    </row>
    <row r="2564" spans="1:7" ht="12.75" hidden="1" customHeight="1">
      <c r="A2564" s="39" t="s">
        <v>315</v>
      </c>
      <c r="B2564" s="43"/>
      <c r="C2564" s="44"/>
      <c r="D2564" s="44"/>
      <c r="E2564" s="44"/>
      <c r="F2564" s="44"/>
      <c r="G2564" s="40"/>
    </row>
    <row r="2565" spans="1:7" ht="12.75" hidden="1" customHeight="1">
      <c r="A2565" s="39" t="s">
        <v>316</v>
      </c>
      <c r="B2565" s="45"/>
      <c r="C2565" s="44"/>
      <c r="D2565" s="44"/>
      <c r="E2565" s="44"/>
      <c r="F2565" s="44"/>
      <c r="G2565" s="40"/>
    </row>
    <row r="2566" spans="1:7" ht="12.75" hidden="1" customHeight="1">
      <c r="A2566" s="39" t="s">
        <v>317</v>
      </c>
      <c r="B2566" s="45"/>
      <c r="C2566" s="44"/>
      <c r="D2566" s="44"/>
      <c r="E2566" s="44"/>
      <c r="F2566" s="44"/>
      <c r="G2566" s="40"/>
    </row>
    <row r="2567" spans="1:7" ht="12.75" hidden="1" customHeight="1">
      <c r="A2567" s="39" t="s">
        <v>318</v>
      </c>
      <c r="B2567" s="45"/>
      <c r="C2567" s="44"/>
      <c r="D2567" s="44"/>
      <c r="E2567" s="44"/>
      <c r="F2567" s="44"/>
      <c r="G2567" s="40"/>
    </row>
    <row r="2568" spans="1:7" ht="12.75" hidden="1" customHeight="1">
      <c r="A2568" s="46" t="s">
        <v>319</v>
      </c>
      <c r="B2568" s="45"/>
      <c r="C2568" s="44"/>
      <c r="D2568" s="44"/>
      <c r="E2568" s="44"/>
      <c r="F2568" s="44"/>
      <c r="G2568" s="40"/>
    </row>
    <row r="2569" spans="1:7" ht="12.75" hidden="1" customHeight="1">
      <c r="A2569" s="46" t="s">
        <v>320</v>
      </c>
      <c r="B2569" s="45"/>
      <c r="C2569" s="44"/>
      <c r="D2569" s="44"/>
      <c r="E2569" s="44"/>
      <c r="F2569" s="44"/>
      <c r="G2569" s="40"/>
    </row>
    <row r="2570" spans="1:7" ht="12.75" hidden="1" customHeight="1">
      <c r="A2570" s="46" t="s">
        <v>321</v>
      </c>
      <c r="B2570" s="45"/>
      <c r="C2570" s="44"/>
      <c r="D2570" s="44"/>
      <c r="E2570" s="44"/>
      <c r="F2570" s="44"/>
      <c r="G2570" s="40"/>
    </row>
    <row r="2571" spans="1:7" ht="12.75" hidden="1" customHeight="1">
      <c r="A2571" s="46" t="s">
        <v>322</v>
      </c>
      <c r="B2571" s="45"/>
      <c r="C2571" s="44"/>
      <c r="D2571" s="44"/>
      <c r="E2571" s="44"/>
      <c r="F2571" s="44"/>
      <c r="G2571" s="40"/>
    </row>
    <row r="2572" spans="1:7" ht="12.75" hidden="1" customHeight="1">
      <c r="A2572" s="46" t="s">
        <v>323</v>
      </c>
      <c r="B2572" s="45"/>
      <c r="C2572" s="44"/>
      <c r="D2572" s="44"/>
      <c r="E2572" s="44"/>
      <c r="F2572" s="44"/>
      <c r="G2572" s="40"/>
    </row>
    <row r="2573" spans="1:7" ht="12.75" hidden="1" customHeight="1">
      <c r="A2573" s="46" t="s">
        <v>324</v>
      </c>
      <c r="B2573" s="45"/>
      <c r="C2573" s="44"/>
      <c r="D2573" s="44"/>
      <c r="E2573" s="44"/>
      <c r="F2573" s="44"/>
      <c r="G2573" s="40"/>
    </row>
    <row r="2574" spans="1:7" ht="12.75" hidden="1" customHeight="1">
      <c r="A2574" s="46" t="s">
        <v>325</v>
      </c>
      <c r="B2574" s="45"/>
      <c r="C2574" s="44"/>
      <c r="D2574" s="44"/>
      <c r="E2574" s="44"/>
      <c r="F2574" s="44"/>
      <c r="G2574" s="40"/>
    </row>
    <row r="2575" spans="1:7" ht="12.75" hidden="1" customHeight="1">
      <c r="A2575" s="46" t="s">
        <v>326</v>
      </c>
      <c r="B2575" s="45"/>
      <c r="C2575" s="44"/>
      <c r="D2575" s="44"/>
      <c r="E2575" s="44"/>
      <c r="F2575" s="44"/>
      <c r="G2575" s="40"/>
    </row>
    <row r="2576" spans="1:7" ht="12.75" hidden="1" customHeight="1">
      <c r="A2576" s="46" t="s">
        <v>327</v>
      </c>
      <c r="B2576" s="45"/>
      <c r="C2576" s="44"/>
      <c r="D2576" s="44"/>
      <c r="E2576" s="44"/>
      <c r="F2576" s="44"/>
      <c r="G2576" s="40"/>
    </row>
    <row r="2577" spans="1:7" ht="12.75" hidden="1" customHeight="1">
      <c r="A2577" s="46" t="s">
        <v>328</v>
      </c>
      <c r="B2577" s="45"/>
      <c r="C2577" s="44"/>
      <c r="D2577" s="44"/>
      <c r="E2577" s="44"/>
      <c r="F2577" s="44"/>
      <c r="G2577" s="40"/>
    </row>
    <row r="2578" spans="1:7" ht="12.75" hidden="1" customHeight="1">
      <c r="A2578" s="46" t="s">
        <v>329</v>
      </c>
      <c r="B2578" s="47"/>
      <c r="C2578" s="44"/>
      <c r="D2578" s="44"/>
      <c r="E2578" s="44"/>
      <c r="F2578" s="44"/>
      <c r="G2578" s="40"/>
    </row>
    <row r="2579" spans="1:7" ht="12.75" hidden="1" customHeight="1">
      <c r="A2579" s="152" t="s">
        <v>490</v>
      </c>
      <c r="B2579" s="176"/>
      <c r="C2579" s="44"/>
      <c r="D2579" s="44"/>
      <c r="E2579" s="44"/>
      <c r="F2579" s="44"/>
      <c r="G2579" s="40"/>
    </row>
    <row r="2580" spans="1:7" ht="12.75" hidden="1" customHeight="1">
      <c r="A2580" s="152" t="s">
        <v>493</v>
      </c>
      <c r="B2580" s="176"/>
      <c r="C2580" s="44"/>
      <c r="D2580" s="44"/>
      <c r="E2580" s="44"/>
      <c r="F2580" s="44"/>
      <c r="G2580" s="40"/>
    </row>
    <row r="2581" spans="1:7" ht="12.75" hidden="1" customHeight="1">
      <c r="A2581" s="152" t="s">
        <v>495</v>
      </c>
      <c r="B2581" s="176"/>
      <c r="C2581" s="44"/>
      <c r="D2581" s="44"/>
      <c r="E2581" s="44"/>
      <c r="F2581" s="44"/>
      <c r="G2581" s="40"/>
    </row>
    <row r="2582" spans="1:7" ht="12.75" hidden="1" customHeight="1">
      <c r="A2582" s="152" t="s">
        <v>496</v>
      </c>
      <c r="B2582" s="176"/>
      <c r="C2582" s="44"/>
      <c r="D2582" s="44"/>
      <c r="E2582" s="44"/>
      <c r="F2582" s="44"/>
      <c r="G2582" s="40"/>
    </row>
    <row r="2583" spans="1:7" ht="12.75" hidden="1" customHeight="1">
      <c r="A2583" s="152" t="s">
        <v>498</v>
      </c>
      <c r="B2583" s="176"/>
      <c r="C2583" s="44"/>
      <c r="D2583" s="44"/>
      <c r="E2583" s="44"/>
      <c r="F2583" s="44"/>
      <c r="G2583" s="40"/>
    </row>
    <row r="2584" spans="1:7" ht="12.75" hidden="1" customHeight="1">
      <c r="A2584" s="46" t="s">
        <v>330</v>
      </c>
      <c r="B2584" s="47"/>
      <c r="C2584" s="44"/>
      <c r="D2584" s="44"/>
      <c r="E2584" s="44"/>
      <c r="F2584" s="44"/>
      <c r="G2584" s="40"/>
    </row>
    <row r="2585" spans="1:7" ht="12.75" hidden="1" customHeight="1">
      <c r="A2585" s="48" t="s">
        <v>150</v>
      </c>
      <c r="B2585" s="48"/>
      <c r="C2585" s="49"/>
      <c r="D2585" s="50"/>
      <c r="E2585" s="50"/>
      <c r="F2585" s="50"/>
      <c r="G2585" s="40"/>
    </row>
    <row r="2586" spans="1:7" ht="12.75" hidden="1" customHeight="1"/>
    <row r="2587" spans="1:7" ht="12.75" hidden="1" customHeight="1"/>
    <row r="2588" spans="1:7" ht="12.75" hidden="1" customHeight="1">
      <c r="A2588" s="77" t="s">
        <v>592</v>
      </c>
      <c r="B2588" s="39"/>
      <c r="C2588" s="78"/>
      <c r="D2588" s="78"/>
      <c r="E2588" s="78"/>
      <c r="F2588" s="78"/>
      <c r="G2588" s="40"/>
    </row>
    <row r="2589" spans="1:7" ht="12.75" hidden="1" customHeight="1">
      <c r="A2589" s="206" t="s">
        <v>337</v>
      </c>
      <c r="B2589" s="81" t="s">
        <v>87</v>
      </c>
      <c r="C2589" s="81" t="s">
        <v>338</v>
      </c>
      <c r="D2589" s="78" t="s">
        <v>339</v>
      </c>
      <c r="E2589" s="78" t="s">
        <v>340</v>
      </c>
      <c r="F2589" s="78" t="s">
        <v>341</v>
      </c>
      <c r="G2589" s="40"/>
    </row>
    <row r="2590" spans="1:7" ht="12.75" hidden="1" customHeight="1">
      <c r="A2590" s="206" t="s">
        <v>0</v>
      </c>
      <c r="B2590" s="81"/>
      <c r="C2590" s="81">
        <v>142785.04</v>
      </c>
      <c r="D2590" s="81">
        <v>103151.72</v>
      </c>
      <c r="E2590" s="81">
        <v>54627.379677419354</v>
      </c>
      <c r="F2590" s="81">
        <v>300564.13967741939</v>
      </c>
      <c r="G2590" s="40"/>
    </row>
    <row r="2591" spans="1:7" ht="12.75" hidden="1" customHeight="1">
      <c r="A2591" s="206" t="s">
        <v>342</v>
      </c>
      <c r="B2591" s="81"/>
      <c r="C2591" s="81"/>
      <c r="D2591" s="81"/>
      <c r="E2591" s="81"/>
      <c r="F2591" s="81"/>
      <c r="G2591" s="40"/>
    </row>
    <row r="2592" spans="1:7" ht="12.75" hidden="1" customHeight="1">
      <c r="A2592" s="206" t="s">
        <v>343</v>
      </c>
      <c r="B2592" s="81"/>
      <c r="C2592" s="81"/>
      <c r="D2592" s="81"/>
      <c r="E2592" s="81"/>
      <c r="F2592" s="81"/>
      <c r="G2592" s="40"/>
    </row>
    <row r="2593" spans="1:7" ht="12.75" hidden="1" customHeight="1">
      <c r="A2593" s="206" t="s">
        <v>344</v>
      </c>
      <c r="B2593" s="81"/>
      <c r="C2593" s="81"/>
      <c r="D2593" s="81"/>
      <c r="E2593" s="81"/>
      <c r="F2593" s="81"/>
      <c r="G2593" s="40"/>
    </row>
    <row r="2594" spans="1:7" ht="12.75" hidden="1" customHeight="1">
      <c r="A2594" s="206" t="s">
        <v>345</v>
      </c>
      <c r="B2594" s="81"/>
      <c r="C2594" s="81">
        <f>C2596-C2595</f>
        <v>142785.04</v>
      </c>
      <c r="D2594" s="81">
        <f>D2596-D2595</f>
        <v>103151.72</v>
      </c>
      <c r="E2594" s="81">
        <f>E2596-E2595</f>
        <v>54627.379677419354</v>
      </c>
      <c r="F2594" s="81">
        <f>SUM(C2594:E2594)</f>
        <v>300564.13967741939</v>
      </c>
      <c r="G2594" s="40"/>
    </row>
    <row r="2595" spans="1:7" ht="12.75" hidden="1" customHeight="1">
      <c r="A2595" s="229" t="s">
        <v>641</v>
      </c>
      <c r="B2595" s="81"/>
      <c r="C2595" s="81">
        <v>0</v>
      </c>
      <c r="D2595" s="81">
        <v>0</v>
      </c>
      <c r="E2595" s="81">
        <v>46536.010322580645</v>
      </c>
      <c r="F2595" s="81">
        <f>SUM(C2595:E2595)</f>
        <v>46536.010322580645</v>
      </c>
      <c r="G2595" s="40"/>
    </row>
    <row r="2596" spans="1:7" ht="12.75" hidden="1" customHeight="1">
      <c r="A2596" s="206" t="s">
        <v>346</v>
      </c>
      <c r="B2596" s="205"/>
      <c r="C2596" s="205">
        <f>142785.04</f>
        <v>142785.04</v>
      </c>
      <c r="D2596" s="82">
        <f>6432.7+30484+8915.02+42061+15259</f>
        <v>103151.72</v>
      </c>
      <c r="E2596" s="82">
        <f>101163.39</f>
        <v>101163.39</v>
      </c>
      <c r="F2596" s="82">
        <f>SUM(C2596:E2596)</f>
        <v>347100.15</v>
      </c>
      <c r="G2596" s="40"/>
    </row>
    <row r="2597" spans="1:7" ht="12.75" hidden="1" customHeight="1">
      <c r="A2597" s="270" t="s">
        <v>640</v>
      </c>
      <c r="B2597" s="271"/>
      <c r="C2597" s="271"/>
      <c r="D2597" s="271"/>
      <c r="E2597" s="271"/>
      <c r="F2597" s="271"/>
      <c r="G2597" s="40"/>
    </row>
    <row r="2598" spans="1:7" ht="12.75" hidden="1" customHeight="1">
      <c r="A2598" s="278"/>
      <c r="B2598" s="279"/>
      <c r="C2598" s="279"/>
      <c r="D2598" s="279"/>
      <c r="E2598" s="279"/>
      <c r="F2598" s="279"/>
      <c r="G2598" s="40"/>
    </row>
    <row r="2599" spans="1:7" ht="12.75" hidden="1" customHeight="1">
      <c r="A2599" s="83"/>
      <c r="B2599" s="84"/>
      <c r="C2599" s="40"/>
      <c r="D2599" s="40"/>
      <c r="E2599" s="41"/>
      <c r="F2599" s="40"/>
      <c r="G2599" s="40"/>
    </row>
    <row r="2600" spans="1:7" ht="12.75" hidden="1" customHeight="1">
      <c r="A2600" s="85"/>
      <c r="B2600" s="84"/>
      <c r="C2600" s="40"/>
      <c r="D2600" s="40"/>
      <c r="E2600" s="41"/>
      <c r="F2600" s="40"/>
      <c r="G2600" s="40"/>
    </row>
    <row r="2601" spans="1:7" ht="12.75" hidden="1" customHeight="1">
      <c r="A2601" s="77"/>
      <c r="B2601" s="82"/>
      <c r="C2601" s="82"/>
      <c r="D2601" s="82"/>
      <c r="E2601" s="82"/>
      <c r="F2601" s="82"/>
      <c r="G2601" s="40"/>
    </row>
    <row r="2602" spans="1:7" ht="12.75" hidden="1" customHeight="1">
      <c r="A2602" s="77" t="s">
        <v>593</v>
      </c>
      <c r="B2602" s="43" t="s">
        <v>87</v>
      </c>
      <c r="C2602" s="86" t="s">
        <v>88</v>
      </c>
      <c r="D2602" s="86" t="s">
        <v>89</v>
      </c>
      <c r="E2602" s="86" t="s">
        <v>90</v>
      </c>
      <c r="F2602" s="86" t="s">
        <v>91</v>
      </c>
      <c r="G2602" s="40"/>
    </row>
    <row r="2603" spans="1:7" ht="12.75" hidden="1" customHeight="1">
      <c r="A2603" s="87" t="s">
        <v>349</v>
      </c>
      <c r="B2603" s="88"/>
      <c r="C2603" s="88"/>
      <c r="D2603" s="88"/>
      <c r="E2603" s="88"/>
      <c r="F2603" s="88"/>
      <c r="G2603" s="40"/>
    </row>
    <row r="2604" spans="1:7" ht="12.75" hidden="1" customHeight="1">
      <c r="A2604" s="87" t="s">
        <v>350</v>
      </c>
      <c r="B2604" s="88">
        <f>48*7</f>
        <v>336</v>
      </c>
      <c r="C2604" s="228">
        <f t="shared" ref="C2604:E2606" si="116">B2604/B$2613*C$2610</f>
        <v>114804.86500000001</v>
      </c>
      <c r="D2604" s="228">
        <f t="shared" si="116"/>
        <v>60332.789999999994</v>
      </c>
      <c r="E2604" s="228">
        <f t="shared" si="116"/>
        <v>69014.949838709697</v>
      </c>
      <c r="F2604" s="88">
        <f>SUM(C2604:E2604)</f>
        <v>244152.6048387097</v>
      </c>
      <c r="G2604" s="40"/>
    </row>
    <row r="2605" spans="1:7" ht="12.75" hidden="1" customHeight="1">
      <c r="A2605" s="87" t="s">
        <v>351</v>
      </c>
      <c r="B2605" s="88"/>
      <c r="C2605" s="88">
        <f t="shared" si="116"/>
        <v>0</v>
      </c>
      <c r="D2605" s="88">
        <f t="shared" si="116"/>
        <v>0</v>
      </c>
      <c r="E2605" s="88">
        <f t="shared" si="116"/>
        <v>0</v>
      </c>
      <c r="F2605" s="88">
        <f>SUM(C2605:E2605)</f>
        <v>0</v>
      </c>
      <c r="G2605" s="40"/>
    </row>
    <row r="2606" spans="1:7" ht="12.75" hidden="1" customHeight="1">
      <c r="A2606" s="87" t="s">
        <v>352</v>
      </c>
      <c r="B2606" s="57">
        <f>3*48</f>
        <v>144</v>
      </c>
      <c r="C2606" s="228">
        <f t="shared" si="116"/>
        <v>49202.084999999999</v>
      </c>
      <c r="D2606" s="228">
        <f t="shared" si="116"/>
        <v>25856.91</v>
      </c>
      <c r="E2606" s="228">
        <f t="shared" si="116"/>
        <v>29577.8356451613</v>
      </c>
      <c r="F2606" s="88">
        <f>SUM(C2606:E2606)</f>
        <v>104636.8306451613</v>
      </c>
      <c r="G2606" s="40"/>
    </row>
    <row r="2607" spans="1:7" ht="12.75" hidden="1" customHeight="1">
      <c r="A2607" s="87" t="s">
        <v>556</v>
      </c>
      <c r="B2607" s="88"/>
      <c r="C2607" s="88"/>
      <c r="D2607" s="88"/>
      <c r="E2607" s="88"/>
      <c r="F2607" s="88"/>
      <c r="G2607" s="40"/>
    </row>
    <row r="2608" spans="1:7" ht="12.75" hidden="1" customHeight="1">
      <c r="A2608" s="87" t="s">
        <v>354</v>
      </c>
      <c r="B2608" s="88"/>
      <c r="C2608" s="88"/>
      <c r="D2608" s="88"/>
      <c r="E2608" s="88"/>
      <c r="F2608" s="88"/>
      <c r="G2608" s="40"/>
    </row>
    <row r="2609" spans="1:7" ht="12.75" hidden="1" customHeight="1">
      <c r="A2609" s="87" t="s">
        <v>355</v>
      </c>
      <c r="B2609" s="88"/>
      <c r="C2609" s="88"/>
      <c r="D2609" s="88"/>
      <c r="E2609" s="88"/>
      <c r="F2609" s="88"/>
      <c r="G2609" s="40"/>
    </row>
    <row r="2610" spans="1:7" ht="12.75" hidden="1" customHeight="1">
      <c r="A2610" s="87" t="s">
        <v>356</v>
      </c>
      <c r="B2610" s="88"/>
      <c r="C2610" s="88">
        <f>C2613-C2612</f>
        <v>164006.95000000001</v>
      </c>
      <c r="D2610" s="88">
        <f>D2613-D2612</f>
        <v>86189.7</v>
      </c>
      <c r="E2610" s="88">
        <f>E2613-E2612</f>
        <v>98592.785483871005</v>
      </c>
      <c r="F2610" s="88">
        <f>F2613-F2612</f>
        <v>348789.43548387103</v>
      </c>
      <c r="G2610" s="40"/>
    </row>
    <row r="2611" spans="1:7" ht="12.75" hidden="1" customHeight="1">
      <c r="A2611" s="87" t="s">
        <v>357</v>
      </c>
      <c r="B2611" s="57"/>
      <c r="C2611" s="88"/>
      <c r="D2611" s="88"/>
      <c r="E2611" s="88"/>
      <c r="F2611" s="88"/>
      <c r="G2611" s="40"/>
    </row>
    <row r="2612" spans="1:7" ht="12.75" hidden="1" customHeight="1">
      <c r="A2612" s="227" t="s">
        <v>639</v>
      </c>
      <c r="B2612" s="57"/>
      <c r="C2612" s="88">
        <v>0</v>
      </c>
      <c r="D2612" s="88">
        <v>0</v>
      </c>
      <c r="E2612" s="88">
        <v>296924.344516129</v>
      </c>
      <c r="F2612" s="88">
        <f>SUM(C2612:E2612)</f>
        <v>296924.344516129</v>
      </c>
      <c r="G2612" s="40"/>
    </row>
    <row r="2613" spans="1:7" ht="12.75" hidden="1" customHeight="1">
      <c r="A2613" s="77" t="s">
        <v>346</v>
      </c>
      <c r="B2613" s="82">
        <f>SUM(B2604:B2612)</f>
        <v>480</v>
      </c>
      <c r="C2613" s="82">
        <f>164006.95</f>
        <v>164006.95000000001</v>
      </c>
      <c r="D2613" s="82">
        <f>6432.7+23867.6+7058.2+37387.8+11443.4</f>
        <v>86189.7</v>
      </c>
      <c r="E2613" s="82">
        <f>395517.13</f>
        <v>395517.13</v>
      </c>
      <c r="F2613" s="82">
        <f>SUM(C2613:E2613)</f>
        <v>645713.78</v>
      </c>
      <c r="G2613" s="40"/>
    </row>
    <row r="2614" spans="1:7" ht="12.75" hidden="1" customHeight="1">
      <c r="A2614" s="151" t="s">
        <v>638</v>
      </c>
      <c r="B2614" s="84"/>
      <c r="C2614" s="84"/>
      <c r="D2614" s="84"/>
      <c r="E2614" s="84"/>
      <c r="F2614" s="84"/>
      <c r="G2614" s="90"/>
    </row>
    <row r="2615" spans="1:7" ht="12.75" hidden="1" customHeight="1">
      <c r="A2615" s="85"/>
      <c r="B2615" s="84"/>
      <c r="C2615" s="84"/>
      <c r="D2615" s="84"/>
      <c r="E2615" s="84"/>
      <c r="F2615" s="84"/>
      <c r="G2615" s="90"/>
    </row>
    <row r="2616" spans="1:7" ht="12.75" hidden="1" customHeight="1">
      <c r="A2616" s="91"/>
      <c r="B2616" s="84"/>
      <c r="C2616" s="84"/>
      <c r="D2616" s="84"/>
      <c r="E2616" s="84"/>
      <c r="F2616" s="84"/>
      <c r="G2616" s="90"/>
    </row>
    <row r="2617" spans="1:7" ht="12.75" hidden="1" customHeight="1">
      <c r="A2617" s="91"/>
      <c r="B2617" s="84"/>
      <c r="C2617" s="84"/>
      <c r="D2617" s="84"/>
      <c r="E2617" s="84"/>
      <c r="F2617" s="84"/>
      <c r="G2617" s="40"/>
    </row>
    <row r="2618" spans="1:7" ht="12.75" hidden="1" customHeight="1">
      <c r="A2618" s="83"/>
      <c r="B2618" s="92"/>
      <c r="C2618" s="92"/>
      <c r="D2618" s="92"/>
      <c r="E2618" s="92"/>
      <c r="F2618" s="92"/>
      <c r="G2618" s="40"/>
    </row>
    <row r="2619" spans="1:7" ht="12.75" hidden="1" customHeight="1">
      <c r="A2619" s="77" t="s">
        <v>594</v>
      </c>
      <c r="B2619" s="43" t="s">
        <v>87</v>
      </c>
      <c r="C2619" s="78" t="s">
        <v>338</v>
      </c>
      <c r="D2619" s="78" t="s">
        <v>339</v>
      </c>
      <c r="E2619" s="78" t="s">
        <v>340</v>
      </c>
      <c r="F2619" s="78" t="s">
        <v>341</v>
      </c>
      <c r="G2619" s="40"/>
    </row>
    <row r="2620" spans="1:7" ht="12.75" hidden="1" customHeight="1">
      <c r="A2620" s="80" t="s">
        <v>361</v>
      </c>
      <c r="B2620" s="93"/>
      <c r="C2620" s="94"/>
      <c r="D2620" s="94"/>
      <c r="E2620" s="94"/>
      <c r="F2620" s="94"/>
      <c r="G2620" s="40"/>
    </row>
    <row r="2621" spans="1:7" ht="12.75" hidden="1" customHeight="1">
      <c r="A2621" s="80" t="s">
        <v>362</v>
      </c>
      <c r="B2621" s="93">
        <f>19*48</f>
        <v>912</v>
      </c>
      <c r="C2621" s="204">
        <f t="shared" ref="C2621:E2629" si="117">B2621/B$2631*C$2631</f>
        <v>38922.448834355826</v>
      </c>
      <c r="D2621" s="204">
        <f t="shared" si="117"/>
        <v>47975.746012269941</v>
      </c>
      <c r="E2621" s="204">
        <f t="shared" si="117"/>
        <v>34416.124417177911</v>
      </c>
      <c r="F2621" s="94">
        <f>SUM(C2621:E2621)</f>
        <v>121314.31926380367</v>
      </c>
      <c r="G2621" s="40"/>
    </row>
    <row r="2622" spans="1:7" ht="12.75" hidden="1" customHeight="1">
      <c r="A2622" s="80" t="s">
        <v>363</v>
      </c>
      <c r="B2622" s="93">
        <f>19*48</f>
        <v>912</v>
      </c>
      <c r="C2622" s="204">
        <f t="shared" si="117"/>
        <v>38922.448834355826</v>
      </c>
      <c r="D2622" s="204">
        <f t="shared" si="117"/>
        <v>47975.746012269941</v>
      </c>
      <c r="E2622" s="204">
        <f t="shared" si="117"/>
        <v>34416.124417177911</v>
      </c>
      <c r="F2622" s="94">
        <f t="shared" ref="F2622:F2629" si="118">SUM(C2622:E2622)</f>
        <v>121314.31926380367</v>
      </c>
      <c r="G2622" s="40"/>
    </row>
    <row r="2623" spans="1:7" ht="12.75" hidden="1" customHeight="1">
      <c r="A2623" s="80" t="s">
        <v>364</v>
      </c>
      <c r="B2623" s="93"/>
      <c r="C2623" s="94">
        <f t="shared" si="117"/>
        <v>0</v>
      </c>
      <c r="D2623" s="94">
        <f t="shared" si="117"/>
        <v>0</v>
      </c>
      <c r="E2623" s="94">
        <f t="shared" si="117"/>
        <v>0</v>
      </c>
      <c r="F2623" s="94">
        <f t="shared" si="118"/>
        <v>0</v>
      </c>
      <c r="G2623" s="40"/>
    </row>
    <row r="2624" spans="1:7" ht="12.75" hidden="1" customHeight="1">
      <c r="A2624" s="80" t="s">
        <v>365</v>
      </c>
      <c r="B2624" s="93">
        <f>6*12</f>
        <v>72</v>
      </c>
      <c r="C2624" s="204">
        <f t="shared" si="117"/>
        <v>3072.8249079754605</v>
      </c>
      <c r="D2624" s="204">
        <f t="shared" si="117"/>
        <v>3787.558895705522</v>
      </c>
      <c r="E2624" s="204">
        <f t="shared" si="117"/>
        <v>2717.0624539877304</v>
      </c>
      <c r="F2624" s="94">
        <f t="shared" si="118"/>
        <v>9577.4462576687129</v>
      </c>
      <c r="G2624" s="40"/>
    </row>
    <row r="2625" spans="1:7" ht="12.75" hidden="1" customHeight="1">
      <c r="A2625" s="80" t="s">
        <v>366</v>
      </c>
      <c r="B2625" s="93">
        <f>2*12</f>
        <v>24</v>
      </c>
      <c r="C2625" s="204">
        <f t="shared" si="117"/>
        <v>1024.2749693251535</v>
      </c>
      <c r="D2625" s="204">
        <f t="shared" si="117"/>
        <v>1262.5196319018405</v>
      </c>
      <c r="E2625" s="204">
        <f t="shared" si="117"/>
        <v>905.68748466257671</v>
      </c>
      <c r="F2625" s="94">
        <f t="shared" si="118"/>
        <v>3192.482085889571</v>
      </c>
      <c r="G2625" s="40"/>
    </row>
    <row r="2626" spans="1:7" ht="12.75" hidden="1" customHeight="1">
      <c r="A2626" s="203" t="s">
        <v>571</v>
      </c>
      <c r="B2626" s="93">
        <f>2*12</f>
        <v>24</v>
      </c>
      <c r="C2626" s="204">
        <f t="shared" si="117"/>
        <v>1024.2749693251535</v>
      </c>
      <c r="D2626" s="204">
        <f t="shared" si="117"/>
        <v>1262.5196319018405</v>
      </c>
      <c r="E2626" s="204">
        <f t="shared" si="117"/>
        <v>905.68748466257671</v>
      </c>
      <c r="F2626" s="94">
        <f t="shared" si="118"/>
        <v>3192.482085889571</v>
      </c>
      <c r="G2626" s="40"/>
    </row>
    <row r="2627" spans="1:7" ht="12.75" hidden="1" customHeight="1">
      <c r="A2627" s="80" t="s">
        <v>368</v>
      </c>
      <c r="B2627" s="40"/>
      <c r="C2627" s="204">
        <f t="shared" si="117"/>
        <v>0</v>
      </c>
      <c r="D2627" s="204">
        <f t="shared" si="117"/>
        <v>0</v>
      </c>
      <c r="E2627" s="204">
        <f t="shared" si="117"/>
        <v>0</v>
      </c>
      <c r="F2627" s="94">
        <f t="shared" si="118"/>
        <v>0</v>
      </c>
      <c r="G2627" s="40"/>
    </row>
    <row r="2628" spans="1:7" ht="12.75" hidden="1" customHeight="1">
      <c r="A2628" s="80" t="s">
        <v>369</v>
      </c>
      <c r="B2628" s="93"/>
      <c r="C2628" s="204">
        <f t="shared" si="117"/>
        <v>0</v>
      </c>
      <c r="D2628" s="204">
        <f t="shared" si="117"/>
        <v>0</v>
      </c>
      <c r="E2628" s="204">
        <f t="shared" si="117"/>
        <v>0</v>
      </c>
      <c r="F2628" s="94">
        <f t="shared" si="118"/>
        <v>0</v>
      </c>
      <c r="G2628" s="40"/>
    </row>
    <row r="2629" spans="1:7" ht="12.75" hidden="1" customHeight="1">
      <c r="A2629" s="80" t="s">
        <v>370</v>
      </c>
      <c r="B2629" s="93">
        <f>1*12</f>
        <v>12</v>
      </c>
      <c r="C2629" s="204">
        <f t="shared" si="117"/>
        <v>512.13748466257675</v>
      </c>
      <c r="D2629" s="204">
        <f t="shared" si="117"/>
        <v>631.25981595092026</v>
      </c>
      <c r="E2629" s="204">
        <f t="shared" si="117"/>
        <v>452.84374233128835</v>
      </c>
      <c r="F2629" s="94">
        <f t="shared" si="118"/>
        <v>1596.2410429447855</v>
      </c>
      <c r="G2629" s="40"/>
    </row>
    <row r="2630" spans="1:7" ht="12.75" hidden="1" customHeight="1">
      <c r="A2630" s="80" t="s">
        <v>524</v>
      </c>
      <c r="B2630" s="93"/>
      <c r="C2630" s="94"/>
      <c r="D2630" s="94"/>
      <c r="E2630" s="94"/>
      <c r="F2630" s="94"/>
      <c r="G2630" s="40"/>
    </row>
    <row r="2631" spans="1:7" ht="12.75" hidden="1" customHeight="1">
      <c r="A2631" s="77" t="s">
        <v>346</v>
      </c>
      <c r="B2631" s="95">
        <f>SUM(B2620:B2630)</f>
        <v>1956</v>
      </c>
      <c r="C2631" s="96">
        <f>83478.41</f>
        <v>83478.41</v>
      </c>
      <c r="D2631" s="96">
        <f>15711.6+4407.15+43131.2+39645.4</f>
        <v>102895.35</v>
      </c>
      <c r="E2631" s="96">
        <f>73813.53</f>
        <v>73813.53</v>
      </c>
      <c r="F2631" s="97">
        <f>SUM(C2631:E2631)</f>
        <v>260187.29</v>
      </c>
      <c r="G2631" s="40"/>
    </row>
    <row r="2632" spans="1:7" ht="12.75" hidden="1" customHeight="1">
      <c r="A2632" s="140" t="s">
        <v>637</v>
      </c>
      <c r="B2632" s="99"/>
      <c r="C2632" s="100"/>
      <c r="D2632" s="100"/>
      <c r="E2632" s="100"/>
      <c r="F2632" s="100"/>
      <c r="G2632" s="40"/>
    </row>
    <row r="2633" spans="1:7" ht="12.75" hidden="1" customHeight="1">
      <c r="A2633" s="98"/>
      <c r="B2633" s="99"/>
      <c r="C2633" s="100"/>
      <c r="D2633" s="100"/>
      <c r="E2633" s="100"/>
      <c r="F2633" s="100"/>
      <c r="G2633" s="40"/>
    </row>
    <row r="2634" spans="1:7" ht="12.75" hidden="1" customHeight="1">
      <c r="A2634" s="98"/>
      <c r="B2634" s="99"/>
      <c r="C2634" s="100"/>
      <c r="D2634" s="115"/>
      <c r="E2634" s="115"/>
      <c r="F2634" s="100"/>
      <c r="G2634" s="40"/>
    </row>
    <row r="2635" spans="1:7" ht="12.75" hidden="1" customHeight="1">
      <c r="A2635" s="101"/>
      <c r="B2635" s="92"/>
      <c r="C2635" s="92"/>
      <c r="D2635" s="115"/>
      <c r="E2635" s="116"/>
      <c r="F2635" s="92"/>
      <c r="G2635" s="40"/>
    </row>
    <row r="2636" spans="1:7" ht="12.75" hidden="1" customHeight="1">
      <c r="A2636" s="101"/>
      <c r="B2636" s="92"/>
      <c r="C2636" s="92"/>
      <c r="D2636" s="92"/>
      <c r="E2636" s="92"/>
      <c r="F2636" s="92"/>
      <c r="G2636" s="40"/>
    </row>
    <row r="2637" spans="1:7" ht="12.75" hidden="1" customHeight="1">
      <c r="A2637" s="101"/>
      <c r="B2637" s="92"/>
      <c r="C2637" s="92"/>
      <c r="D2637" s="92"/>
      <c r="E2637" s="92"/>
      <c r="F2637" s="92"/>
      <c r="G2637" s="40"/>
    </row>
    <row r="2638" spans="1:7" ht="12.75" hidden="1" customHeight="1">
      <c r="A2638" s="77" t="s">
        <v>595</v>
      </c>
      <c r="B2638" s="43" t="s">
        <v>87</v>
      </c>
      <c r="C2638" s="78" t="s">
        <v>338</v>
      </c>
      <c r="D2638" s="78" t="s">
        <v>339</v>
      </c>
      <c r="E2638" s="78" t="s">
        <v>340</v>
      </c>
      <c r="F2638" s="78" t="s">
        <v>341</v>
      </c>
      <c r="G2638" s="40"/>
    </row>
    <row r="2639" spans="1:7" ht="12.75" hidden="1" customHeight="1">
      <c r="A2639" s="87" t="s">
        <v>481</v>
      </c>
      <c r="B2639" s="42"/>
      <c r="C2639" s="112"/>
      <c r="D2639" s="112"/>
      <c r="E2639" s="112"/>
      <c r="F2639" s="112"/>
      <c r="G2639" s="40"/>
    </row>
    <row r="2640" spans="1:7" ht="12.75" hidden="1" customHeight="1">
      <c r="A2640" s="87" t="s">
        <v>482</v>
      </c>
      <c r="B2640" s="42"/>
      <c r="C2640" s="112"/>
      <c r="D2640" s="112"/>
      <c r="E2640" s="112"/>
      <c r="F2640" s="112"/>
      <c r="G2640" s="40"/>
    </row>
    <row r="2641" spans="1:7" ht="12.75" hidden="1" customHeight="1">
      <c r="A2641" s="87" t="s">
        <v>451</v>
      </c>
      <c r="B2641" s="42"/>
      <c r="C2641" s="112"/>
      <c r="D2641" s="112"/>
      <c r="E2641" s="112"/>
      <c r="F2641" s="112"/>
      <c r="G2641" s="40"/>
    </row>
    <row r="2642" spans="1:7" ht="12.75" hidden="1" customHeight="1">
      <c r="A2642" s="87" t="s">
        <v>452</v>
      </c>
      <c r="B2642" s="42"/>
      <c r="C2642" s="112"/>
      <c r="D2642" s="112"/>
      <c r="E2642" s="112"/>
      <c r="F2642" s="112"/>
      <c r="G2642" s="40"/>
    </row>
    <row r="2643" spans="1:7" ht="12.75" hidden="1" customHeight="1">
      <c r="A2643" s="87" t="s">
        <v>453</v>
      </c>
      <c r="B2643" s="42"/>
      <c r="C2643" s="112"/>
      <c r="D2643" s="112"/>
      <c r="E2643" s="112"/>
      <c r="F2643" s="112"/>
      <c r="G2643" s="40"/>
    </row>
    <row r="2644" spans="1:7" ht="12.75" hidden="1" customHeight="1">
      <c r="A2644" s="87" t="s">
        <v>454</v>
      </c>
      <c r="B2644" s="42"/>
      <c r="C2644" s="112"/>
      <c r="D2644" s="112"/>
      <c r="E2644" s="112"/>
      <c r="F2644" s="112"/>
      <c r="G2644" s="40"/>
    </row>
    <row r="2645" spans="1:7" ht="12.75" hidden="1" customHeight="1">
      <c r="A2645" s="87" t="s">
        <v>455</v>
      </c>
      <c r="B2645" s="42"/>
      <c r="C2645" s="112"/>
      <c r="D2645" s="112"/>
      <c r="E2645" s="112"/>
      <c r="F2645" s="112"/>
      <c r="G2645" s="40"/>
    </row>
    <row r="2646" spans="1:7" ht="12.75" hidden="1" customHeight="1">
      <c r="A2646" s="87" t="s">
        <v>456</v>
      </c>
      <c r="B2646" s="93"/>
      <c r="C2646" s="112"/>
      <c r="D2646" s="112"/>
      <c r="E2646" s="112"/>
      <c r="F2646" s="112"/>
      <c r="G2646" s="40"/>
    </row>
    <row r="2647" spans="1:7" ht="12.75" hidden="1" customHeight="1">
      <c r="A2647" s="87" t="s">
        <v>457</v>
      </c>
      <c r="B2647" s="93"/>
      <c r="C2647" s="112"/>
      <c r="D2647" s="112"/>
      <c r="E2647" s="112"/>
      <c r="F2647" s="112"/>
      <c r="G2647" s="40"/>
    </row>
    <row r="2648" spans="1:7" ht="12.75" hidden="1" customHeight="1">
      <c r="A2648" s="87" t="s">
        <v>458</v>
      </c>
      <c r="B2648" s="93"/>
      <c r="C2648" s="112"/>
      <c r="D2648" s="112"/>
      <c r="E2648" s="112"/>
      <c r="F2648" s="112"/>
      <c r="G2648" s="40"/>
    </row>
    <row r="2649" spans="1:7" ht="12.75" hidden="1" customHeight="1">
      <c r="A2649" s="111" t="s">
        <v>480</v>
      </c>
      <c r="B2649" s="93"/>
      <c r="C2649" s="112"/>
      <c r="D2649" s="112"/>
      <c r="E2649" s="112"/>
      <c r="F2649" s="112"/>
      <c r="G2649" s="40"/>
    </row>
    <row r="2650" spans="1:7" ht="12.75" hidden="1" customHeight="1">
      <c r="A2650" s="77" t="s">
        <v>346</v>
      </c>
      <c r="B2650" s="95"/>
      <c r="C2650" s="108">
        <f>45075.01</f>
        <v>45075.01</v>
      </c>
      <c r="D2650" s="108">
        <v>0</v>
      </c>
      <c r="E2650" s="108">
        <v>76465.81</v>
      </c>
      <c r="F2650" s="207">
        <f>SUM(C2650:E2650)</f>
        <v>121540.82</v>
      </c>
      <c r="G2650" s="40"/>
    </row>
    <row r="2651" spans="1:7" ht="12.75" hidden="1" customHeight="1">
      <c r="A2651" s="114" t="s">
        <v>581</v>
      </c>
      <c r="B2651" s="103"/>
      <c r="C2651" s="104"/>
      <c r="D2651" s="104"/>
      <c r="E2651" s="104"/>
      <c r="F2651" s="104"/>
      <c r="G2651" s="40"/>
    </row>
    <row r="2652" spans="1:7" ht="12.75" hidden="1" customHeight="1">
      <c r="A2652" s="114"/>
      <c r="B2652" s="103"/>
      <c r="C2652" s="104"/>
      <c r="D2652" s="104"/>
      <c r="E2652" s="104"/>
      <c r="F2652" s="104"/>
      <c r="G2652" s="40"/>
    </row>
    <row r="2653" spans="1:7" ht="12.75" hidden="1" customHeight="1">
      <c r="A2653" s="114"/>
      <c r="B2653" s="103"/>
      <c r="C2653" s="104"/>
      <c r="D2653" s="104"/>
      <c r="E2653" s="104"/>
      <c r="F2653" s="104"/>
      <c r="G2653" s="40"/>
    </row>
    <row r="2654" spans="1:7" ht="12.75" hidden="1" customHeight="1">
      <c r="A2654" s="269" t="s">
        <v>596</v>
      </c>
      <c r="B2654" s="269"/>
      <c r="C2654" s="269"/>
      <c r="D2654" s="269"/>
      <c r="E2654" s="269"/>
      <c r="F2654" s="269"/>
      <c r="G2654" s="40"/>
    </row>
    <row r="2655" spans="1:7" ht="12.75" hidden="1" customHeight="1">
      <c r="A2655" s="42" t="s">
        <v>86</v>
      </c>
      <c r="B2655" s="43" t="s">
        <v>87</v>
      </c>
      <c r="C2655" s="43" t="s">
        <v>88</v>
      </c>
      <c r="D2655" s="43" t="s">
        <v>89</v>
      </c>
      <c r="E2655" s="43" t="s">
        <v>90</v>
      </c>
      <c r="F2655" s="43" t="s">
        <v>91</v>
      </c>
      <c r="G2655" s="40"/>
    </row>
    <row r="2656" spans="1:7" ht="12.75" hidden="1" customHeight="1">
      <c r="A2656" s="39" t="s">
        <v>1</v>
      </c>
      <c r="B2656" s="43"/>
      <c r="C2656" s="44"/>
      <c r="D2656" s="44"/>
      <c r="E2656" s="44"/>
      <c r="F2656" s="44"/>
      <c r="G2656" s="40"/>
    </row>
    <row r="2657" spans="1:7" ht="12.75" hidden="1" customHeight="1">
      <c r="A2657" s="39" t="s">
        <v>2</v>
      </c>
      <c r="B2657" s="43"/>
      <c r="C2657" s="44"/>
      <c r="D2657" s="44"/>
      <c r="E2657" s="44"/>
      <c r="F2657" s="44"/>
      <c r="G2657" s="40"/>
    </row>
    <row r="2658" spans="1:7" ht="12.75" hidden="1" customHeight="1">
      <c r="A2658" s="39" t="s">
        <v>92</v>
      </c>
      <c r="B2658" s="43"/>
      <c r="C2658" s="44"/>
      <c r="D2658" s="44"/>
      <c r="E2658" s="44"/>
      <c r="F2658" s="44"/>
      <c r="G2658" s="40"/>
    </row>
    <row r="2659" spans="1:7" ht="12.75" hidden="1" customHeight="1">
      <c r="A2659" s="39" t="s">
        <v>642</v>
      </c>
      <c r="B2659" s="43">
        <v>31.5</v>
      </c>
      <c r="C2659" s="66">
        <f t="shared" ref="C2659:D2678" si="119">B2659/B$2719*C$2717</f>
        <v>52868.818516853928</v>
      </c>
      <c r="D2659" s="66">
        <f t="shared" si="119"/>
        <v>54040.889332366787</v>
      </c>
      <c r="E2659" s="66">
        <f>B2659/B$2719*E$2717</f>
        <v>33177.245963030087</v>
      </c>
      <c r="F2659" s="44">
        <f>SUM(C2659:E2659)</f>
        <v>140086.95381225081</v>
      </c>
      <c r="G2659" s="40"/>
    </row>
    <row r="2660" spans="1:7" ht="12.75" hidden="1" customHeight="1">
      <c r="A2660" s="39" t="s">
        <v>644</v>
      </c>
      <c r="B2660" s="43">
        <v>5.5</v>
      </c>
      <c r="C2660" s="66">
        <f t="shared" si="119"/>
        <v>9231.0635505617975</v>
      </c>
      <c r="D2660" s="66">
        <f t="shared" si="119"/>
        <v>9435.7108358100741</v>
      </c>
      <c r="E2660" s="66">
        <f t="shared" ref="E2660:E2706" si="120">B2660/B$2719*E$2717</f>
        <v>5792.8524697354114</v>
      </c>
      <c r="F2660" s="44">
        <f t="shared" ref="F2660:F2706" si="121">SUM(C2660:E2660)</f>
        <v>24459.626856107283</v>
      </c>
      <c r="G2660" s="40"/>
    </row>
    <row r="2661" spans="1:7" ht="12.75" hidden="1" customHeight="1">
      <c r="A2661" s="39" t="s">
        <v>95</v>
      </c>
      <c r="B2661" s="43"/>
      <c r="C2661" s="44">
        <f t="shared" si="119"/>
        <v>0</v>
      </c>
      <c r="D2661" s="44">
        <f t="shared" si="119"/>
        <v>0</v>
      </c>
      <c r="E2661" s="44">
        <f t="shared" si="120"/>
        <v>0</v>
      </c>
      <c r="F2661" s="44">
        <f t="shared" si="121"/>
        <v>0</v>
      </c>
      <c r="G2661" s="40"/>
    </row>
    <row r="2662" spans="1:7" ht="12.75" hidden="1" customHeight="1">
      <c r="A2662" s="39" t="s">
        <v>96</v>
      </c>
      <c r="B2662" s="43"/>
      <c r="C2662" s="44">
        <f t="shared" si="119"/>
        <v>0</v>
      </c>
      <c r="D2662" s="44">
        <f t="shared" si="119"/>
        <v>0</v>
      </c>
      <c r="E2662" s="44">
        <f t="shared" si="120"/>
        <v>0</v>
      </c>
      <c r="F2662" s="44">
        <f t="shared" si="121"/>
        <v>0</v>
      </c>
      <c r="G2662" s="40"/>
    </row>
    <row r="2663" spans="1:7" ht="12.75" hidden="1" customHeight="1">
      <c r="A2663" s="39" t="s">
        <v>97</v>
      </c>
      <c r="B2663" s="43"/>
      <c r="C2663" s="44">
        <f t="shared" si="119"/>
        <v>0</v>
      </c>
      <c r="D2663" s="44">
        <f t="shared" si="119"/>
        <v>0</v>
      </c>
      <c r="E2663" s="44">
        <f t="shared" si="120"/>
        <v>0</v>
      </c>
      <c r="F2663" s="44">
        <f t="shared" si="121"/>
        <v>0</v>
      </c>
      <c r="G2663" s="40"/>
    </row>
    <row r="2664" spans="1:7" ht="12.75" hidden="1" customHeight="1">
      <c r="A2664" s="39" t="s">
        <v>98</v>
      </c>
      <c r="B2664" s="43"/>
      <c r="C2664" s="44">
        <f t="shared" si="119"/>
        <v>0</v>
      </c>
      <c r="D2664" s="44">
        <f t="shared" si="119"/>
        <v>0</v>
      </c>
      <c r="E2664" s="44">
        <f t="shared" si="120"/>
        <v>0</v>
      </c>
      <c r="F2664" s="44">
        <f t="shared" si="121"/>
        <v>0</v>
      </c>
      <c r="G2664" s="40"/>
    </row>
    <row r="2665" spans="1:7" ht="12.75" hidden="1" customHeight="1">
      <c r="A2665" s="39" t="s">
        <v>99</v>
      </c>
      <c r="B2665" s="43"/>
      <c r="C2665" s="44">
        <f t="shared" si="119"/>
        <v>0</v>
      </c>
      <c r="D2665" s="44">
        <f t="shared" si="119"/>
        <v>0</v>
      </c>
      <c r="E2665" s="44">
        <f t="shared" si="120"/>
        <v>0</v>
      </c>
      <c r="F2665" s="44">
        <f t="shared" si="121"/>
        <v>0</v>
      </c>
      <c r="G2665" s="40"/>
    </row>
    <row r="2666" spans="1:7" ht="12.75" hidden="1" customHeight="1">
      <c r="A2666" s="39" t="s">
        <v>646</v>
      </c>
      <c r="B2666" s="45">
        <v>4</v>
      </c>
      <c r="C2666" s="66">
        <f t="shared" si="119"/>
        <v>6713.5007640449439</v>
      </c>
      <c r="D2666" s="66">
        <f t="shared" si="119"/>
        <v>6862.3351533164187</v>
      </c>
      <c r="E2666" s="66">
        <f t="shared" si="120"/>
        <v>4212.9836143530274</v>
      </c>
      <c r="F2666" s="44">
        <f t="shared" si="121"/>
        <v>17788.819531714391</v>
      </c>
      <c r="G2666" s="40"/>
    </row>
    <row r="2667" spans="1:7" ht="12.75" hidden="1" customHeight="1">
      <c r="A2667" s="58" t="s">
        <v>653</v>
      </c>
      <c r="B2667" s="59">
        <v>10</v>
      </c>
      <c r="C2667" s="181">
        <f t="shared" si="119"/>
        <v>16783.751910112358</v>
      </c>
      <c r="D2667" s="181">
        <f t="shared" si="119"/>
        <v>17155.837883291042</v>
      </c>
      <c r="E2667" s="181">
        <f t="shared" si="120"/>
        <v>10532.459035882566</v>
      </c>
      <c r="F2667" s="181">
        <f t="shared" si="121"/>
        <v>44472.048829285966</v>
      </c>
      <c r="G2667" s="40"/>
    </row>
    <row r="2668" spans="1:7" ht="12.75" hidden="1" customHeight="1">
      <c r="A2668" s="39" t="s">
        <v>102</v>
      </c>
      <c r="B2668" s="43"/>
      <c r="C2668" s="44">
        <f t="shared" si="119"/>
        <v>0</v>
      </c>
      <c r="D2668" s="44">
        <f t="shared" si="119"/>
        <v>0</v>
      </c>
      <c r="E2668" s="44">
        <f t="shared" si="120"/>
        <v>0</v>
      </c>
      <c r="F2668" s="44">
        <f t="shared" si="121"/>
        <v>0</v>
      </c>
      <c r="G2668" s="40"/>
    </row>
    <row r="2669" spans="1:7" ht="12.75" hidden="1" customHeight="1">
      <c r="A2669" s="39" t="s">
        <v>103</v>
      </c>
      <c r="B2669" s="43"/>
      <c r="C2669" s="44">
        <f t="shared" si="119"/>
        <v>0</v>
      </c>
      <c r="D2669" s="44">
        <f t="shared" si="119"/>
        <v>0</v>
      </c>
      <c r="E2669" s="44">
        <f t="shared" si="120"/>
        <v>0</v>
      </c>
      <c r="F2669" s="44">
        <f t="shared" si="121"/>
        <v>0</v>
      </c>
      <c r="G2669" s="40"/>
    </row>
    <row r="2670" spans="1:7" ht="12.75" hidden="1" customHeight="1">
      <c r="A2670" s="39" t="s">
        <v>647</v>
      </c>
      <c r="B2670" s="45">
        <v>11</v>
      </c>
      <c r="C2670" s="66">
        <f t="shared" si="119"/>
        <v>18462.127101123595</v>
      </c>
      <c r="D2670" s="66">
        <f t="shared" si="119"/>
        <v>18871.421671620148</v>
      </c>
      <c r="E2670" s="66">
        <f t="shared" si="120"/>
        <v>11585.704939470823</v>
      </c>
      <c r="F2670" s="44">
        <f t="shared" si="121"/>
        <v>48919.253712214566</v>
      </c>
      <c r="G2670" s="40"/>
    </row>
    <row r="2671" spans="1:7" ht="12.75" hidden="1" customHeight="1">
      <c r="A2671" s="39" t="s">
        <v>104</v>
      </c>
      <c r="B2671" s="45"/>
      <c r="C2671" s="44">
        <f t="shared" si="119"/>
        <v>0</v>
      </c>
      <c r="D2671" s="44">
        <f t="shared" si="119"/>
        <v>0</v>
      </c>
      <c r="E2671" s="44">
        <f t="shared" si="120"/>
        <v>0</v>
      </c>
      <c r="F2671" s="44">
        <f t="shared" si="121"/>
        <v>0</v>
      </c>
      <c r="G2671" s="40"/>
    </row>
    <row r="2672" spans="1:7" ht="12.75" hidden="1" customHeight="1">
      <c r="A2672" s="39" t="s">
        <v>105</v>
      </c>
      <c r="B2672" s="43"/>
      <c r="C2672" s="44">
        <f t="shared" si="119"/>
        <v>0</v>
      </c>
      <c r="D2672" s="44">
        <f t="shared" si="119"/>
        <v>0</v>
      </c>
      <c r="E2672" s="44">
        <f t="shared" si="120"/>
        <v>0</v>
      </c>
      <c r="F2672" s="44">
        <f t="shared" si="121"/>
        <v>0</v>
      </c>
      <c r="G2672" s="40"/>
    </row>
    <row r="2673" spans="1:7" ht="12.75" hidden="1" customHeight="1">
      <c r="A2673" s="58" t="s">
        <v>654</v>
      </c>
      <c r="B2673" s="59">
        <v>10</v>
      </c>
      <c r="C2673" s="181">
        <f t="shared" si="119"/>
        <v>16783.751910112358</v>
      </c>
      <c r="D2673" s="181">
        <f t="shared" si="119"/>
        <v>17155.837883291042</v>
      </c>
      <c r="E2673" s="181">
        <f t="shared" si="120"/>
        <v>10532.459035882566</v>
      </c>
      <c r="F2673" s="181">
        <f t="shared" si="121"/>
        <v>44472.048829285966</v>
      </c>
      <c r="G2673" s="40"/>
    </row>
    <row r="2674" spans="1:7" ht="12.75" hidden="1" customHeight="1">
      <c r="A2674" s="58" t="s">
        <v>655</v>
      </c>
      <c r="B2674" s="59">
        <v>19</v>
      </c>
      <c r="C2674" s="181">
        <f t="shared" si="119"/>
        <v>31889.128629213483</v>
      </c>
      <c r="D2674" s="181">
        <f t="shared" si="119"/>
        <v>32596.091978252985</v>
      </c>
      <c r="E2674" s="181">
        <f t="shared" si="120"/>
        <v>20011.672168176876</v>
      </c>
      <c r="F2674" s="181">
        <f t="shared" si="121"/>
        <v>84496.892775643355</v>
      </c>
      <c r="G2674" s="40"/>
    </row>
    <row r="2675" spans="1:7" ht="12.75" hidden="1" customHeight="1">
      <c r="A2675" s="39" t="s">
        <v>108</v>
      </c>
      <c r="B2675" s="45"/>
      <c r="C2675" s="44">
        <f t="shared" si="119"/>
        <v>0</v>
      </c>
      <c r="D2675" s="44">
        <f t="shared" si="119"/>
        <v>0</v>
      </c>
      <c r="E2675" s="44">
        <f t="shared" si="120"/>
        <v>0</v>
      </c>
      <c r="F2675" s="44">
        <f t="shared" si="121"/>
        <v>0</v>
      </c>
      <c r="G2675" s="40"/>
    </row>
    <row r="2676" spans="1:7" ht="12.75" hidden="1" customHeight="1">
      <c r="A2676" s="39" t="s">
        <v>109</v>
      </c>
      <c r="B2676" s="43"/>
      <c r="C2676" s="44">
        <f t="shared" si="119"/>
        <v>0</v>
      </c>
      <c r="D2676" s="44">
        <f t="shared" si="119"/>
        <v>0</v>
      </c>
      <c r="E2676" s="44">
        <f t="shared" si="120"/>
        <v>0</v>
      </c>
      <c r="F2676" s="44">
        <f t="shared" si="121"/>
        <v>0</v>
      </c>
      <c r="G2676" s="40"/>
    </row>
    <row r="2677" spans="1:7" ht="12.75" hidden="1" customHeight="1">
      <c r="A2677" s="39" t="s">
        <v>110</v>
      </c>
      <c r="B2677" s="43"/>
      <c r="C2677" s="44">
        <f t="shared" si="119"/>
        <v>0</v>
      </c>
      <c r="D2677" s="44">
        <f t="shared" si="119"/>
        <v>0</v>
      </c>
      <c r="E2677" s="44">
        <f t="shared" si="120"/>
        <v>0</v>
      </c>
      <c r="F2677" s="44">
        <f t="shared" si="121"/>
        <v>0</v>
      </c>
      <c r="G2677" s="40"/>
    </row>
    <row r="2678" spans="1:7" ht="12.75" hidden="1" customHeight="1">
      <c r="A2678" s="58" t="s">
        <v>656</v>
      </c>
      <c r="B2678" s="121">
        <v>5</v>
      </c>
      <c r="C2678" s="181">
        <f t="shared" si="119"/>
        <v>8391.875955056179</v>
      </c>
      <c r="D2678" s="181">
        <f t="shared" si="119"/>
        <v>8577.918941645521</v>
      </c>
      <c r="E2678" s="181">
        <f t="shared" si="120"/>
        <v>5266.2295179412831</v>
      </c>
      <c r="F2678" s="181">
        <f t="shared" si="121"/>
        <v>22236.024414642983</v>
      </c>
      <c r="G2678" s="40"/>
    </row>
    <row r="2679" spans="1:7" ht="12.75" hidden="1" customHeight="1">
      <c r="A2679" s="58" t="s">
        <v>652</v>
      </c>
      <c r="B2679" s="121">
        <v>6</v>
      </c>
      <c r="C2679" s="181">
        <f t="shared" ref="C2679:D2698" si="122">B2679/B$2719*C$2717</f>
        <v>10070.251146067416</v>
      </c>
      <c r="D2679" s="181">
        <f t="shared" si="122"/>
        <v>10293.502729974627</v>
      </c>
      <c r="E2679" s="181">
        <f t="shared" si="120"/>
        <v>6319.4754215295397</v>
      </c>
      <c r="F2679" s="181">
        <f t="shared" si="121"/>
        <v>26683.229297571583</v>
      </c>
      <c r="G2679" s="40"/>
    </row>
    <row r="2680" spans="1:7" ht="12.75" hidden="1" customHeight="1">
      <c r="A2680" s="39" t="s">
        <v>409</v>
      </c>
      <c r="B2680" s="43"/>
      <c r="C2680" s="44">
        <f t="shared" si="122"/>
        <v>0</v>
      </c>
      <c r="D2680" s="44">
        <f t="shared" si="122"/>
        <v>0</v>
      </c>
      <c r="E2680" s="44">
        <f t="shared" si="120"/>
        <v>0</v>
      </c>
      <c r="F2680" s="44">
        <f t="shared" si="121"/>
        <v>0</v>
      </c>
      <c r="G2680" s="40"/>
    </row>
    <row r="2681" spans="1:7" ht="12.75" hidden="1" customHeight="1">
      <c r="A2681" s="39" t="s">
        <v>501</v>
      </c>
      <c r="B2681" s="43"/>
      <c r="C2681" s="44">
        <f t="shared" si="122"/>
        <v>0</v>
      </c>
      <c r="D2681" s="44">
        <f t="shared" si="122"/>
        <v>0</v>
      </c>
      <c r="E2681" s="44">
        <f t="shared" si="120"/>
        <v>0</v>
      </c>
      <c r="F2681" s="44">
        <f t="shared" si="121"/>
        <v>0</v>
      </c>
      <c r="G2681" s="40"/>
    </row>
    <row r="2682" spans="1:7" ht="12.75" hidden="1" customHeight="1">
      <c r="A2682" s="39" t="s">
        <v>645</v>
      </c>
      <c r="B2682" s="43">
        <v>7.5</v>
      </c>
      <c r="C2682" s="66">
        <f t="shared" si="122"/>
        <v>12587.813932584269</v>
      </c>
      <c r="D2682" s="66">
        <f t="shared" si="122"/>
        <v>12866.878412468282</v>
      </c>
      <c r="E2682" s="66">
        <f t="shared" si="120"/>
        <v>7899.3442769119247</v>
      </c>
      <c r="F2682" s="44">
        <f t="shared" si="121"/>
        <v>33354.036621964478</v>
      </c>
      <c r="G2682" s="40"/>
    </row>
    <row r="2683" spans="1:7" ht="12.75" hidden="1" customHeight="1">
      <c r="A2683" s="39" t="s">
        <v>116</v>
      </c>
      <c r="B2683" s="43"/>
      <c r="C2683" s="44">
        <f t="shared" si="122"/>
        <v>0</v>
      </c>
      <c r="D2683" s="44">
        <f t="shared" si="122"/>
        <v>0</v>
      </c>
      <c r="E2683" s="44">
        <f t="shared" si="120"/>
        <v>0</v>
      </c>
      <c r="F2683" s="44">
        <f t="shared" si="121"/>
        <v>0</v>
      </c>
      <c r="G2683" s="40"/>
    </row>
    <row r="2684" spans="1:7" ht="12.75" hidden="1" customHeight="1">
      <c r="A2684" s="39" t="s">
        <v>117</v>
      </c>
      <c r="B2684" s="43"/>
      <c r="C2684" s="44">
        <f t="shared" si="122"/>
        <v>0</v>
      </c>
      <c r="D2684" s="44">
        <f t="shared" si="122"/>
        <v>0</v>
      </c>
      <c r="E2684" s="44">
        <f t="shared" si="120"/>
        <v>0</v>
      </c>
      <c r="F2684" s="44">
        <f t="shared" si="121"/>
        <v>0</v>
      </c>
      <c r="G2684" s="40"/>
    </row>
    <row r="2685" spans="1:7" ht="12.75" hidden="1" customHeight="1">
      <c r="A2685" s="39" t="s">
        <v>118</v>
      </c>
      <c r="B2685" s="45"/>
      <c r="C2685" s="44">
        <f t="shared" si="122"/>
        <v>0</v>
      </c>
      <c r="D2685" s="44">
        <f t="shared" si="122"/>
        <v>0</v>
      </c>
      <c r="E2685" s="44">
        <f t="shared" si="120"/>
        <v>0</v>
      </c>
      <c r="F2685" s="44">
        <f t="shared" si="121"/>
        <v>0</v>
      </c>
      <c r="G2685" s="40"/>
    </row>
    <row r="2686" spans="1:7" ht="12.75" hidden="1" customHeight="1">
      <c r="A2686" s="39" t="s">
        <v>643</v>
      </c>
      <c r="B2686" s="43">
        <v>23</v>
      </c>
      <c r="C2686" s="66">
        <f t="shared" si="122"/>
        <v>38602.629393258423</v>
      </c>
      <c r="D2686" s="66">
        <f t="shared" si="122"/>
        <v>39458.427131569399</v>
      </c>
      <c r="E2686" s="66">
        <f t="shared" si="120"/>
        <v>24224.655782529902</v>
      </c>
      <c r="F2686" s="44">
        <f t="shared" si="121"/>
        <v>102285.71230735772</v>
      </c>
      <c r="G2686" s="40"/>
    </row>
    <row r="2687" spans="1:7" ht="12.75" hidden="1" customHeight="1">
      <c r="A2687" s="58" t="s">
        <v>643</v>
      </c>
      <c r="B2687" s="59">
        <v>10</v>
      </c>
      <c r="C2687" s="181">
        <f t="shared" si="122"/>
        <v>16783.751910112358</v>
      </c>
      <c r="D2687" s="181">
        <f t="shared" si="122"/>
        <v>17155.837883291042</v>
      </c>
      <c r="E2687" s="181">
        <f t="shared" si="120"/>
        <v>10532.459035882566</v>
      </c>
      <c r="F2687" s="181">
        <f t="shared" si="121"/>
        <v>44472.048829285966</v>
      </c>
      <c r="G2687" s="40"/>
    </row>
    <row r="2688" spans="1:7" ht="12.75" hidden="1" customHeight="1">
      <c r="A2688" s="39" t="s">
        <v>120</v>
      </c>
      <c r="B2688" s="45"/>
      <c r="C2688" s="44">
        <f t="shared" si="122"/>
        <v>0</v>
      </c>
      <c r="D2688" s="44">
        <f t="shared" si="122"/>
        <v>0</v>
      </c>
      <c r="E2688" s="44">
        <f t="shared" si="120"/>
        <v>0</v>
      </c>
      <c r="F2688" s="44">
        <f t="shared" si="121"/>
        <v>0</v>
      </c>
      <c r="G2688" s="40"/>
    </row>
    <row r="2689" spans="1:7" ht="12.75" hidden="1" customHeight="1">
      <c r="A2689" s="39" t="s">
        <v>121</v>
      </c>
      <c r="B2689" s="45"/>
      <c r="C2689" s="44">
        <f t="shared" si="122"/>
        <v>0</v>
      </c>
      <c r="D2689" s="44">
        <f t="shared" si="122"/>
        <v>0</v>
      </c>
      <c r="E2689" s="44">
        <f t="shared" si="120"/>
        <v>0</v>
      </c>
      <c r="F2689" s="44">
        <f t="shared" si="121"/>
        <v>0</v>
      </c>
      <c r="G2689" s="40"/>
    </row>
    <row r="2690" spans="1:7" ht="12.75" hidden="1" customHeight="1">
      <c r="A2690" s="39" t="s">
        <v>122</v>
      </c>
      <c r="B2690" s="43"/>
      <c r="C2690" s="44">
        <f t="shared" si="122"/>
        <v>0</v>
      </c>
      <c r="D2690" s="44">
        <f t="shared" si="122"/>
        <v>0</v>
      </c>
      <c r="E2690" s="44">
        <f t="shared" si="120"/>
        <v>0</v>
      </c>
      <c r="F2690" s="44">
        <f t="shared" si="121"/>
        <v>0</v>
      </c>
      <c r="G2690" s="40"/>
    </row>
    <row r="2691" spans="1:7" ht="12.75" hidden="1" customHeight="1">
      <c r="A2691" s="39" t="s">
        <v>123</v>
      </c>
      <c r="B2691" s="43"/>
      <c r="C2691" s="44">
        <f t="shared" si="122"/>
        <v>0</v>
      </c>
      <c r="D2691" s="44">
        <f t="shared" si="122"/>
        <v>0</v>
      </c>
      <c r="E2691" s="44">
        <f t="shared" si="120"/>
        <v>0</v>
      </c>
      <c r="F2691" s="44">
        <f t="shared" si="121"/>
        <v>0</v>
      </c>
      <c r="G2691" s="40"/>
    </row>
    <row r="2692" spans="1:7" ht="12.75" hidden="1" customHeight="1">
      <c r="A2692" s="39" t="s">
        <v>124</v>
      </c>
      <c r="B2692" s="43"/>
      <c r="C2692" s="44">
        <f t="shared" si="122"/>
        <v>0</v>
      </c>
      <c r="D2692" s="44">
        <f t="shared" si="122"/>
        <v>0</v>
      </c>
      <c r="E2692" s="44">
        <f t="shared" si="120"/>
        <v>0</v>
      </c>
      <c r="F2692" s="44">
        <f t="shared" si="121"/>
        <v>0</v>
      </c>
      <c r="G2692" s="40"/>
    </row>
    <row r="2693" spans="1:7" ht="12.75" hidden="1" customHeight="1">
      <c r="A2693" s="39" t="s">
        <v>125</v>
      </c>
      <c r="B2693" s="43"/>
      <c r="C2693" s="44">
        <f t="shared" si="122"/>
        <v>0</v>
      </c>
      <c r="D2693" s="44">
        <f t="shared" si="122"/>
        <v>0</v>
      </c>
      <c r="E2693" s="44">
        <f t="shared" si="120"/>
        <v>0</v>
      </c>
      <c r="F2693" s="44">
        <f t="shared" si="121"/>
        <v>0</v>
      </c>
      <c r="G2693" s="40"/>
    </row>
    <row r="2694" spans="1:7" ht="12.75" hidden="1" customHeight="1">
      <c r="A2694" s="39" t="s">
        <v>126</v>
      </c>
      <c r="B2694" s="45"/>
      <c r="C2694" s="44">
        <f t="shared" si="122"/>
        <v>0</v>
      </c>
      <c r="D2694" s="44">
        <f t="shared" si="122"/>
        <v>0</v>
      </c>
      <c r="E2694" s="44">
        <f t="shared" si="120"/>
        <v>0</v>
      </c>
      <c r="F2694" s="44">
        <f t="shared" si="121"/>
        <v>0</v>
      </c>
      <c r="G2694" s="40"/>
    </row>
    <row r="2695" spans="1:7" ht="12.75" hidden="1" customHeight="1">
      <c r="A2695" s="39" t="s">
        <v>127</v>
      </c>
      <c r="B2695" s="43"/>
      <c r="C2695" s="44">
        <f t="shared" si="122"/>
        <v>0</v>
      </c>
      <c r="D2695" s="44">
        <f t="shared" si="122"/>
        <v>0</v>
      </c>
      <c r="E2695" s="44">
        <f t="shared" si="120"/>
        <v>0</v>
      </c>
      <c r="F2695" s="44">
        <f t="shared" si="121"/>
        <v>0</v>
      </c>
      <c r="G2695" s="40"/>
    </row>
    <row r="2696" spans="1:7" ht="12.75" hidden="1" customHeight="1">
      <c r="A2696" s="39" t="s">
        <v>648</v>
      </c>
      <c r="B2696" s="43">
        <v>7</v>
      </c>
      <c r="C2696" s="66">
        <f t="shared" si="122"/>
        <v>11748.626337078651</v>
      </c>
      <c r="D2696" s="66">
        <f t="shared" si="122"/>
        <v>12009.086518303731</v>
      </c>
      <c r="E2696" s="66">
        <f t="shared" si="120"/>
        <v>7372.7213251177973</v>
      </c>
      <c r="F2696" s="44">
        <f t="shared" si="121"/>
        <v>31130.434180500179</v>
      </c>
      <c r="G2696" s="40"/>
    </row>
    <row r="2697" spans="1:7" ht="12.75" hidden="1" customHeight="1">
      <c r="A2697" s="39" t="s">
        <v>129</v>
      </c>
      <c r="B2697" s="45"/>
      <c r="C2697" s="44">
        <f t="shared" si="122"/>
        <v>0</v>
      </c>
      <c r="D2697" s="44">
        <f t="shared" si="122"/>
        <v>0</v>
      </c>
      <c r="E2697" s="44">
        <f t="shared" si="120"/>
        <v>0</v>
      </c>
      <c r="F2697" s="44">
        <f t="shared" si="121"/>
        <v>0</v>
      </c>
      <c r="G2697" s="40"/>
    </row>
    <row r="2698" spans="1:7" ht="12.75" hidden="1" customHeight="1">
      <c r="A2698" s="39" t="s">
        <v>651</v>
      </c>
      <c r="B2698" s="45">
        <v>44</v>
      </c>
      <c r="C2698" s="66">
        <f t="shared" si="122"/>
        <v>73848.50840449438</v>
      </c>
      <c r="D2698" s="66">
        <f t="shared" si="122"/>
        <v>75485.686686480592</v>
      </c>
      <c r="E2698" s="66">
        <f t="shared" si="120"/>
        <v>46342.819757883291</v>
      </c>
      <c r="F2698" s="44">
        <f t="shared" si="121"/>
        <v>195677.01484885826</v>
      </c>
      <c r="G2698" s="40"/>
    </row>
    <row r="2699" spans="1:7" ht="12.75" hidden="1" customHeight="1">
      <c r="A2699" s="39" t="s">
        <v>649</v>
      </c>
      <c r="B2699" s="45">
        <v>17.5</v>
      </c>
      <c r="C2699" s="66">
        <f t="shared" ref="C2699:D2706" si="123">B2699/B$2719*C$2717</f>
        <v>29371.565842696626</v>
      </c>
      <c r="D2699" s="66">
        <f t="shared" si="123"/>
        <v>30022.716295759325</v>
      </c>
      <c r="E2699" s="66">
        <f t="shared" si="120"/>
        <v>18431.803312794491</v>
      </c>
      <c r="F2699" s="44">
        <f t="shared" si="121"/>
        <v>77826.085451250445</v>
      </c>
      <c r="G2699" s="40"/>
    </row>
    <row r="2700" spans="1:7" ht="12.75" hidden="1" customHeight="1">
      <c r="A2700" s="39" t="s">
        <v>132</v>
      </c>
      <c r="B2700" s="43"/>
      <c r="C2700" s="44">
        <f t="shared" si="123"/>
        <v>0</v>
      </c>
      <c r="D2700" s="44">
        <f t="shared" si="123"/>
        <v>0</v>
      </c>
      <c r="E2700" s="44">
        <f t="shared" si="120"/>
        <v>0</v>
      </c>
      <c r="F2700" s="44">
        <f t="shared" si="121"/>
        <v>0</v>
      </c>
      <c r="G2700" s="40"/>
    </row>
    <row r="2701" spans="1:7" ht="12.75" hidden="1" customHeight="1">
      <c r="A2701" s="39" t="s">
        <v>133</v>
      </c>
      <c r="B2701" s="43"/>
      <c r="C2701" s="44">
        <f t="shared" si="123"/>
        <v>0</v>
      </c>
      <c r="D2701" s="44">
        <f t="shared" si="123"/>
        <v>0</v>
      </c>
      <c r="E2701" s="44">
        <f t="shared" si="120"/>
        <v>0</v>
      </c>
      <c r="F2701" s="44">
        <f t="shared" si="121"/>
        <v>0</v>
      </c>
      <c r="G2701" s="40"/>
    </row>
    <row r="2702" spans="1:7" ht="12.75" hidden="1" customHeight="1">
      <c r="A2702" s="39" t="s">
        <v>134</v>
      </c>
      <c r="B2702" s="45"/>
      <c r="C2702" s="44">
        <f t="shared" si="123"/>
        <v>0</v>
      </c>
      <c r="D2702" s="44">
        <f t="shared" si="123"/>
        <v>0</v>
      </c>
      <c r="E2702" s="44">
        <f t="shared" si="120"/>
        <v>0</v>
      </c>
      <c r="F2702" s="44">
        <f t="shared" si="121"/>
        <v>0</v>
      </c>
      <c r="G2702" s="40"/>
    </row>
    <row r="2703" spans="1:7" ht="12.75" hidden="1" customHeight="1">
      <c r="A2703" s="39" t="s">
        <v>135</v>
      </c>
      <c r="B2703" s="45"/>
      <c r="C2703" s="44">
        <f t="shared" si="123"/>
        <v>0</v>
      </c>
      <c r="D2703" s="44">
        <f t="shared" si="123"/>
        <v>0</v>
      </c>
      <c r="E2703" s="44">
        <f t="shared" si="120"/>
        <v>0</v>
      </c>
      <c r="F2703" s="44">
        <f t="shared" si="121"/>
        <v>0</v>
      </c>
      <c r="G2703" s="40"/>
    </row>
    <row r="2704" spans="1:7" ht="12.75" hidden="1" customHeight="1">
      <c r="A2704" s="39" t="s">
        <v>136</v>
      </c>
      <c r="B2704" s="43"/>
      <c r="C2704" s="44">
        <f t="shared" si="123"/>
        <v>0</v>
      </c>
      <c r="D2704" s="44">
        <f t="shared" si="123"/>
        <v>0</v>
      </c>
      <c r="E2704" s="44">
        <f t="shared" si="120"/>
        <v>0</v>
      </c>
      <c r="F2704" s="44">
        <f t="shared" si="121"/>
        <v>0</v>
      </c>
      <c r="G2704" s="40"/>
    </row>
    <row r="2705" spans="1:7" ht="12.75" hidden="1" customHeight="1">
      <c r="A2705" s="39" t="s">
        <v>137</v>
      </c>
      <c r="B2705" s="45"/>
      <c r="C2705" s="44">
        <f t="shared" si="123"/>
        <v>0</v>
      </c>
      <c r="D2705" s="44">
        <f t="shared" si="123"/>
        <v>0</v>
      </c>
      <c r="E2705" s="44">
        <f t="shared" si="120"/>
        <v>0</v>
      </c>
      <c r="F2705" s="44">
        <f t="shared" si="121"/>
        <v>0</v>
      </c>
      <c r="G2705" s="40"/>
    </row>
    <row r="2706" spans="1:7" ht="12.75" hidden="1" customHeight="1">
      <c r="A2706" s="39" t="s">
        <v>650</v>
      </c>
      <c r="B2706" s="45">
        <v>11.5</v>
      </c>
      <c r="C2706" s="66">
        <f t="shared" si="123"/>
        <v>19301.314696629212</v>
      </c>
      <c r="D2706" s="66">
        <f t="shared" si="123"/>
        <v>19729.213565784699</v>
      </c>
      <c r="E2706" s="66">
        <f t="shared" si="120"/>
        <v>12112.327891264951</v>
      </c>
      <c r="F2706" s="44">
        <f t="shared" si="121"/>
        <v>51142.856153678862</v>
      </c>
      <c r="G2706" s="40"/>
    </row>
    <row r="2707" spans="1:7" ht="12.75" hidden="1" customHeight="1">
      <c r="A2707" s="39" t="s">
        <v>138</v>
      </c>
      <c r="B2707" s="45"/>
      <c r="C2707" s="44"/>
      <c r="D2707" s="44"/>
      <c r="E2707" s="44"/>
      <c r="F2707" s="44"/>
      <c r="G2707" s="40"/>
    </row>
    <row r="2708" spans="1:7" ht="12.75" hidden="1" customHeight="1">
      <c r="A2708" s="39" t="s">
        <v>502</v>
      </c>
      <c r="B2708" s="45"/>
      <c r="C2708" s="44"/>
      <c r="D2708" s="44"/>
      <c r="E2708" s="44"/>
      <c r="F2708" s="44"/>
      <c r="G2708" s="40"/>
    </row>
    <row r="2709" spans="1:7" ht="12.75" hidden="1" customHeight="1">
      <c r="A2709" s="39" t="s">
        <v>503</v>
      </c>
      <c r="B2709" s="45"/>
      <c r="C2709" s="44"/>
      <c r="D2709" s="44"/>
      <c r="E2709" s="44"/>
      <c r="F2709" s="44"/>
      <c r="G2709" s="40"/>
    </row>
    <row r="2710" spans="1:7" ht="12.75" hidden="1" customHeight="1">
      <c r="A2710" s="46" t="s">
        <v>140</v>
      </c>
      <c r="B2710" s="45"/>
      <c r="C2710" s="44"/>
      <c r="D2710" s="44"/>
      <c r="E2710" s="44"/>
      <c r="F2710" s="44"/>
      <c r="G2710" s="40"/>
    </row>
    <row r="2711" spans="1:7" ht="12.75" hidden="1" customHeight="1">
      <c r="A2711" s="46" t="s">
        <v>141</v>
      </c>
      <c r="B2711" s="45"/>
      <c r="C2711" s="44"/>
      <c r="D2711" s="44"/>
      <c r="E2711" s="44"/>
      <c r="F2711" s="44"/>
      <c r="G2711" s="40"/>
    </row>
    <row r="2712" spans="1:7" ht="12.75" hidden="1" customHeight="1">
      <c r="A2712" s="46" t="s">
        <v>142</v>
      </c>
      <c r="B2712" s="45"/>
      <c r="C2712" s="44"/>
      <c r="D2712" s="44"/>
      <c r="E2712" s="44"/>
      <c r="F2712" s="44"/>
      <c r="G2712" s="40"/>
    </row>
    <row r="2713" spans="1:7" ht="12.75" hidden="1" customHeight="1">
      <c r="A2713" s="46" t="s">
        <v>143</v>
      </c>
      <c r="B2713" s="45"/>
      <c r="C2713" s="44"/>
      <c r="D2713" s="44"/>
      <c r="E2713" s="44"/>
      <c r="F2713" s="44"/>
      <c r="G2713" s="40"/>
    </row>
    <row r="2714" spans="1:7" ht="12.75" hidden="1" customHeight="1">
      <c r="A2714" s="46" t="s">
        <v>146</v>
      </c>
      <c r="B2714" s="45"/>
      <c r="C2714" s="44"/>
      <c r="D2714" s="44"/>
      <c r="E2714" s="44"/>
      <c r="F2714" s="44"/>
      <c r="G2714" s="40"/>
    </row>
    <row r="2715" spans="1:7" ht="12.75" hidden="1" customHeight="1">
      <c r="A2715" s="46" t="s">
        <v>147</v>
      </c>
      <c r="B2715" s="45"/>
      <c r="C2715" s="44"/>
      <c r="D2715" s="44"/>
      <c r="E2715" s="44"/>
      <c r="F2715" s="44"/>
      <c r="G2715" s="40"/>
    </row>
    <row r="2716" spans="1:7" ht="12.75" hidden="1" customHeight="1">
      <c r="A2716" s="46" t="s">
        <v>148</v>
      </c>
      <c r="B2716" s="45"/>
      <c r="C2716" s="44"/>
      <c r="D2716" s="44"/>
      <c r="E2716" s="44"/>
      <c r="F2716" s="44"/>
      <c r="G2716" s="40"/>
    </row>
    <row r="2717" spans="1:7" ht="12.75" hidden="1" customHeight="1">
      <c r="A2717" s="126" t="s">
        <v>526</v>
      </c>
      <c r="B2717" s="47"/>
      <c r="C2717" s="44">
        <f>C2719-C2718</f>
        <v>373438.48</v>
      </c>
      <c r="D2717" s="44">
        <f>D2719-D2718</f>
        <v>381717.39290322573</v>
      </c>
      <c r="E2717" s="44">
        <f>E2719-E2718</f>
        <v>234347.21354838711</v>
      </c>
      <c r="F2717" s="44">
        <f>F2719-F2718</f>
        <v>989503.086451613</v>
      </c>
      <c r="G2717" s="40"/>
    </row>
    <row r="2718" spans="1:7" ht="12.75" hidden="1" customHeight="1">
      <c r="A2718" s="126" t="s">
        <v>601</v>
      </c>
      <c r="B2718" s="47"/>
      <c r="C2718" s="44">
        <v>0</v>
      </c>
      <c r="D2718" s="44">
        <v>181770.1870967742</v>
      </c>
      <c r="E2718" s="44">
        <v>51422.806451612902</v>
      </c>
      <c r="F2718" s="44">
        <f>SUM(C2718:E2718)</f>
        <v>233192.99354838711</v>
      </c>
      <c r="G2718" s="40"/>
    </row>
    <row r="2719" spans="1:7" ht="12.75" hidden="1" customHeight="1">
      <c r="A2719" s="48" t="s">
        <v>150</v>
      </c>
      <c r="B2719" s="48">
        <f>SUM(B2659:B2706)</f>
        <v>222.5</v>
      </c>
      <c r="C2719" s="49">
        <f>373438.48</f>
        <v>373438.48</v>
      </c>
      <c r="D2719" s="50">
        <f>43781.4+352623.5+70338.88+86449.2+10294.6</f>
        <v>563487.57999999996</v>
      </c>
      <c r="E2719" s="50">
        <f>285770.02</f>
        <v>285770.02</v>
      </c>
      <c r="F2719" s="50">
        <f>SUM(C2719:E2719)</f>
        <v>1222696.08</v>
      </c>
      <c r="G2719" s="40"/>
    </row>
    <row r="2720" spans="1:7" ht="12.75" hidden="1" customHeight="1">
      <c r="A2720" s="180"/>
      <c r="B2720" s="106"/>
      <c r="C2720" s="106"/>
      <c r="D2720" s="106"/>
      <c r="E2720" s="106"/>
      <c r="F2720" s="106"/>
      <c r="G2720" s="107"/>
    </row>
    <row r="2721" spans="1:7" ht="12.75" hidden="1" customHeight="1">
      <c r="A2721" s="51"/>
      <c r="B2721" s="52"/>
      <c r="C2721" s="51"/>
      <c r="D2721" s="51"/>
      <c r="E2721" s="52"/>
      <c r="F2721" s="51"/>
      <c r="G2721" s="40"/>
    </row>
    <row r="2722" spans="1:7" ht="12.75" hidden="1" customHeight="1">
      <c r="A2722" s="51"/>
      <c r="B2722" s="52"/>
      <c r="C2722" s="51"/>
      <c r="D2722" s="51"/>
      <c r="E2722" s="52"/>
      <c r="F2722" s="51"/>
      <c r="G2722" s="40"/>
    </row>
    <row r="2723" spans="1:7" ht="12.75" hidden="1" customHeight="1">
      <c r="A2723" s="51"/>
      <c r="B2723" s="52"/>
      <c r="C2723" s="51"/>
      <c r="D2723" s="51"/>
      <c r="E2723" s="52"/>
      <c r="F2723" s="51"/>
      <c r="G2723" s="40"/>
    </row>
    <row r="2724" spans="1:7" ht="12.75" hidden="1" customHeight="1">
      <c r="A2724" s="269" t="s">
        <v>597</v>
      </c>
      <c r="B2724" s="269"/>
      <c r="C2724" s="269"/>
      <c r="D2724" s="269"/>
      <c r="E2724" s="269"/>
      <c r="F2724" s="269"/>
      <c r="G2724" s="40"/>
    </row>
    <row r="2725" spans="1:7" ht="12.75" hidden="1" customHeight="1">
      <c r="A2725" s="43" t="s">
        <v>86</v>
      </c>
      <c r="B2725" s="43" t="s">
        <v>87</v>
      </c>
      <c r="C2725" s="43" t="s">
        <v>88</v>
      </c>
      <c r="D2725" s="43" t="s">
        <v>89</v>
      </c>
      <c r="E2725" s="43" t="s">
        <v>90</v>
      </c>
      <c r="F2725" s="45" t="s">
        <v>152</v>
      </c>
      <c r="G2725" s="43" t="s">
        <v>91</v>
      </c>
    </row>
    <row r="2726" spans="1:7" ht="12.75" hidden="1" customHeight="1">
      <c r="A2726" s="39" t="s">
        <v>153</v>
      </c>
      <c r="B2726" s="43"/>
      <c r="C2726" s="42"/>
      <c r="D2726" s="42"/>
      <c r="E2726" s="42"/>
      <c r="F2726" s="45"/>
      <c r="G2726" s="42"/>
    </row>
    <row r="2727" spans="1:7" ht="12.75" hidden="1" customHeight="1">
      <c r="A2727" s="39" t="s">
        <v>154</v>
      </c>
      <c r="B2727" s="43"/>
      <c r="C2727" s="42"/>
      <c r="D2727" s="42"/>
      <c r="E2727" s="42"/>
      <c r="F2727" s="45"/>
      <c r="G2727" s="42"/>
    </row>
    <row r="2728" spans="1:7" ht="12.75" hidden="1" customHeight="1">
      <c r="A2728" s="39" t="s">
        <v>155</v>
      </c>
      <c r="B2728" s="43"/>
      <c r="C2728" s="42"/>
      <c r="D2728" s="42"/>
      <c r="E2728" s="42"/>
      <c r="F2728" s="45"/>
      <c r="G2728" s="42"/>
    </row>
    <row r="2729" spans="1:7" ht="12.75" hidden="1" customHeight="1">
      <c r="A2729" s="39" t="s">
        <v>156</v>
      </c>
      <c r="B2729" s="43"/>
      <c r="C2729" s="42"/>
      <c r="D2729" s="42"/>
      <c r="E2729" s="42"/>
      <c r="F2729" s="45"/>
      <c r="G2729" s="42"/>
    </row>
    <row r="2730" spans="1:7" ht="12.75" hidden="1" customHeight="1">
      <c r="A2730" s="39" t="s">
        <v>3</v>
      </c>
      <c r="B2730" s="43"/>
      <c r="C2730" s="42"/>
      <c r="D2730" s="42"/>
      <c r="E2730" s="42"/>
      <c r="F2730" s="45"/>
      <c r="G2730" s="42"/>
    </row>
    <row r="2731" spans="1:7" ht="12.75" hidden="1" customHeight="1">
      <c r="A2731" s="39" t="s">
        <v>4</v>
      </c>
      <c r="B2731" s="43"/>
      <c r="C2731" s="42"/>
      <c r="D2731" s="42"/>
      <c r="E2731" s="42"/>
      <c r="F2731" s="45"/>
      <c r="G2731" s="42"/>
    </row>
    <row r="2732" spans="1:7" ht="12.75" hidden="1" customHeight="1">
      <c r="A2732" s="39" t="s">
        <v>5</v>
      </c>
      <c r="B2732" s="43"/>
      <c r="C2732" s="42"/>
      <c r="D2732" s="42"/>
      <c r="E2732" s="42"/>
      <c r="F2732" s="45"/>
      <c r="G2732" s="42"/>
    </row>
    <row r="2733" spans="1:7" ht="12.75" hidden="1" customHeight="1">
      <c r="A2733" s="39" t="s">
        <v>157</v>
      </c>
      <c r="B2733" s="43"/>
      <c r="C2733" s="42"/>
      <c r="D2733" s="42"/>
      <c r="E2733" s="42"/>
      <c r="F2733" s="57"/>
      <c r="G2733" s="42"/>
    </row>
    <row r="2734" spans="1:7" ht="12.75" hidden="1" customHeight="1">
      <c r="A2734" s="39" t="s">
        <v>158</v>
      </c>
      <c r="B2734" s="43"/>
      <c r="C2734" s="42"/>
      <c r="D2734" s="42"/>
      <c r="E2734" s="42"/>
      <c r="F2734" s="57"/>
      <c r="G2734" s="42"/>
    </row>
    <row r="2735" spans="1:7" ht="12.75" hidden="1" customHeight="1">
      <c r="A2735" s="39" t="s">
        <v>159</v>
      </c>
      <c r="B2735" s="43"/>
      <c r="C2735" s="42"/>
      <c r="D2735" s="42"/>
      <c r="E2735" s="42"/>
      <c r="F2735" s="57"/>
      <c r="G2735" s="42"/>
    </row>
    <row r="2736" spans="1:7" ht="12.75" hidden="1" customHeight="1">
      <c r="A2736" s="39" t="s">
        <v>160</v>
      </c>
      <c r="B2736" s="43"/>
      <c r="C2736" s="42"/>
      <c r="D2736" s="42"/>
      <c r="E2736" s="42"/>
      <c r="F2736" s="57"/>
      <c r="G2736" s="42"/>
    </row>
    <row r="2737" spans="1:7" ht="12.75" hidden="1" customHeight="1">
      <c r="A2737" s="58" t="s">
        <v>616</v>
      </c>
      <c r="B2737" s="59">
        <v>22.5</v>
      </c>
      <c r="C2737" s="60">
        <f>B2737/B$2804*C$2804</f>
        <v>34106.545840554594</v>
      </c>
      <c r="D2737" s="60">
        <f>B2737/B$2804*D$2804</f>
        <v>35827.823916811089</v>
      </c>
      <c r="E2737" s="60">
        <f>B2737/B$2804*E$2804</f>
        <v>12317.976343154247</v>
      </c>
      <c r="F2737" s="61"/>
      <c r="G2737" s="60">
        <f>SUM(C2737:F2737)</f>
        <v>82252.346100519935</v>
      </c>
    </row>
    <row r="2738" spans="1:7" ht="12.75" hidden="1" customHeight="1">
      <c r="A2738" s="39" t="s">
        <v>6</v>
      </c>
      <c r="B2738" s="43"/>
      <c r="C2738" s="42"/>
      <c r="D2738" s="42"/>
      <c r="E2738" s="42"/>
      <c r="F2738" s="57"/>
      <c r="G2738" s="60">
        <f t="shared" ref="G2738:G2787" si="124">SUM(C2738:F2738)</f>
        <v>0</v>
      </c>
    </row>
    <row r="2739" spans="1:7" ht="12.75" hidden="1" customHeight="1">
      <c r="A2739" s="39" t="s">
        <v>7</v>
      </c>
      <c r="B2739" s="43"/>
      <c r="C2739" s="42"/>
      <c r="D2739" s="42"/>
      <c r="E2739" s="42"/>
      <c r="F2739" s="57"/>
      <c r="G2739" s="60">
        <f t="shared" si="124"/>
        <v>0</v>
      </c>
    </row>
    <row r="2740" spans="1:7" ht="12.75" hidden="1" customHeight="1">
      <c r="A2740" s="39" t="s">
        <v>162</v>
      </c>
      <c r="B2740" s="43"/>
      <c r="C2740" s="42"/>
      <c r="D2740" s="42"/>
      <c r="E2740" s="42"/>
      <c r="F2740" s="57"/>
      <c r="G2740" s="60">
        <f t="shared" si="124"/>
        <v>0</v>
      </c>
    </row>
    <row r="2741" spans="1:7" ht="12.75" hidden="1" customHeight="1">
      <c r="A2741" s="39" t="s">
        <v>401</v>
      </c>
      <c r="B2741" s="45"/>
      <c r="C2741" s="42"/>
      <c r="D2741" s="42"/>
      <c r="E2741" s="42"/>
      <c r="F2741" s="57"/>
      <c r="G2741" s="60">
        <f t="shared" si="124"/>
        <v>0</v>
      </c>
    </row>
    <row r="2742" spans="1:7" ht="12.75" hidden="1" customHeight="1">
      <c r="A2742" s="39" t="s">
        <v>402</v>
      </c>
      <c r="B2742" s="45"/>
      <c r="C2742" s="42"/>
      <c r="D2742" s="42"/>
      <c r="E2742" s="42"/>
      <c r="F2742" s="57"/>
      <c r="G2742" s="60">
        <f t="shared" si="124"/>
        <v>0</v>
      </c>
    </row>
    <row r="2743" spans="1:7" ht="12.75" hidden="1" customHeight="1">
      <c r="A2743" s="39" t="s">
        <v>604</v>
      </c>
      <c r="B2743" s="43">
        <v>22.5</v>
      </c>
      <c r="C2743" s="53">
        <f>B2743/B$2804*C$2804</f>
        <v>34106.545840554594</v>
      </c>
      <c r="D2743" s="53">
        <f>B2743/B$2804*D$2804</f>
        <v>35827.823916811089</v>
      </c>
      <c r="E2743" s="53">
        <f>B2743/B$2804*E$2804</f>
        <v>12317.976343154247</v>
      </c>
      <c r="F2743" s="57"/>
      <c r="G2743" s="42">
        <f t="shared" si="124"/>
        <v>82252.346100519935</v>
      </c>
    </row>
    <row r="2744" spans="1:7" ht="12.75" hidden="1" customHeight="1">
      <c r="A2744" s="39" t="s">
        <v>605</v>
      </c>
      <c r="B2744" s="43">
        <v>4.5</v>
      </c>
      <c r="C2744" s="53">
        <f>B2744/B$2804*C$2804</f>
        <v>6821.309168110919</v>
      </c>
      <c r="D2744" s="53">
        <f>B2744/B$2804*D$2804</f>
        <v>7165.5647833622188</v>
      </c>
      <c r="E2744" s="53">
        <f>B2744/B$2804*E$2804</f>
        <v>2463.5952686308497</v>
      </c>
      <c r="F2744" s="57"/>
      <c r="G2744" s="42">
        <f t="shared" si="124"/>
        <v>16450.469220103987</v>
      </c>
    </row>
    <row r="2745" spans="1:7" ht="12.75" hidden="1" customHeight="1">
      <c r="A2745" s="58" t="s">
        <v>605</v>
      </c>
      <c r="B2745" s="59">
        <v>4</v>
      </c>
      <c r="C2745" s="60">
        <f>B2745/B$2804*C$2804</f>
        <v>6063.3859272097052</v>
      </c>
      <c r="D2745" s="60">
        <f>B2745/B$2804*D$2804</f>
        <v>6369.3909185441935</v>
      </c>
      <c r="E2745" s="60">
        <f>B2745/B$2804*E$2804</f>
        <v>2189.8624610051993</v>
      </c>
      <c r="F2745" s="61"/>
      <c r="G2745" s="60">
        <f t="shared" si="124"/>
        <v>14622.639306759098</v>
      </c>
    </row>
    <row r="2746" spans="1:7" ht="12.75" hidden="1" customHeight="1">
      <c r="A2746" s="58" t="s">
        <v>617</v>
      </c>
      <c r="B2746" s="59">
        <v>6</v>
      </c>
      <c r="C2746" s="60">
        <f>B2746/B$2804*C$2804</f>
        <v>9095.0788908145587</v>
      </c>
      <c r="D2746" s="60">
        <f>B2746/B$2804*D$2804</f>
        <v>9554.0863778162911</v>
      </c>
      <c r="E2746" s="60">
        <f>B2746/B$2804*E$2804</f>
        <v>3284.7936915077994</v>
      </c>
      <c r="F2746" s="61"/>
      <c r="G2746" s="60">
        <f t="shared" si="124"/>
        <v>21933.958960138651</v>
      </c>
    </row>
    <row r="2747" spans="1:7" ht="12.75" hidden="1" customHeight="1">
      <c r="A2747" s="39" t="s">
        <v>11</v>
      </c>
      <c r="B2747" s="43"/>
      <c r="C2747" s="42"/>
      <c r="D2747" s="42"/>
      <c r="E2747" s="42"/>
      <c r="F2747" s="57"/>
      <c r="G2747" s="60">
        <f t="shared" si="124"/>
        <v>0</v>
      </c>
    </row>
    <row r="2748" spans="1:7" ht="12.75" hidden="1" customHeight="1">
      <c r="A2748" s="39" t="s">
        <v>164</v>
      </c>
      <c r="B2748" s="43"/>
      <c r="C2748" s="42"/>
      <c r="D2748" s="42"/>
      <c r="E2748" s="42"/>
      <c r="F2748" s="57"/>
      <c r="G2748" s="60">
        <f t="shared" si="124"/>
        <v>0</v>
      </c>
    </row>
    <row r="2749" spans="1:7" ht="12.75" hidden="1" customHeight="1">
      <c r="A2749" s="39" t="s">
        <v>606</v>
      </c>
      <c r="B2749" s="43">
        <v>24.5</v>
      </c>
      <c r="C2749" s="53">
        <f>B2749/B$2804*C$2804</f>
        <v>37138.238804159446</v>
      </c>
      <c r="D2749" s="53">
        <f>B2749/B$2804*D$2804</f>
        <v>39012.51937608319</v>
      </c>
      <c r="E2749" s="53">
        <f>B2749/B$2804*E$2804</f>
        <v>13412.907573656848</v>
      </c>
      <c r="F2749" s="57"/>
      <c r="G2749" s="42">
        <f t="shared" si="124"/>
        <v>89563.665753899491</v>
      </c>
    </row>
    <row r="2750" spans="1:7" ht="12.75" hidden="1" customHeight="1">
      <c r="A2750" s="39" t="s">
        <v>505</v>
      </c>
      <c r="B2750" s="43"/>
      <c r="C2750" s="42"/>
      <c r="D2750" s="42"/>
      <c r="E2750" s="42"/>
      <c r="F2750" s="57"/>
      <c r="G2750" s="42">
        <f t="shared" si="124"/>
        <v>0</v>
      </c>
    </row>
    <row r="2751" spans="1:7" ht="12.75" hidden="1" customHeight="1">
      <c r="A2751" s="39" t="s">
        <v>166</v>
      </c>
      <c r="B2751" s="43"/>
      <c r="C2751" s="42"/>
      <c r="D2751" s="42"/>
      <c r="E2751" s="42"/>
      <c r="F2751" s="57"/>
      <c r="G2751" s="42">
        <f t="shared" si="124"/>
        <v>0</v>
      </c>
    </row>
    <row r="2752" spans="1:7" ht="12.75" hidden="1" customHeight="1">
      <c r="A2752" s="39" t="s">
        <v>167</v>
      </c>
      <c r="B2752" s="43"/>
      <c r="C2752" s="42"/>
      <c r="D2752" s="42"/>
      <c r="E2752" s="42"/>
      <c r="F2752" s="57"/>
      <c r="G2752" s="42">
        <f t="shared" si="124"/>
        <v>0</v>
      </c>
    </row>
    <row r="2753" spans="1:7" ht="12.75" hidden="1" customHeight="1">
      <c r="A2753" s="39" t="s">
        <v>168</v>
      </c>
      <c r="B2753" s="43"/>
      <c r="C2753" s="42"/>
      <c r="D2753" s="42"/>
      <c r="E2753" s="42"/>
      <c r="F2753" s="57"/>
      <c r="G2753" s="42">
        <f t="shared" si="124"/>
        <v>0</v>
      </c>
    </row>
    <row r="2754" spans="1:7" ht="12.75" hidden="1" customHeight="1">
      <c r="A2754" s="39" t="s">
        <v>169</v>
      </c>
      <c r="B2754" s="43"/>
      <c r="C2754" s="42"/>
      <c r="D2754" s="42"/>
      <c r="E2754" s="42"/>
      <c r="F2754" s="57"/>
      <c r="G2754" s="42">
        <f t="shared" si="124"/>
        <v>0</v>
      </c>
    </row>
    <row r="2755" spans="1:7" ht="12.75" hidden="1" customHeight="1">
      <c r="A2755" s="39" t="s">
        <v>170</v>
      </c>
      <c r="B2755" s="43"/>
      <c r="C2755" s="42"/>
      <c r="D2755" s="42"/>
      <c r="E2755" s="42"/>
      <c r="F2755" s="57"/>
      <c r="G2755" s="42">
        <f t="shared" si="124"/>
        <v>0</v>
      </c>
    </row>
    <row r="2756" spans="1:7" ht="12.75" hidden="1" customHeight="1">
      <c r="A2756" s="39" t="s">
        <v>171</v>
      </c>
      <c r="B2756" s="43"/>
      <c r="C2756" s="42"/>
      <c r="D2756" s="42"/>
      <c r="E2756" s="42"/>
      <c r="F2756" s="57"/>
      <c r="G2756" s="42">
        <f t="shared" si="124"/>
        <v>0</v>
      </c>
    </row>
    <row r="2757" spans="1:7" ht="12.75" hidden="1" customHeight="1">
      <c r="A2757" s="39" t="s">
        <v>607</v>
      </c>
      <c r="B2757" s="45">
        <v>11</v>
      </c>
      <c r="C2757" s="53">
        <f>B2757/B$2804*C$2804</f>
        <v>16674.311299826688</v>
      </c>
      <c r="D2757" s="53">
        <f>B2757/B$2804*D$2804</f>
        <v>17515.825025996532</v>
      </c>
      <c r="E2757" s="53">
        <f>B2757/B$2804*E$2804</f>
        <v>6022.1217677642981</v>
      </c>
      <c r="F2757" s="57"/>
      <c r="G2757" s="42">
        <f t="shared" si="124"/>
        <v>40212.258093587516</v>
      </c>
    </row>
    <row r="2758" spans="1:7" ht="12.75" hidden="1" customHeight="1">
      <c r="A2758" s="39" t="s">
        <v>12</v>
      </c>
      <c r="B2758" s="43"/>
      <c r="C2758" s="42"/>
      <c r="D2758" s="42"/>
      <c r="E2758" s="42"/>
      <c r="F2758" s="57"/>
      <c r="G2758" s="42">
        <f t="shared" si="124"/>
        <v>0</v>
      </c>
    </row>
    <row r="2759" spans="1:7" ht="12.75" hidden="1" customHeight="1">
      <c r="A2759" s="39" t="s">
        <v>13</v>
      </c>
      <c r="B2759" s="43"/>
      <c r="C2759" s="42"/>
      <c r="D2759" s="42"/>
      <c r="E2759" s="42"/>
      <c r="F2759" s="57"/>
      <c r="G2759" s="42">
        <f t="shared" si="124"/>
        <v>0</v>
      </c>
    </row>
    <row r="2760" spans="1:7" ht="12.75" hidden="1" customHeight="1">
      <c r="A2760" s="39" t="s">
        <v>610</v>
      </c>
      <c r="B2760" s="43">
        <v>23.5</v>
      </c>
      <c r="C2760" s="53">
        <f>B2760/B$2804*C$2804</f>
        <v>35622.392322357024</v>
      </c>
      <c r="D2760" s="53">
        <f>B2760/B$2804*D$2804</f>
        <v>37420.171646447146</v>
      </c>
      <c r="E2760" s="53">
        <f>B2760/B$2804*E$2804</f>
        <v>12865.441958405549</v>
      </c>
      <c r="F2760" s="57"/>
      <c r="G2760" s="42">
        <f t="shared" si="124"/>
        <v>85908.005927209713</v>
      </c>
    </row>
    <row r="2761" spans="1:7" ht="12.75" hidden="1" customHeight="1">
      <c r="A2761" s="58" t="s">
        <v>610</v>
      </c>
      <c r="B2761" s="59">
        <v>11.5</v>
      </c>
      <c r="C2761" s="60">
        <f>B2761/B$2804*C$2804</f>
        <v>17432.234540727903</v>
      </c>
      <c r="D2761" s="60">
        <f>B2761/B$2804*D$2804</f>
        <v>18311.998890814557</v>
      </c>
      <c r="E2761" s="60">
        <f>B2761/B$2804*E$2804</f>
        <v>6295.854575389948</v>
      </c>
      <c r="F2761" s="61"/>
      <c r="G2761" s="60">
        <f t="shared" si="124"/>
        <v>42040.088006932405</v>
      </c>
    </row>
    <row r="2762" spans="1:7" ht="12.75" hidden="1" customHeight="1">
      <c r="A2762" s="39" t="s">
        <v>609</v>
      </c>
      <c r="B2762" s="43">
        <v>11</v>
      </c>
      <c r="C2762" s="53">
        <f>B2762/B$2804*C$2804</f>
        <v>16674.311299826688</v>
      </c>
      <c r="D2762" s="53">
        <f>B2762/B$2804*D$2804</f>
        <v>17515.825025996532</v>
      </c>
      <c r="E2762" s="53">
        <f>B2762/B$2804*E$2804</f>
        <v>6022.1217677642981</v>
      </c>
      <c r="F2762" s="57"/>
      <c r="G2762" s="42">
        <f t="shared" si="124"/>
        <v>40212.258093587516</v>
      </c>
    </row>
    <row r="2763" spans="1:7" ht="12.75" hidden="1" customHeight="1">
      <c r="A2763" s="58" t="s">
        <v>609</v>
      </c>
      <c r="B2763" s="59">
        <v>11.5</v>
      </c>
      <c r="C2763" s="60">
        <f>B2763/B$2804*C$2804</f>
        <v>17432.234540727903</v>
      </c>
      <c r="D2763" s="60">
        <f>B2763/B$2804*D$2804</f>
        <v>18311.998890814557</v>
      </c>
      <c r="E2763" s="60">
        <f>B2763/B$2804*E$2804</f>
        <v>6295.854575389948</v>
      </c>
      <c r="F2763" s="61"/>
      <c r="G2763" s="60">
        <f t="shared" si="124"/>
        <v>42040.088006932405</v>
      </c>
    </row>
    <row r="2764" spans="1:7" ht="12.75" hidden="1" customHeight="1">
      <c r="A2764" s="39" t="s">
        <v>16</v>
      </c>
      <c r="B2764" s="43"/>
      <c r="C2764" s="42"/>
      <c r="D2764" s="42"/>
      <c r="E2764" s="42"/>
      <c r="F2764" s="57"/>
      <c r="G2764" s="60">
        <f t="shared" si="124"/>
        <v>0</v>
      </c>
    </row>
    <row r="2765" spans="1:7" ht="12.75" hidden="1" customHeight="1">
      <c r="A2765" s="39" t="s">
        <v>173</v>
      </c>
      <c r="B2765" s="43"/>
      <c r="C2765" s="42"/>
      <c r="D2765" s="42"/>
      <c r="E2765" s="42"/>
      <c r="F2765" s="57"/>
      <c r="G2765" s="60">
        <f t="shared" si="124"/>
        <v>0</v>
      </c>
    </row>
    <row r="2766" spans="1:7" ht="12.75" hidden="1" customHeight="1">
      <c r="A2766" s="39" t="s">
        <v>174</v>
      </c>
      <c r="B2766" s="45"/>
      <c r="C2766" s="42"/>
      <c r="D2766" s="42"/>
      <c r="E2766" s="42"/>
      <c r="F2766" s="57"/>
      <c r="G2766" s="60">
        <f t="shared" si="124"/>
        <v>0</v>
      </c>
    </row>
    <row r="2767" spans="1:7" ht="12.75" hidden="1" customHeight="1">
      <c r="A2767" s="39" t="s">
        <v>175</v>
      </c>
      <c r="B2767" s="45"/>
      <c r="C2767" s="42"/>
      <c r="D2767" s="42"/>
      <c r="E2767" s="42"/>
      <c r="F2767" s="57"/>
      <c r="G2767" s="60">
        <f t="shared" si="124"/>
        <v>0</v>
      </c>
    </row>
    <row r="2768" spans="1:7" ht="12.75" hidden="1" customHeight="1">
      <c r="A2768" s="39" t="s">
        <v>611</v>
      </c>
      <c r="B2768" s="43">
        <v>21</v>
      </c>
      <c r="C2768" s="53">
        <f>B2768/B$2804*C$2804</f>
        <v>31832.776117850954</v>
      </c>
      <c r="D2768" s="53">
        <f>B2768/B$2804*D$2804</f>
        <v>33439.30232235702</v>
      </c>
      <c r="E2768" s="53">
        <f>B2768/B$2804*E$2804</f>
        <v>11496.777920277296</v>
      </c>
      <c r="F2768" s="57"/>
      <c r="G2768" s="42">
        <f t="shared" si="124"/>
        <v>76768.856360485268</v>
      </c>
    </row>
    <row r="2769" spans="1:7" ht="12.75" hidden="1" customHeight="1">
      <c r="A2769" s="39" t="s">
        <v>466</v>
      </c>
      <c r="B2769" s="43"/>
      <c r="C2769" s="42"/>
      <c r="D2769" s="42"/>
      <c r="E2769" s="42"/>
      <c r="F2769" s="57"/>
      <c r="G2769" s="60">
        <f t="shared" si="124"/>
        <v>0</v>
      </c>
    </row>
    <row r="2770" spans="1:7" ht="12.75" hidden="1" customHeight="1">
      <c r="A2770" s="222" t="s">
        <v>618</v>
      </c>
      <c r="B2770" s="59">
        <v>4.5</v>
      </c>
      <c r="C2770" s="60">
        <f>B2770/B$2804*C$2804</f>
        <v>6821.309168110919</v>
      </c>
      <c r="D2770" s="60">
        <f>B2770/B$2804*D$2804</f>
        <v>7165.5647833622188</v>
      </c>
      <c r="E2770" s="60">
        <f>B2770/B$2804*E$2804</f>
        <v>2463.5952686308497</v>
      </c>
      <c r="F2770" s="61">
        <f>4.5/9*F2804</f>
        <v>13407.1</v>
      </c>
      <c r="G2770" s="60">
        <f t="shared" si="124"/>
        <v>29857.569220103986</v>
      </c>
    </row>
    <row r="2771" spans="1:7" ht="12.75" hidden="1" customHeight="1">
      <c r="A2771" s="39" t="s">
        <v>608</v>
      </c>
      <c r="B2771" s="43">
        <v>35.5</v>
      </c>
      <c r="C2771" s="53">
        <f>B2771/B$2804*C$2804</f>
        <v>53812.550103986141</v>
      </c>
      <c r="D2771" s="53">
        <f>B2771/B$2804*D$2804</f>
        <v>56528.344402079725</v>
      </c>
      <c r="E2771" s="53">
        <f>B2771/B$2804*E$2804</f>
        <v>19435.029341421145</v>
      </c>
      <c r="F2771" s="57"/>
      <c r="G2771" s="42">
        <f t="shared" si="124"/>
        <v>129775.92384748702</v>
      </c>
    </row>
    <row r="2772" spans="1:7" ht="12.75" hidden="1" customHeight="1">
      <c r="A2772" s="39" t="s">
        <v>179</v>
      </c>
      <c r="B2772" s="43"/>
      <c r="C2772" s="42"/>
      <c r="D2772" s="42"/>
      <c r="E2772" s="42"/>
      <c r="F2772" s="57"/>
      <c r="G2772" s="60">
        <f t="shared" si="124"/>
        <v>0</v>
      </c>
    </row>
    <row r="2773" spans="1:7" ht="12.75" hidden="1" customHeight="1">
      <c r="A2773" s="39" t="s">
        <v>180</v>
      </c>
      <c r="B2773" s="43"/>
      <c r="C2773" s="42"/>
      <c r="D2773" s="42"/>
      <c r="E2773" s="42"/>
      <c r="F2773" s="57"/>
      <c r="G2773" s="60">
        <f t="shared" si="124"/>
        <v>0</v>
      </c>
    </row>
    <row r="2774" spans="1:7" ht="12.75" hidden="1" customHeight="1">
      <c r="A2774" s="222" t="s">
        <v>620</v>
      </c>
      <c r="B2774" s="59">
        <v>4</v>
      </c>
      <c r="C2774" s="60">
        <f>B2774/B$2804*C$2804</f>
        <v>6063.3859272097052</v>
      </c>
      <c r="D2774" s="60">
        <f>B2774/B$2804*D$2804</f>
        <v>6369.3909185441935</v>
      </c>
      <c r="E2774" s="60">
        <f>B2774/B$2804*E$2804</f>
        <v>2189.8624610051993</v>
      </c>
      <c r="F2774" s="61">
        <f>4/9*F2804</f>
        <v>11917.422222222222</v>
      </c>
      <c r="G2774" s="60">
        <f t="shared" si="124"/>
        <v>26540.061528981321</v>
      </c>
    </row>
    <row r="2775" spans="1:7" ht="12.75" hidden="1" customHeight="1">
      <c r="A2775" s="39" t="s">
        <v>182</v>
      </c>
      <c r="B2775" s="45"/>
      <c r="C2775" s="42"/>
      <c r="D2775" s="42"/>
      <c r="E2775" s="42"/>
      <c r="F2775" s="57"/>
      <c r="G2775" s="60">
        <f t="shared" si="124"/>
        <v>0</v>
      </c>
    </row>
    <row r="2776" spans="1:7" ht="12.75" hidden="1" customHeight="1">
      <c r="A2776" s="222" t="s">
        <v>619</v>
      </c>
      <c r="B2776" s="59">
        <v>0.5</v>
      </c>
      <c r="C2776" s="60">
        <f>B2776/B$2804*C$2804</f>
        <v>757.92324090121315</v>
      </c>
      <c r="D2776" s="60">
        <f>B2776/B$2804*D$2804</f>
        <v>796.17386481802419</v>
      </c>
      <c r="E2776" s="60">
        <f>B2776/B$2804*E$2804</f>
        <v>273.73280762564991</v>
      </c>
      <c r="F2776" s="61">
        <f>0.5/9*F2804</f>
        <v>1489.6777777777777</v>
      </c>
      <c r="G2776" s="60">
        <f t="shared" si="124"/>
        <v>3317.5076911226652</v>
      </c>
    </row>
    <row r="2777" spans="1:7" ht="12.75" hidden="1" customHeight="1">
      <c r="A2777" s="39" t="s">
        <v>615</v>
      </c>
      <c r="B2777" s="43">
        <v>4.5</v>
      </c>
      <c r="C2777" s="53">
        <f>B2777/B$2804*C$2804</f>
        <v>6821.309168110919</v>
      </c>
      <c r="D2777" s="53">
        <f>B2777/B$2804*D$2804</f>
        <v>7165.5647833622188</v>
      </c>
      <c r="E2777" s="53">
        <f>B2777/B$2804*E$2804</f>
        <v>2463.5952686308497</v>
      </c>
      <c r="F2777" s="57"/>
      <c r="G2777" s="42">
        <f t="shared" si="124"/>
        <v>16450.469220103987</v>
      </c>
    </row>
    <row r="2778" spans="1:7" ht="12.75" hidden="1" customHeight="1">
      <c r="A2778" s="39" t="s">
        <v>612</v>
      </c>
      <c r="B2778" s="43">
        <v>11</v>
      </c>
      <c r="C2778" s="53">
        <f>B2778/B$2804*C$2804</f>
        <v>16674.311299826688</v>
      </c>
      <c r="D2778" s="53">
        <f>B2778/B$2804*D$2804</f>
        <v>17515.825025996532</v>
      </c>
      <c r="E2778" s="53">
        <f>B2778/B$2804*E$2804</f>
        <v>6022.1217677642981</v>
      </c>
      <c r="F2778" s="57"/>
      <c r="G2778" s="42">
        <f t="shared" si="124"/>
        <v>40212.258093587516</v>
      </c>
    </row>
    <row r="2779" spans="1:7" ht="12.75" hidden="1" customHeight="1">
      <c r="A2779" s="39" t="s">
        <v>613</v>
      </c>
      <c r="B2779" s="43">
        <v>20</v>
      </c>
      <c r="C2779" s="53">
        <f>B2779/B$2804*C$2804</f>
        <v>30316.929636048528</v>
      </c>
      <c r="D2779" s="53">
        <f>B2779/B$2804*D$2804</f>
        <v>31846.954592720969</v>
      </c>
      <c r="E2779" s="53">
        <f>B2779/B$2804*E$2804</f>
        <v>10949.312305025996</v>
      </c>
      <c r="F2779" s="57"/>
      <c r="G2779" s="42">
        <f t="shared" si="124"/>
        <v>73113.196533795504</v>
      </c>
    </row>
    <row r="2780" spans="1:7" ht="12.75" hidden="1" customHeight="1">
      <c r="A2780" s="39" t="s">
        <v>187</v>
      </c>
      <c r="B2780" s="43"/>
      <c r="C2780" s="42"/>
      <c r="D2780" s="42"/>
      <c r="E2780" s="42"/>
      <c r="F2780" s="57"/>
      <c r="G2780" s="42">
        <f t="shared" si="124"/>
        <v>0</v>
      </c>
    </row>
    <row r="2781" spans="1:7" ht="12.75" hidden="1" customHeight="1">
      <c r="A2781" s="39" t="s">
        <v>188</v>
      </c>
      <c r="B2781" s="43"/>
      <c r="C2781" s="42"/>
      <c r="D2781" s="42"/>
      <c r="E2781" s="42"/>
      <c r="F2781" s="57"/>
      <c r="G2781" s="42">
        <f t="shared" si="124"/>
        <v>0</v>
      </c>
    </row>
    <row r="2782" spans="1:7" ht="12.75" hidden="1" customHeight="1">
      <c r="A2782" s="39" t="s">
        <v>189</v>
      </c>
      <c r="B2782" s="43"/>
      <c r="C2782" s="42"/>
      <c r="D2782" s="42"/>
      <c r="E2782" s="42"/>
      <c r="F2782" s="57"/>
      <c r="G2782" s="42">
        <f t="shared" si="124"/>
        <v>0</v>
      </c>
    </row>
    <row r="2783" spans="1:7" ht="12.75" hidden="1" customHeight="1">
      <c r="A2783" s="39" t="s">
        <v>614</v>
      </c>
      <c r="B2783" s="43">
        <v>20</v>
      </c>
      <c r="C2783" s="53">
        <f>B2783/B$2804*C$2804</f>
        <v>30316.929636048528</v>
      </c>
      <c r="D2783" s="53">
        <f>B2783/B$2804*D$2804</f>
        <v>31846.954592720969</v>
      </c>
      <c r="E2783" s="53">
        <f>B2783/B$2804*E$2804</f>
        <v>10949.312305025996</v>
      </c>
      <c r="F2783" s="57"/>
      <c r="G2783" s="42">
        <f t="shared" si="124"/>
        <v>73113.196533795504</v>
      </c>
    </row>
    <row r="2784" spans="1:7" ht="12.75" hidden="1" customHeight="1">
      <c r="A2784" s="58" t="s">
        <v>614</v>
      </c>
      <c r="B2784" s="59">
        <v>4</v>
      </c>
      <c r="C2784" s="60">
        <f>B2784/B$2804*C$2804</f>
        <v>6063.3859272097052</v>
      </c>
      <c r="D2784" s="60">
        <f>B2784/B$2804*D$2804</f>
        <v>6369.3909185441935</v>
      </c>
      <c r="E2784" s="60">
        <f>B2784/B$2804*E$2804</f>
        <v>2189.8624610051993</v>
      </c>
      <c r="F2784" s="61"/>
      <c r="G2784" s="60">
        <f t="shared" si="124"/>
        <v>14622.639306759098</v>
      </c>
    </row>
    <row r="2785" spans="1:7" ht="12.75" hidden="1" customHeight="1">
      <c r="A2785" s="39" t="s">
        <v>191</v>
      </c>
      <c r="B2785" s="45"/>
      <c r="C2785" s="42"/>
      <c r="D2785" s="42"/>
      <c r="E2785" s="42"/>
      <c r="F2785" s="57"/>
      <c r="G2785" s="60">
        <f t="shared" si="124"/>
        <v>0</v>
      </c>
    </row>
    <row r="2786" spans="1:7" ht="12.75" hidden="1" customHeight="1">
      <c r="A2786" s="39" t="s">
        <v>603</v>
      </c>
      <c r="B2786" s="45">
        <v>5</v>
      </c>
      <c r="C2786" s="53">
        <f>B2786/B$2804*C$2804</f>
        <v>7579.2324090121319</v>
      </c>
      <c r="D2786" s="53">
        <f>B2786/B$2804*D$2804</f>
        <v>7961.7386481802423</v>
      </c>
      <c r="E2786" s="53">
        <f>B2786/B$2804*E$2804</f>
        <v>2737.3280762564991</v>
      </c>
      <c r="F2786" s="45"/>
      <c r="G2786" s="42">
        <f t="shared" si="124"/>
        <v>18278.299133448876</v>
      </c>
    </row>
    <row r="2787" spans="1:7" ht="12.75" hidden="1" customHeight="1">
      <c r="A2787" s="58" t="s">
        <v>603</v>
      </c>
      <c r="B2787" s="121">
        <v>6</v>
      </c>
      <c r="C2787" s="60">
        <f>B2787/B$2804*C$2804</f>
        <v>9095.0788908145587</v>
      </c>
      <c r="D2787" s="60">
        <f>B2787/B$2804*D$2804</f>
        <v>9554.0863778162911</v>
      </c>
      <c r="E2787" s="60">
        <f>B2787/B$2804*E$2804</f>
        <v>3284.7936915077994</v>
      </c>
      <c r="F2787" s="121"/>
      <c r="G2787" s="60">
        <f t="shared" si="124"/>
        <v>21933.958960138651</v>
      </c>
    </row>
    <row r="2788" spans="1:7" ht="12.75" hidden="1" customHeight="1">
      <c r="A2788" s="39" t="s">
        <v>18</v>
      </c>
      <c r="B2788" s="43"/>
      <c r="C2788" s="42"/>
      <c r="D2788" s="42"/>
      <c r="E2788" s="42"/>
      <c r="F2788" s="45"/>
      <c r="G2788" s="42"/>
    </row>
    <row r="2789" spans="1:7" ht="12.75" hidden="1" customHeight="1">
      <c r="A2789" s="39" t="s">
        <v>192</v>
      </c>
      <c r="B2789" s="43"/>
      <c r="C2789" s="42"/>
      <c r="D2789" s="42"/>
      <c r="E2789" s="42"/>
      <c r="F2789" s="45"/>
      <c r="G2789" s="42"/>
    </row>
    <row r="2790" spans="1:7" ht="12.75" hidden="1" customHeight="1">
      <c r="A2790" s="39" t="s">
        <v>19</v>
      </c>
      <c r="B2790" s="43"/>
      <c r="C2790" s="42"/>
      <c r="D2790" s="42"/>
      <c r="E2790" s="42"/>
      <c r="F2790" s="45"/>
      <c r="G2790" s="42"/>
    </row>
    <row r="2791" spans="1:7" ht="12.75" hidden="1" customHeight="1">
      <c r="A2791" s="39" t="s">
        <v>193</v>
      </c>
      <c r="B2791" s="43"/>
      <c r="C2791" s="42"/>
      <c r="D2791" s="42"/>
      <c r="E2791" s="42"/>
      <c r="F2791" s="45"/>
      <c r="G2791" s="42"/>
    </row>
    <row r="2792" spans="1:7" ht="12.75" hidden="1" customHeight="1">
      <c r="A2792" s="39" t="s">
        <v>194</v>
      </c>
      <c r="B2792" s="43"/>
      <c r="C2792" s="42"/>
      <c r="D2792" s="42"/>
      <c r="E2792" s="42"/>
      <c r="F2792" s="45"/>
      <c r="G2792" s="42"/>
    </row>
    <row r="2793" spans="1:7" ht="12.75" hidden="1" customHeight="1">
      <c r="A2793" s="39" t="s">
        <v>195</v>
      </c>
      <c r="B2793" s="43"/>
      <c r="C2793" s="42"/>
      <c r="D2793" s="42"/>
      <c r="E2793" s="42"/>
      <c r="F2793" s="45"/>
      <c r="G2793" s="42"/>
    </row>
    <row r="2794" spans="1:7" ht="12.75" hidden="1" customHeight="1">
      <c r="A2794" s="39" t="s">
        <v>196</v>
      </c>
      <c r="B2794" s="43"/>
      <c r="C2794" s="42"/>
      <c r="D2794" s="42"/>
      <c r="E2794" s="42"/>
      <c r="F2794" s="45"/>
      <c r="G2794" s="42"/>
    </row>
    <row r="2795" spans="1:7" ht="12.75" hidden="1" customHeight="1">
      <c r="A2795" s="39" t="s">
        <v>197</v>
      </c>
      <c r="B2795" s="43"/>
      <c r="C2795" s="42"/>
      <c r="D2795" s="42"/>
      <c r="E2795" s="42"/>
      <c r="F2795" s="45"/>
      <c r="G2795" s="42"/>
    </row>
    <row r="2796" spans="1:7" ht="12.75" hidden="1" customHeight="1">
      <c r="A2796" s="39" t="s">
        <v>198</v>
      </c>
      <c r="B2796" s="43"/>
      <c r="C2796" s="42"/>
      <c r="D2796" s="42"/>
      <c r="E2796" s="42"/>
      <c r="F2796" s="45"/>
      <c r="G2796" s="42"/>
    </row>
    <row r="2797" spans="1:7" ht="12.75" hidden="1" customHeight="1">
      <c r="A2797" s="39" t="s">
        <v>199</v>
      </c>
      <c r="B2797" s="43"/>
      <c r="C2797" s="42"/>
      <c r="D2797" s="42"/>
      <c r="E2797" s="42"/>
      <c r="F2797" s="45"/>
      <c r="G2797" s="42"/>
    </row>
    <row r="2798" spans="1:7" ht="12.75" hidden="1" customHeight="1">
      <c r="A2798" s="39" t="s">
        <v>200</v>
      </c>
      <c r="B2798" s="43"/>
      <c r="C2798" s="42"/>
      <c r="D2798" s="42"/>
      <c r="E2798" s="42"/>
      <c r="F2798" s="45"/>
      <c r="G2798" s="42"/>
    </row>
    <row r="2799" spans="1:7" ht="12.75" hidden="1" customHeight="1">
      <c r="A2799" s="39" t="s">
        <v>201</v>
      </c>
      <c r="B2799" s="43"/>
      <c r="C2799" s="42"/>
      <c r="D2799" s="42"/>
      <c r="E2799" s="42"/>
      <c r="F2799" s="45"/>
      <c r="G2799" s="42"/>
    </row>
    <row r="2800" spans="1:7" ht="12.75" hidden="1" customHeight="1">
      <c r="A2800" s="49" t="s">
        <v>207</v>
      </c>
      <c r="B2800" s="43"/>
      <c r="C2800" s="42"/>
      <c r="D2800" s="42"/>
      <c r="E2800" s="42"/>
      <c r="F2800" s="42"/>
      <c r="G2800" s="42"/>
    </row>
    <row r="2801" spans="1:7" ht="12.75" hidden="1" customHeight="1">
      <c r="A2801" s="46" t="s">
        <v>203</v>
      </c>
      <c r="B2801" s="43"/>
      <c r="C2801" s="42"/>
      <c r="D2801" s="42"/>
      <c r="E2801" s="42"/>
      <c r="F2801" s="45"/>
      <c r="G2801" s="42"/>
    </row>
    <row r="2802" spans="1:7" ht="12.75" hidden="1" customHeight="1">
      <c r="A2802" s="46" t="s">
        <v>204</v>
      </c>
      <c r="B2802" s="43"/>
      <c r="C2802" s="42"/>
      <c r="D2802" s="42"/>
      <c r="E2802" s="42"/>
      <c r="F2802" s="45"/>
      <c r="G2802" s="42"/>
    </row>
    <row r="2803" spans="1:7" ht="12.75" hidden="1" customHeight="1">
      <c r="A2803" s="46" t="s">
        <v>205</v>
      </c>
      <c r="B2803" s="43"/>
      <c r="C2803" s="42"/>
      <c r="D2803" s="42"/>
      <c r="E2803" s="42"/>
      <c r="F2803" s="45"/>
      <c r="G2803" s="42"/>
    </row>
    <row r="2804" spans="1:7" ht="12.75" hidden="1" customHeight="1">
      <c r="A2804" s="224" t="s">
        <v>622</v>
      </c>
      <c r="B2804" s="48">
        <f>SUM(B2726:B2803)</f>
        <v>288.5</v>
      </c>
      <c r="C2804" s="200">
        <f>C2806-C2805</f>
        <v>437321.71</v>
      </c>
      <c r="D2804" s="200">
        <f>D2806-D2805</f>
        <v>459392.32</v>
      </c>
      <c r="E2804" s="200">
        <f>E2806-E2805</f>
        <v>157943.83000000002</v>
      </c>
      <c r="F2804" s="49">
        <v>26814.2</v>
      </c>
      <c r="G2804" s="200">
        <f>SUM(C2804:F2804)</f>
        <v>1081472.06</v>
      </c>
    </row>
    <row r="2805" spans="1:7" ht="12.75" hidden="1" customHeight="1">
      <c r="A2805" s="223" t="s">
        <v>621</v>
      </c>
      <c r="B2805" s="144"/>
      <c r="C2805" s="53">
        <v>0</v>
      </c>
      <c r="D2805" s="53">
        <v>116689.57</v>
      </c>
      <c r="E2805" s="144">
        <v>27629.96</v>
      </c>
      <c r="F2805" s="53">
        <v>0</v>
      </c>
      <c r="G2805" s="143">
        <f>SUM(C2805:F2805)</f>
        <v>144319.53</v>
      </c>
    </row>
    <row r="2806" spans="1:7" ht="12.75" hidden="1" customHeight="1">
      <c r="A2806" s="48" t="s">
        <v>209</v>
      </c>
      <c r="B2806" s="48">
        <v>288.5</v>
      </c>
      <c r="C2806" s="200">
        <v>437321.71</v>
      </c>
      <c r="D2806" s="200">
        <v>576081.89</v>
      </c>
      <c r="E2806" s="48">
        <v>185573.79</v>
      </c>
      <c r="F2806" s="200">
        <v>26814.2</v>
      </c>
      <c r="G2806" s="49">
        <v>1225791.5900000001</v>
      </c>
    </row>
    <row r="2807" spans="1:7" ht="12.75" hidden="1" customHeight="1">
      <c r="A2807" s="63"/>
      <c r="B2807" s="52"/>
      <c r="C2807" s="51"/>
      <c r="D2807" s="51"/>
      <c r="E2807" s="64"/>
      <c r="F2807" s="65"/>
      <c r="G2807" s="40"/>
    </row>
    <row r="2808" spans="1:7" ht="12.75" hidden="1" customHeight="1">
      <c r="A2808" s="63"/>
      <c r="B2808" s="52"/>
      <c r="C2808" s="51">
        <f>C2806</f>
        <v>437321.71</v>
      </c>
      <c r="D2808" s="51">
        <f>D2806+F2806</f>
        <v>602896.09</v>
      </c>
      <c r="E2808" s="51">
        <f>E2806</f>
        <v>185573.79</v>
      </c>
      <c r="F2808" s="65"/>
      <c r="G2808" s="40"/>
    </row>
    <row r="2809" spans="1:7" ht="12.75" hidden="1" customHeight="1">
      <c r="A2809" s="51"/>
      <c r="B2809" s="52"/>
      <c r="C2809" s="51">
        <f>C2737+C2745+C2746+C2761+C2763+C2770+C2774+C2776+C2784+C2787</f>
        <v>112930.56289428078</v>
      </c>
      <c r="D2809" s="51">
        <f>D2737+D2745+D2746+D2761+D2763+D2770+D2774+D2776+D2784+D2787</f>
        <v>118629.90585788559</v>
      </c>
      <c r="E2809" s="51">
        <f>E2737+E2745+E2746+E2761+E2763+E2770+E2774+E2776+E2784+E2787</f>
        <v>40786.18833622185</v>
      </c>
      <c r="F2809" s="65">
        <f>F2770+F2774+F2776</f>
        <v>26814.2</v>
      </c>
      <c r="G2809" s="40"/>
    </row>
    <row r="2810" spans="1:7" ht="12.75" hidden="1" customHeight="1">
      <c r="A2810" s="269" t="s">
        <v>598</v>
      </c>
      <c r="B2810" s="269"/>
      <c r="C2810" s="269"/>
      <c r="D2810" s="269"/>
      <c r="E2810" s="269"/>
      <c r="F2810" s="269"/>
      <c r="G2810" s="40"/>
    </row>
    <row r="2811" spans="1:7" ht="12.75" hidden="1" customHeight="1">
      <c r="A2811" s="42" t="s">
        <v>86</v>
      </c>
      <c r="B2811" s="43" t="s">
        <v>211</v>
      </c>
      <c r="C2811" s="43" t="s">
        <v>212</v>
      </c>
      <c r="D2811" s="43" t="s">
        <v>88</v>
      </c>
      <c r="E2811" s="43" t="s">
        <v>89</v>
      </c>
      <c r="F2811" s="43" t="s">
        <v>90</v>
      </c>
      <c r="G2811" s="45" t="s">
        <v>213</v>
      </c>
    </row>
    <row r="2812" spans="1:7" ht="12.75" hidden="1" customHeight="1">
      <c r="A2812" s="42" t="s">
        <v>20</v>
      </c>
      <c r="B2812" s="43"/>
      <c r="C2812" s="43"/>
      <c r="D2812" s="44"/>
      <c r="E2812" s="44"/>
      <c r="F2812" s="44"/>
      <c r="G2812" s="39"/>
    </row>
    <row r="2813" spans="1:7" ht="12.75" hidden="1" customHeight="1">
      <c r="A2813" s="42" t="s">
        <v>214</v>
      </c>
      <c r="B2813" s="43"/>
      <c r="C2813" s="43"/>
      <c r="D2813" s="44">
        <f>C2813/C2850*D2850</f>
        <v>0</v>
      </c>
      <c r="E2813" s="44">
        <f>B2813/B2850*E2850</f>
        <v>0</v>
      </c>
      <c r="F2813" s="44">
        <f>C2813/C2850*F2850</f>
        <v>0</v>
      </c>
      <c r="G2813" s="44"/>
    </row>
    <row r="2814" spans="1:7" ht="12.75" hidden="1" customHeight="1">
      <c r="A2814" s="42" t="s">
        <v>215</v>
      </c>
      <c r="B2814" s="43">
        <v>28</v>
      </c>
      <c r="C2814" s="43">
        <v>64</v>
      </c>
      <c r="D2814" s="66">
        <f>C2814/C2850*D2850</f>
        <v>23683.535</v>
      </c>
      <c r="E2814" s="66">
        <f>B2814/B2850*E2850</f>
        <v>35053.16062499999</v>
      </c>
      <c r="F2814" s="66">
        <f>C2814/C2850*F2850</f>
        <v>32962.895000000004</v>
      </c>
      <c r="G2814" s="44">
        <f>SUM(D2814:F2814)</f>
        <v>91699.590624999997</v>
      </c>
    </row>
    <row r="2815" spans="1:7" ht="12.75" hidden="1" customHeight="1">
      <c r="A2815" s="42" t="s">
        <v>216</v>
      </c>
      <c r="B2815" s="43"/>
      <c r="C2815" s="43"/>
      <c r="D2815" s="44"/>
      <c r="E2815" s="44"/>
      <c r="F2815" s="44"/>
      <c r="G2815" s="44"/>
    </row>
    <row r="2816" spans="1:7" ht="12.75" hidden="1" customHeight="1">
      <c r="A2816" s="42" t="s">
        <v>217</v>
      </c>
      <c r="B2816" s="43"/>
      <c r="C2816" s="43"/>
      <c r="D2816" s="44"/>
      <c r="E2816" s="44"/>
      <c r="F2816" s="44"/>
      <c r="G2816" s="44"/>
    </row>
    <row r="2817" spans="1:7" ht="12.75" hidden="1" customHeight="1">
      <c r="A2817" s="42" t="s">
        <v>218</v>
      </c>
      <c r="B2817" s="45"/>
      <c r="C2817" s="45"/>
      <c r="D2817" s="44"/>
      <c r="E2817" s="44"/>
      <c r="F2817" s="44"/>
      <c r="G2817" s="44"/>
    </row>
    <row r="2818" spans="1:7" ht="12.75" hidden="1" customHeight="1">
      <c r="A2818" s="42" t="s">
        <v>219</v>
      </c>
      <c r="B2818" s="45"/>
      <c r="C2818" s="45"/>
      <c r="D2818" s="44"/>
      <c r="E2818" s="44"/>
      <c r="F2818" s="44"/>
      <c r="G2818" s="44"/>
    </row>
    <row r="2819" spans="1:7" ht="12.75" hidden="1" customHeight="1">
      <c r="A2819" s="42" t="s">
        <v>21</v>
      </c>
      <c r="B2819" s="43"/>
      <c r="C2819" s="43"/>
      <c r="D2819" s="44"/>
      <c r="E2819" s="44"/>
      <c r="F2819" s="44"/>
      <c r="G2819" s="44"/>
    </row>
    <row r="2820" spans="1:7" ht="12.75" hidden="1" customHeight="1">
      <c r="A2820" s="42" t="s">
        <v>220</v>
      </c>
      <c r="B2820" s="43"/>
      <c r="C2820" s="43"/>
      <c r="D2820" s="44"/>
      <c r="E2820" s="44"/>
      <c r="F2820" s="44"/>
      <c r="G2820" s="44"/>
    </row>
    <row r="2821" spans="1:7" ht="12.75" hidden="1" customHeight="1">
      <c r="A2821" s="42" t="s">
        <v>221</v>
      </c>
      <c r="B2821" s="43"/>
      <c r="C2821" s="43"/>
      <c r="D2821" s="44"/>
      <c r="E2821" s="44"/>
      <c r="F2821" s="44"/>
      <c r="G2821" s="44"/>
    </row>
    <row r="2822" spans="1:7" ht="12.75" hidden="1" customHeight="1">
      <c r="A2822" s="42" t="s">
        <v>22</v>
      </c>
      <c r="B2822" s="43"/>
      <c r="C2822" s="43"/>
      <c r="D2822" s="44"/>
      <c r="E2822" s="44"/>
      <c r="F2822" s="44"/>
      <c r="G2822" s="44"/>
    </row>
    <row r="2823" spans="1:7" ht="12.75" hidden="1" customHeight="1">
      <c r="A2823" s="42" t="s">
        <v>23</v>
      </c>
      <c r="B2823" s="43"/>
      <c r="C2823" s="43"/>
      <c r="D2823" s="44"/>
      <c r="E2823" s="44"/>
      <c r="F2823" s="44"/>
      <c r="G2823" s="44"/>
    </row>
    <row r="2824" spans="1:7" ht="12.75" hidden="1" customHeight="1">
      <c r="A2824" s="42" t="s">
        <v>24</v>
      </c>
      <c r="B2824" s="43"/>
      <c r="C2824" s="43"/>
      <c r="D2824" s="44"/>
      <c r="E2824" s="44"/>
      <c r="F2824" s="44"/>
      <c r="G2824" s="44"/>
    </row>
    <row r="2825" spans="1:7" ht="12.75" hidden="1" customHeight="1">
      <c r="A2825" s="42" t="s">
        <v>222</v>
      </c>
      <c r="B2825" s="43"/>
      <c r="C2825" s="43"/>
      <c r="D2825" s="44">
        <f>C2825/C2850*D2850</f>
        <v>0</v>
      </c>
      <c r="E2825" s="44"/>
      <c r="F2825" s="44">
        <f>C2825/C2850*F2850</f>
        <v>0</v>
      </c>
      <c r="G2825" s="44"/>
    </row>
    <row r="2826" spans="1:7" ht="12.75" hidden="1" customHeight="1">
      <c r="A2826" s="42" t="s">
        <v>222</v>
      </c>
      <c r="B2826" s="43"/>
      <c r="C2826" s="43"/>
      <c r="D2826" s="44"/>
      <c r="E2826" s="44"/>
      <c r="F2826" s="44"/>
      <c r="G2826" s="44"/>
    </row>
    <row r="2827" spans="1:7" ht="12.75" hidden="1" customHeight="1">
      <c r="A2827" s="42" t="s">
        <v>224</v>
      </c>
      <c r="B2827" s="43"/>
      <c r="C2827" s="43"/>
      <c r="D2827" s="44"/>
      <c r="E2827" s="44"/>
      <c r="F2827" s="44"/>
      <c r="G2827" s="44"/>
    </row>
    <row r="2828" spans="1:7" ht="12.75" hidden="1" customHeight="1">
      <c r="A2828" s="42" t="s">
        <v>225</v>
      </c>
      <c r="B2828" s="43"/>
      <c r="C2828" s="43"/>
      <c r="D2828" s="44"/>
      <c r="E2828" s="44"/>
      <c r="F2828" s="44"/>
      <c r="G2828" s="44"/>
    </row>
    <row r="2829" spans="1:7" ht="12.75" hidden="1" customHeight="1">
      <c r="A2829" s="42" t="s">
        <v>226</v>
      </c>
      <c r="B2829" s="43"/>
      <c r="C2829" s="43"/>
      <c r="D2829" s="44"/>
      <c r="E2829" s="44"/>
      <c r="F2829" s="44"/>
      <c r="G2829" s="44"/>
    </row>
    <row r="2830" spans="1:7" ht="12.75" hidden="1" customHeight="1">
      <c r="A2830" s="42" t="s">
        <v>227</v>
      </c>
      <c r="B2830" s="43"/>
      <c r="C2830" s="43"/>
      <c r="D2830" s="44"/>
      <c r="E2830" s="44"/>
      <c r="F2830" s="44"/>
      <c r="G2830" s="44"/>
    </row>
    <row r="2831" spans="1:7" ht="12.75" hidden="1" customHeight="1">
      <c r="A2831" s="46" t="s">
        <v>228</v>
      </c>
      <c r="B2831" s="43"/>
      <c r="C2831" s="43"/>
      <c r="D2831" s="44"/>
      <c r="E2831" s="44"/>
      <c r="F2831" s="44"/>
      <c r="G2831" s="44"/>
    </row>
    <row r="2832" spans="1:7" ht="12.75" hidden="1" customHeight="1">
      <c r="A2832" s="42" t="s">
        <v>25</v>
      </c>
      <c r="B2832" s="43"/>
      <c r="C2832" s="43"/>
      <c r="D2832" s="44"/>
      <c r="E2832" s="44"/>
      <c r="F2832" s="44"/>
      <c r="G2832" s="44"/>
    </row>
    <row r="2833" spans="1:7" ht="12.75" hidden="1" customHeight="1">
      <c r="A2833" s="46" t="s">
        <v>463</v>
      </c>
      <c r="B2833" s="43"/>
      <c r="C2833" s="43"/>
      <c r="D2833" s="44"/>
      <c r="E2833" s="44"/>
      <c r="F2833" s="44"/>
      <c r="G2833" s="44"/>
    </row>
    <row r="2834" spans="1:7" ht="12.75" hidden="1" customHeight="1">
      <c r="A2834" s="46" t="s">
        <v>464</v>
      </c>
      <c r="B2834" s="43"/>
      <c r="C2834" s="43"/>
      <c r="D2834" s="44"/>
      <c r="E2834" s="44"/>
      <c r="F2834" s="44"/>
      <c r="G2834" s="44"/>
    </row>
    <row r="2835" spans="1:7" ht="12.75" hidden="1" customHeight="1">
      <c r="A2835" s="42" t="s">
        <v>508</v>
      </c>
      <c r="B2835" s="43"/>
      <c r="C2835" s="43"/>
      <c r="D2835" s="44"/>
      <c r="E2835" s="44"/>
      <c r="F2835" s="44"/>
      <c r="G2835" s="44"/>
    </row>
    <row r="2836" spans="1:7" ht="12.75" hidden="1" customHeight="1">
      <c r="A2836" s="42" t="s">
        <v>509</v>
      </c>
      <c r="B2836" s="43"/>
      <c r="C2836" s="43"/>
      <c r="D2836" s="44"/>
      <c r="E2836" s="44"/>
      <c r="F2836" s="44"/>
      <c r="G2836" s="44"/>
    </row>
    <row r="2837" spans="1:7" ht="12.75" hidden="1" customHeight="1">
      <c r="A2837" s="42" t="s">
        <v>231</v>
      </c>
      <c r="B2837" s="43"/>
      <c r="C2837" s="43"/>
      <c r="D2837" s="44"/>
      <c r="E2837" s="44"/>
      <c r="F2837" s="44"/>
      <c r="G2837" s="44"/>
    </row>
    <row r="2838" spans="1:7" ht="12.75" hidden="1" customHeight="1">
      <c r="A2838" s="42" t="s">
        <v>232</v>
      </c>
      <c r="B2838" s="43"/>
      <c r="C2838" s="43"/>
      <c r="D2838" s="44"/>
      <c r="E2838" s="44"/>
      <c r="F2838" s="44"/>
      <c r="G2838" s="44"/>
    </row>
    <row r="2839" spans="1:7" ht="12.75" hidden="1" customHeight="1">
      <c r="A2839" s="42" t="s">
        <v>26</v>
      </c>
      <c r="B2839" s="43"/>
      <c r="C2839" s="43"/>
      <c r="D2839" s="44"/>
      <c r="E2839" s="44"/>
      <c r="F2839" s="44"/>
      <c r="G2839" s="44"/>
    </row>
    <row r="2840" spans="1:7" ht="12.75" hidden="1" customHeight="1">
      <c r="A2840" s="42" t="s">
        <v>27</v>
      </c>
      <c r="B2840" s="43"/>
      <c r="C2840" s="43"/>
      <c r="D2840" s="44"/>
      <c r="E2840" s="44"/>
      <c r="F2840" s="44"/>
      <c r="G2840" s="44"/>
    </row>
    <row r="2841" spans="1:7" ht="12.75" hidden="1" customHeight="1">
      <c r="A2841" s="42" t="s">
        <v>28</v>
      </c>
      <c r="B2841" s="43"/>
      <c r="C2841" s="43"/>
      <c r="D2841" s="44"/>
      <c r="E2841" s="44"/>
      <c r="F2841" s="44"/>
      <c r="G2841" s="44"/>
    </row>
    <row r="2842" spans="1:7" ht="12.75" hidden="1" customHeight="1">
      <c r="A2842" s="46" t="s">
        <v>233</v>
      </c>
      <c r="B2842" s="43"/>
      <c r="C2842" s="43"/>
      <c r="D2842" s="44"/>
      <c r="E2842" s="44"/>
      <c r="F2842" s="44"/>
      <c r="G2842" s="44"/>
    </row>
    <row r="2843" spans="1:7" ht="12.75" hidden="1" customHeight="1">
      <c r="A2843" s="46" t="s">
        <v>235</v>
      </c>
      <c r="B2843" s="43"/>
      <c r="C2843" s="43"/>
      <c r="D2843" s="44"/>
      <c r="E2843" s="44"/>
      <c r="F2843" s="44"/>
      <c r="G2843" s="44"/>
    </row>
    <row r="2844" spans="1:7" ht="12.75" hidden="1" customHeight="1">
      <c r="A2844" s="46" t="s">
        <v>236</v>
      </c>
      <c r="B2844" s="43">
        <v>36</v>
      </c>
      <c r="C2844" s="43">
        <v>64</v>
      </c>
      <c r="D2844" s="66">
        <f>C2844/C2850*D2850</f>
        <v>23683.535</v>
      </c>
      <c r="E2844" s="66">
        <f>B2844/B2850*E2850</f>
        <v>45068.349374999991</v>
      </c>
      <c r="F2844" s="66">
        <f>C2844/C2850*F2850</f>
        <v>32962.895000000004</v>
      </c>
      <c r="G2844" s="44">
        <f>SUM(D2844:F2844)</f>
        <v>101714.779375</v>
      </c>
    </row>
    <row r="2845" spans="1:7" ht="12.75" hidden="1" customHeight="1">
      <c r="A2845" s="46" t="s">
        <v>411</v>
      </c>
      <c r="B2845" s="43"/>
      <c r="C2845" s="43"/>
      <c r="D2845" s="44"/>
      <c r="E2845" s="44"/>
      <c r="F2845" s="44"/>
      <c r="G2845" s="44"/>
    </row>
    <row r="2846" spans="1:7" ht="12.75" hidden="1" customHeight="1">
      <c r="A2846" s="39" t="s">
        <v>239</v>
      </c>
      <c r="B2846" s="43"/>
      <c r="C2846" s="45"/>
      <c r="D2846" s="44"/>
      <c r="E2846" s="44"/>
      <c r="F2846" s="44"/>
      <c r="G2846" s="44"/>
    </row>
    <row r="2847" spans="1:7" ht="12.75" hidden="1" customHeight="1">
      <c r="A2847" s="110" t="s">
        <v>529</v>
      </c>
      <c r="B2847" s="43"/>
      <c r="C2847" s="45"/>
      <c r="D2847" s="44"/>
      <c r="E2847" s="44"/>
      <c r="F2847" s="44"/>
      <c r="G2847" s="44"/>
    </row>
    <row r="2848" spans="1:7" ht="12.75" hidden="1" customHeight="1">
      <c r="A2848" s="110" t="s">
        <v>530</v>
      </c>
      <c r="B2848" s="43"/>
      <c r="C2848" s="45"/>
      <c r="D2848" s="44"/>
      <c r="E2848" s="44"/>
      <c r="F2848" s="44"/>
      <c r="G2848" s="44"/>
    </row>
    <row r="2849" spans="1:7" ht="12.75" hidden="1" customHeight="1">
      <c r="A2849" s="110" t="s">
        <v>531</v>
      </c>
      <c r="B2849" s="43"/>
      <c r="C2849" s="45"/>
      <c r="D2849" s="44"/>
      <c r="E2849" s="44"/>
      <c r="F2849" s="44"/>
      <c r="G2849" s="44"/>
    </row>
    <row r="2850" spans="1:7" ht="12.75" hidden="1" customHeight="1">
      <c r="A2850" s="49" t="s">
        <v>238</v>
      </c>
      <c r="B2850" s="45">
        <f>SUM(B2810:B2847)</f>
        <v>64</v>
      </c>
      <c r="C2850" s="45">
        <f>SUM(C2810:C2847)</f>
        <v>128</v>
      </c>
      <c r="D2850" s="44">
        <f>D2852-D2851</f>
        <v>47367.07</v>
      </c>
      <c r="E2850" s="44">
        <f>E2852-E2851</f>
        <v>80121.50999999998</v>
      </c>
      <c r="F2850" s="44">
        <f>F2852-F2851</f>
        <v>65925.790000000008</v>
      </c>
      <c r="G2850" s="44">
        <f>G2852-G2851</f>
        <v>193414.37</v>
      </c>
    </row>
    <row r="2851" spans="1:7" ht="12.75" hidden="1" customHeight="1">
      <c r="A2851" s="225" t="s">
        <v>624</v>
      </c>
      <c r="B2851" s="43"/>
      <c r="C2851" s="39"/>
      <c r="D2851" s="44">
        <v>0</v>
      </c>
      <c r="E2851" s="44">
        <v>145675.47</v>
      </c>
      <c r="F2851" s="44">
        <v>101274.03</v>
      </c>
      <c r="G2851" s="44">
        <f>SUM(D2851:F2851)</f>
        <v>246949.5</v>
      </c>
    </row>
    <row r="2852" spans="1:7" ht="12.75" hidden="1" customHeight="1">
      <c r="A2852" s="200" t="s">
        <v>625</v>
      </c>
      <c r="B2852" s="45">
        <f>SUM(B2812:B2849)</f>
        <v>64</v>
      </c>
      <c r="C2852" s="45">
        <f>SUM(C2812:C2849)</f>
        <v>128</v>
      </c>
      <c r="D2852" s="44">
        <f>47367.07</f>
        <v>47367.07</v>
      </c>
      <c r="E2852" s="44">
        <f>27365.6+66069.8+23452.58+91329+17580</f>
        <v>225796.97999999998</v>
      </c>
      <c r="F2852" s="44">
        <f>167199.82</f>
        <v>167199.82</v>
      </c>
      <c r="G2852" s="44">
        <f>SUM(D2852:F2852)</f>
        <v>440363.87</v>
      </c>
    </row>
    <row r="2853" spans="1:7" ht="12.75" hidden="1" customHeight="1">
      <c r="A2853" s="268" t="s">
        <v>377</v>
      </c>
      <c r="B2853" s="268"/>
      <c r="C2853" s="268"/>
      <c r="D2853" s="268"/>
      <c r="E2853" s="268"/>
      <c r="F2853" s="268"/>
      <c r="G2853" s="268"/>
    </row>
    <row r="2854" spans="1:7" ht="12.75" hidden="1" customHeight="1">
      <c r="A2854" s="201"/>
      <c r="B2854" s="64"/>
      <c r="C2854" s="65"/>
      <c r="D2854" s="65"/>
      <c r="E2854" s="64"/>
      <c r="F2854" s="65"/>
      <c r="G2854" s="40"/>
    </row>
    <row r="2855" spans="1:7" ht="12.75" hidden="1" customHeight="1">
      <c r="A2855" s="65"/>
      <c r="B2855" s="64"/>
      <c r="C2855" s="65"/>
      <c r="D2855" s="65"/>
      <c r="E2855" s="64"/>
      <c r="F2855" s="65"/>
      <c r="G2855" s="40"/>
    </row>
    <row r="2856" spans="1:7" ht="12.75" hidden="1" customHeight="1">
      <c r="A2856" s="65"/>
      <c r="B2856" s="64"/>
      <c r="C2856" s="65"/>
      <c r="D2856" s="65"/>
      <c r="E2856" s="64"/>
      <c r="F2856" s="65"/>
      <c r="G2856" s="40"/>
    </row>
    <row r="2857" spans="1:7" ht="12.75" hidden="1" customHeight="1">
      <c r="A2857" s="65"/>
      <c r="B2857" s="64"/>
      <c r="C2857" s="65"/>
      <c r="D2857" s="65"/>
      <c r="E2857" s="64"/>
      <c r="F2857" s="65"/>
      <c r="G2857" s="40"/>
    </row>
    <row r="2858" spans="1:7" ht="12.75" hidden="1" customHeight="1">
      <c r="A2858" s="269" t="s">
        <v>599</v>
      </c>
      <c r="B2858" s="269"/>
      <c r="C2858" s="269"/>
      <c r="D2858" s="269"/>
      <c r="E2858" s="269"/>
      <c r="F2858" s="269"/>
      <c r="G2858" s="40"/>
    </row>
    <row r="2859" spans="1:7" ht="12.75" hidden="1" customHeight="1">
      <c r="A2859" s="42" t="s">
        <v>86</v>
      </c>
      <c r="B2859" s="43" t="s">
        <v>246</v>
      </c>
      <c r="C2859" s="43" t="s">
        <v>88</v>
      </c>
      <c r="D2859" s="43" t="s">
        <v>89</v>
      </c>
      <c r="E2859" s="43" t="s">
        <v>90</v>
      </c>
      <c r="F2859" s="43" t="s">
        <v>91</v>
      </c>
      <c r="G2859" s="40"/>
    </row>
    <row r="2860" spans="1:7" ht="12.75" hidden="1" customHeight="1">
      <c r="A2860" s="67" t="s">
        <v>627</v>
      </c>
      <c r="B2860" s="43"/>
      <c r="C2860" s="42"/>
      <c r="D2860" s="42"/>
      <c r="E2860" s="42"/>
      <c r="F2860" s="42"/>
      <c r="G2860" s="40"/>
    </row>
    <row r="2861" spans="1:7" ht="12.75" hidden="1" customHeight="1">
      <c r="A2861" s="67" t="s">
        <v>248</v>
      </c>
      <c r="B2861" s="43"/>
      <c r="C2861" s="42"/>
      <c r="D2861" s="42"/>
      <c r="E2861" s="42"/>
      <c r="F2861" s="42"/>
      <c r="G2861" s="40"/>
    </row>
    <row r="2862" spans="1:7" ht="12.75" hidden="1" customHeight="1">
      <c r="A2862" s="67" t="s">
        <v>249</v>
      </c>
      <c r="B2862" s="45"/>
      <c r="C2862" s="42"/>
      <c r="D2862" s="42"/>
      <c r="E2862" s="42"/>
      <c r="F2862" s="42"/>
      <c r="G2862" s="40"/>
    </row>
    <row r="2863" spans="1:7" ht="12.75" hidden="1" customHeight="1">
      <c r="A2863" s="159" t="s">
        <v>633</v>
      </c>
      <c r="B2863" s="43">
        <v>22</v>
      </c>
      <c r="C2863" s="53">
        <f>B2863/B$2902*C$2900</f>
        <v>13373.838181818182</v>
      </c>
      <c r="D2863" s="53">
        <f>B2863/B$2902*D$2900</f>
        <v>8230.489032258065</v>
      </c>
      <c r="E2863" s="53">
        <f>B2863/B$2902*E$2900</f>
        <v>5067.9620234604108</v>
      </c>
      <c r="F2863" s="42">
        <f>SUM(C2863:E2863)</f>
        <v>26672.289237536661</v>
      </c>
      <c r="G2863" s="40"/>
    </row>
    <row r="2864" spans="1:7" ht="12.75" hidden="1" customHeight="1">
      <c r="A2864" s="159" t="s">
        <v>634</v>
      </c>
      <c r="B2864" s="43">
        <v>23</v>
      </c>
      <c r="C2864" s="53">
        <f t="shared" ref="C2864:C2889" si="125">B2864/B$2902*C$2900</f>
        <v>13981.739917355373</v>
      </c>
      <c r="D2864" s="53">
        <f t="shared" ref="D2864:D2889" si="126">B2864/B$2902*D$2900</f>
        <v>8604.6021700879774</v>
      </c>
      <c r="E2864" s="53">
        <f t="shared" ref="E2864:E2889" si="127">B2864/B$2902*E$2900</f>
        <v>5298.3239336177021</v>
      </c>
      <c r="F2864" s="42">
        <f t="shared" ref="F2864:F2889" si="128">SUM(C2864:E2864)</f>
        <v>27884.666021061053</v>
      </c>
      <c r="G2864" s="40"/>
    </row>
    <row r="2865" spans="1:7" ht="12.75" hidden="1" customHeight="1">
      <c r="A2865" s="67" t="s">
        <v>251</v>
      </c>
      <c r="B2865" s="43"/>
      <c r="C2865" s="42">
        <f t="shared" si="125"/>
        <v>0</v>
      </c>
      <c r="D2865" s="42">
        <f t="shared" si="126"/>
        <v>0</v>
      </c>
      <c r="E2865" s="42">
        <f t="shared" si="127"/>
        <v>0</v>
      </c>
      <c r="F2865" s="42">
        <f t="shared" si="128"/>
        <v>0</v>
      </c>
      <c r="G2865" s="40"/>
    </row>
    <row r="2866" spans="1:7" ht="12.75" hidden="1" customHeight="1">
      <c r="A2866" s="68" t="s">
        <v>252</v>
      </c>
      <c r="B2866" s="69"/>
      <c r="C2866" s="42">
        <f t="shared" si="125"/>
        <v>0</v>
      </c>
      <c r="D2866" s="42">
        <f t="shared" si="126"/>
        <v>0</v>
      </c>
      <c r="E2866" s="42">
        <f t="shared" si="127"/>
        <v>0</v>
      </c>
      <c r="F2866" s="42">
        <f t="shared" si="128"/>
        <v>0</v>
      </c>
      <c r="G2866" s="40"/>
    </row>
    <row r="2867" spans="1:7" ht="12.75" hidden="1" customHeight="1">
      <c r="A2867" s="192" t="s">
        <v>582</v>
      </c>
      <c r="B2867" s="193">
        <v>26</v>
      </c>
      <c r="C2867" s="60">
        <f t="shared" si="125"/>
        <v>15805.445123966943</v>
      </c>
      <c r="D2867" s="60">
        <f t="shared" si="126"/>
        <v>9726.9415835777145</v>
      </c>
      <c r="E2867" s="60">
        <f t="shared" si="127"/>
        <v>5989.4096640895768</v>
      </c>
      <c r="F2867" s="60">
        <f t="shared" si="128"/>
        <v>31521.796371634235</v>
      </c>
      <c r="G2867" s="40"/>
    </row>
    <row r="2868" spans="1:7" ht="12.75" hidden="1" customHeight="1">
      <c r="A2868" s="68" t="s">
        <v>583</v>
      </c>
      <c r="B2868" s="69"/>
      <c r="C2868" s="60">
        <f t="shared" si="125"/>
        <v>0</v>
      </c>
      <c r="D2868" s="60">
        <f t="shared" si="126"/>
        <v>0</v>
      </c>
      <c r="E2868" s="60">
        <f t="shared" si="127"/>
        <v>0</v>
      </c>
      <c r="F2868" s="60">
        <f t="shared" si="128"/>
        <v>0</v>
      </c>
      <c r="G2868" s="40"/>
    </row>
    <row r="2869" spans="1:7" ht="12.75" hidden="1" customHeight="1">
      <c r="A2869" s="67" t="s">
        <v>254</v>
      </c>
      <c r="B2869" s="70"/>
      <c r="C2869" s="60">
        <f t="shared" si="125"/>
        <v>0</v>
      </c>
      <c r="D2869" s="60">
        <f t="shared" si="126"/>
        <v>0</v>
      </c>
      <c r="E2869" s="60">
        <f t="shared" si="127"/>
        <v>0</v>
      </c>
      <c r="F2869" s="60">
        <f t="shared" si="128"/>
        <v>0</v>
      </c>
      <c r="G2869" s="40"/>
    </row>
    <row r="2870" spans="1:7" ht="12.75" hidden="1" customHeight="1">
      <c r="A2870" s="67" t="s">
        <v>255</v>
      </c>
      <c r="B2870" s="70"/>
      <c r="C2870" s="60">
        <f t="shared" si="125"/>
        <v>0</v>
      </c>
      <c r="D2870" s="60">
        <f t="shared" si="126"/>
        <v>0</v>
      </c>
      <c r="E2870" s="60">
        <f t="shared" si="127"/>
        <v>0</v>
      </c>
      <c r="F2870" s="60">
        <f t="shared" si="128"/>
        <v>0</v>
      </c>
      <c r="G2870" s="40"/>
    </row>
    <row r="2871" spans="1:7" ht="12.75" hidden="1" customHeight="1">
      <c r="A2871" s="67" t="s">
        <v>256</v>
      </c>
      <c r="B2871" s="196"/>
      <c r="C2871" s="60">
        <f t="shared" si="125"/>
        <v>0</v>
      </c>
      <c r="D2871" s="60">
        <f t="shared" si="126"/>
        <v>0</v>
      </c>
      <c r="E2871" s="60">
        <f t="shared" si="127"/>
        <v>0</v>
      </c>
      <c r="F2871" s="60">
        <f t="shared" si="128"/>
        <v>0</v>
      </c>
      <c r="G2871" s="40"/>
    </row>
    <row r="2872" spans="1:7" ht="12.75" hidden="1" customHeight="1">
      <c r="A2872" s="217" t="s">
        <v>257</v>
      </c>
      <c r="B2872" s="226">
        <v>28</v>
      </c>
      <c r="C2872" s="60">
        <f t="shared" si="125"/>
        <v>17021.248595041325</v>
      </c>
      <c r="D2872" s="60">
        <f t="shared" si="126"/>
        <v>10475.167859237537</v>
      </c>
      <c r="E2872" s="60">
        <f t="shared" si="127"/>
        <v>6450.1334844041594</v>
      </c>
      <c r="F2872" s="60">
        <f t="shared" si="128"/>
        <v>33946.54993868302</v>
      </c>
      <c r="G2872" s="40"/>
    </row>
    <row r="2873" spans="1:7" ht="12.75" hidden="1" customHeight="1">
      <c r="A2873" s="67" t="s">
        <v>535</v>
      </c>
      <c r="B2873" s="70"/>
      <c r="C2873" s="42">
        <f t="shared" si="125"/>
        <v>0</v>
      </c>
      <c r="D2873" s="42">
        <f t="shared" si="126"/>
        <v>0</v>
      </c>
      <c r="E2873" s="42">
        <f t="shared" si="127"/>
        <v>0</v>
      </c>
      <c r="F2873" s="42">
        <f t="shared" si="128"/>
        <v>0</v>
      </c>
      <c r="G2873" s="40"/>
    </row>
    <row r="2874" spans="1:7" ht="12.75" hidden="1" customHeight="1">
      <c r="A2874" s="71" t="s">
        <v>258</v>
      </c>
      <c r="B2874" s="72"/>
      <c r="C2874" s="42">
        <f t="shared" si="125"/>
        <v>0</v>
      </c>
      <c r="D2874" s="42">
        <f t="shared" si="126"/>
        <v>0</v>
      </c>
      <c r="E2874" s="42">
        <f t="shared" si="127"/>
        <v>0</v>
      </c>
      <c r="F2874" s="42">
        <f t="shared" si="128"/>
        <v>0</v>
      </c>
      <c r="G2874" s="40"/>
    </row>
    <row r="2875" spans="1:7" ht="12.75" hidden="1" customHeight="1">
      <c r="A2875" s="67" t="s">
        <v>259</v>
      </c>
      <c r="B2875" s="43"/>
      <c r="C2875" s="42">
        <f t="shared" si="125"/>
        <v>0</v>
      </c>
      <c r="D2875" s="42">
        <f t="shared" si="126"/>
        <v>0</v>
      </c>
      <c r="E2875" s="42">
        <f t="shared" si="127"/>
        <v>0</v>
      </c>
      <c r="F2875" s="42">
        <f t="shared" si="128"/>
        <v>0</v>
      </c>
      <c r="G2875" s="40"/>
    </row>
    <row r="2876" spans="1:7" ht="12.75" hidden="1" customHeight="1">
      <c r="A2876" s="73" t="s">
        <v>584</v>
      </c>
      <c r="B2876" s="43"/>
      <c r="C2876" s="42">
        <f t="shared" si="125"/>
        <v>0</v>
      </c>
      <c r="D2876" s="42">
        <f t="shared" si="126"/>
        <v>0</v>
      </c>
      <c r="E2876" s="42">
        <f t="shared" si="127"/>
        <v>0</v>
      </c>
      <c r="F2876" s="42">
        <f t="shared" si="128"/>
        <v>0</v>
      </c>
      <c r="G2876" s="40"/>
    </row>
    <row r="2877" spans="1:7" ht="12.75" hidden="1" customHeight="1">
      <c r="A2877" s="73" t="s">
        <v>585</v>
      </c>
      <c r="B2877" s="43"/>
      <c r="C2877" s="42">
        <f t="shared" si="125"/>
        <v>0</v>
      </c>
      <c r="D2877" s="42">
        <f t="shared" si="126"/>
        <v>0</v>
      </c>
      <c r="E2877" s="42">
        <f t="shared" si="127"/>
        <v>0</v>
      </c>
      <c r="F2877" s="42">
        <f t="shared" si="128"/>
        <v>0</v>
      </c>
      <c r="G2877" s="40"/>
    </row>
    <row r="2878" spans="1:7" ht="12.75" hidden="1" customHeight="1">
      <c r="A2878" s="73" t="s">
        <v>632</v>
      </c>
      <c r="B2878" s="43">
        <v>80</v>
      </c>
      <c r="C2878" s="53">
        <f t="shared" si="125"/>
        <v>48632.138842975211</v>
      </c>
      <c r="D2878" s="53">
        <f t="shared" si="126"/>
        <v>29929.051026392965</v>
      </c>
      <c r="E2878" s="53">
        <f t="shared" si="127"/>
        <v>18428.952812583313</v>
      </c>
      <c r="F2878" s="42">
        <f t="shared" si="128"/>
        <v>96990.142681951489</v>
      </c>
      <c r="G2878" s="40"/>
    </row>
    <row r="2879" spans="1:7" ht="12.75" hidden="1" customHeight="1">
      <c r="A2879" s="73" t="s">
        <v>262</v>
      </c>
      <c r="B2879" s="43"/>
      <c r="C2879" s="42">
        <f t="shared" si="125"/>
        <v>0</v>
      </c>
      <c r="D2879" s="42">
        <f t="shared" si="126"/>
        <v>0</v>
      </c>
      <c r="E2879" s="42">
        <f t="shared" si="127"/>
        <v>0</v>
      </c>
      <c r="F2879" s="42">
        <f t="shared" si="128"/>
        <v>0</v>
      </c>
      <c r="G2879" s="40"/>
    </row>
    <row r="2880" spans="1:7" ht="12.75" hidden="1" customHeight="1">
      <c r="A2880" s="74" t="s">
        <v>628</v>
      </c>
      <c r="B2880" s="43">
        <v>18</v>
      </c>
      <c r="C2880" s="53">
        <f t="shared" si="125"/>
        <v>10942.231239669421</v>
      </c>
      <c r="D2880" s="53">
        <f t="shared" si="126"/>
        <v>6734.0364809384173</v>
      </c>
      <c r="E2880" s="53">
        <f t="shared" si="127"/>
        <v>4146.5143828312457</v>
      </c>
      <c r="F2880" s="42">
        <f t="shared" si="128"/>
        <v>21822.782103439084</v>
      </c>
      <c r="G2880" s="40"/>
    </row>
    <row r="2881" spans="1:7" ht="12.75" hidden="1" customHeight="1">
      <c r="A2881" s="74" t="s">
        <v>264</v>
      </c>
      <c r="B2881" s="196"/>
      <c r="C2881" s="42">
        <f t="shared" si="125"/>
        <v>0</v>
      </c>
      <c r="D2881" s="42">
        <f t="shared" si="126"/>
        <v>0</v>
      </c>
      <c r="E2881" s="42">
        <f t="shared" si="127"/>
        <v>0</v>
      </c>
      <c r="F2881" s="42">
        <f t="shared" si="128"/>
        <v>0</v>
      </c>
      <c r="G2881" s="40"/>
    </row>
    <row r="2882" spans="1:7" ht="12.75" hidden="1" customHeight="1">
      <c r="A2882" s="74" t="s">
        <v>549</v>
      </c>
      <c r="B2882" s="43"/>
      <c r="C2882" s="42">
        <f t="shared" si="125"/>
        <v>0</v>
      </c>
      <c r="D2882" s="42">
        <f t="shared" si="126"/>
        <v>0</v>
      </c>
      <c r="E2882" s="42">
        <f t="shared" si="127"/>
        <v>0</v>
      </c>
      <c r="F2882" s="42">
        <f t="shared" si="128"/>
        <v>0</v>
      </c>
      <c r="G2882" s="40"/>
    </row>
    <row r="2883" spans="1:7" ht="12.75" hidden="1" customHeight="1">
      <c r="A2883" s="74" t="s">
        <v>534</v>
      </c>
      <c r="B2883" s="43"/>
      <c r="C2883" s="42">
        <f t="shared" si="125"/>
        <v>0</v>
      </c>
      <c r="D2883" s="42">
        <f t="shared" si="126"/>
        <v>0</v>
      </c>
      <c r="E2883" s="42">
        <f t="shared" si="127"/>
        <v>0</v>
      </c>
      <c r="F2883" s="42">
        <f t="shared" si="128"/>
        <v>0</v>
      </c>
      <c r="G2883" s="40"/>
    </row>
    <row r="2884" spans="1:7" ht="12.75" hidden="1" customHeight="1">
      <c r="A2884" s="74" t="s">
        <v>631</v>
      </c>
      <c r="B2884" s="43">
        <v>27</v>
      </c>
      <c r="C2884" s="53">
        <f t="shared" si="125"/>
        <v>16413.346859504134</v>
      </c>
      <c r="D2884" s="53">
        <f t="shared" si="126"/>
        <v>10101.054721407625</v>
      </c>
      <c r="E2884" s="53">
        <f t="shared" si="127"/>
        <v>6219.7715742468681</v>
      </c>
      <c r="F2884" s="42">
        <f t="shared" si="128"/>
        <v>32734.173155158627</v>
      </c>
      <c r="G2884" s="40"/>
    </row>
    <row r="2885" spans="1:7" ht="12.75" hidden="1" customHeight="1">
      <c r="A2885" s="74" t="s">
        <v>267</v>
      </c>
      <c r="B2885" s="48"/>
      <c r="C2885" s="42">
        <f t="shared" si="125"/>
        <v>0</v>
      </c>
      <c r="D2885" s="42">
        <f t="shared" si="126"/>
        <v>0</v>
      </c>
      <c r="E2885" s="42">
        <f t="shared" si="127"/>
        <v>0</v>
      </c>
      <c r="F2885" s="42">
        <f t="shared" si="128"/>
        <v>0</v>
      </c>
      <c r="G2885" s="40"/>
    </row>
    <row r="2886" spans="1:7" ht="12.75" hidden="1" customHeight="1">
      <c r="A2886" s="195" t="s">
        <v>268</v>
      </c>
      <c r="B2886" s="59">
        <v>2</v>
      </c>
      <c r="C2886" s="60">
        <f t="shared" si="125"/>
        <v>1215.8034710743802</v>
      </c>
      <c r="D2886" s="60">
        <f t="shared" si="126"/>
        <v>748.22627565982418</v>
      </c>
      <c r="E2886" s="60">
        <f t="shared" si="127"/>
        <v>460.72382031458278</v>
      </c>
      <c r="F2886" s="60">
        <f t="shared" si="128"/>
        <v>2424.7535670487869</v>
      </c>
      <c r="G2886" s="40"/>
    </row>
    <row r="2887" spans="1:7" ht="12.75" hidden="1" customHeight="1">
      <c r="A2887" s="67" t="s">
        <v>269</v>
      </c>
      <c r="B2887" s="43"/>
      <c r="C2887" s="42">
        <f t="shared" si="125"/>
        <v>0</v>
      </c>
      <c r="D2887" s="42">
        <f t="shared" si="126"/>
        <v>0</v>
      </c>
      <c r="E2887" s="42">
        <f t="shared" si="127"/>
        <v>0</v>
      </c>
      <c r="F2887" s="42">
        <f t="shared" si="128"/>
        <v>0</v>
      </c>
      <c r="G2887" s="40"/>
    </row>
    <row r="2888" spans="1:7" ht="12.75" hidden="1" customHeight="1">
      <c r="A2888" s="159" t="s">
        <v>629</v>
      </c>
      <c r="B2888" s="43">
        <v>8</v>
      </c>
      <c r="C2888" s="53">
        <f t="shared" si="125"/>
        <v>4863.213884297521</v>
      </c>
      <c r="D2888" s="53">
        <f t="shared" si="126"/>
        <v>2992.9051026392967</v>
      </c>
      <c r="E2888" s="53">
        <f t="shared" si="127"/>
        <v>1842.8952812583311</v>
      </c>
      <c r="F2888" s="42">
        <f t="shared" si="128"/>
        <v>9699.0142681951475</v>
      </c>
      <c r="G2888" s="40"/>
    </row>
    <row r="2889" spans="1:7" ht="12.75" hidden="1" customHeight="1">
      <c r="A2889" s="159" t="s">
        <v>630</v>
      </c>
      <c r="B2889" s="43">
        <v>8</v>
      </c>
      <c r="C2889" s="53">
        <f t="shared" si="125"/>
        <v>4863.213884297521</v>
      </c>
      <c r="D2889" s="53">
        <f t="shared" si="126"/>
        <v>2992.9051026392967</v>
      </c>
      <c r="E2889" s="53">
        <f t="shared" si="127"/>
        <v>1842.8952812583311</v>
      </c>
      <c r="F2889" s="42">
        <f t="shared" si="128"/>
        <v>9699.0142681951475</v>
      </c>
      <c r="G2889" s="40"/>
    </row>
    <row r="2890" spans="1:7" ht="12.75" hidden="1" customHeight="1">
      <c r="A2890" s="159" t="s">
        <v>507</v>
      </c>
      <c r="B2890" s="43"/>
      <c r="C2890" s="42"/>
      <c r="D2890" s="42"/>
      <c r="E2890" s="42"/>
      <c r="F2890" s="42"/>
      <c r="G2890" s="40"/>
    </row>
    <row r="2891" spans="1:7" ht="12.75" hidden="1" customHeight="1">
      <c r="A2891" s="67" t="s">
        <v>271</v>
      </c>
      <c r="B2891" s="43"/>
      <c r="C2891" s="42"/>
      <c r="D2891" s="42"/>
      <c r="E2891" s="42"/>
      <c r="F2891" s="42"/>
      <c r="G2891" s="40"/>
    </row>
    <row r="2892" spans="1:7" ht="12.75" hidden="1" customHeight="1">
      <c r="A2892" s="67" t="s">
        <v>272</v>
      </c>
      <c r="B2892" s="43"/>
      <c r="C2892" s="42"/>
      <c r="D2892" s="42"/>
      <c r="E2892" s="42"/>
      <c r="F2892" s="42"/>
      <c r="G2892" s="40"/>
    </row>
    <row r="2893" spans="1:7" ht="12.75" hidden="1" customHeight="1">
      <c r="A2893" s="67" t="s">
        <v>273</v>
      </c>
      <c r="B2893" s="43"/>
      <c r="C2893" s="42"/>
      <c r="D2893" s="42"/>
      <c r="E2893" s="42"/>
      <c r="F2893" s="42"/>
      <c r="G2893" s="40"/>
    </row>
    <row r="2894" spans="1:7" ht="12.75" hidden="1" customHeight="1">
      <c r="A2894" s="67" t="s">
        <v>274</v>
      </c>
      <c r="B2894" s="43"/>
      <c r="C2894" s="42"/>
      <c r="D2894" s="42"/>
      <c r="E2894" s="42"/>
      <c r="F2894" s="42"/>
      <c r="G2894" s="40"/>
    </row>
    <row r="2895" spans="1:7" ht="12.75" hidden="1" customHeight="1">
      <c r="A2895" s="67" t="s">
        <v>275</v>
      </c>
      <c r="B2895" s="43"/>
      <c r="C2895" s="42"/>
      <c r="D2895" s="42"/>
      <c r="E2895" s="42"/>
      <c r="F2895" s="42"/>
      <c r="G2895" s="40"/>
    </row>
    <row r="2896" spans="1:7" ht="12.75" hidden="1" customHeight="1">
      <c r="A2896" s="67" t="s">
        <v>276</v>
      </c>
      <c r="B2896" s="43"/>
      <c r="C2896" s="42"/>
      <c r="D2896" s="42"/>
      <c r="E2896" s="42"/>
      <c r="F2896" s="42"/>
      <c r="G2896" s="40"/>
    </row>
    <row r="2897" spans="1:7" ht="12.75" hidden="1" customHeight="1">
      <c r="A2897" s="67" t="s">
        <v>277</v>
      </c>
      <c r="B2897" s="43"/>
      <c r="C2897" s="42"/>
      <c r="D2897" s="42"/>
      <c r="E2897" s="42"/>
      <c r="F2897" s="42"/>
      <c r="G2897" s="40"/>
    </row>
    <row r="2898" spans="1:7" ht="12.75" hidden="1" customHeight="1">
      <c r="A2898" s="67" t="s">
        <v>536</v>
      </c>
      <c r="B2898" s="43"/>
      <c r="C2898" s="42"/>
      <c r="D2898" s="42"/>
      <c r="E2898" s="42"/>
      <c r="F2898" s="42"/>
      <c r="G2898" s="40"/>
    </row>
    <row r="2899" spans="1:7" ht="12.75" hidden="1" customHeight="1">
      <c r="A2899" s="79" t="s">
        <v>533</v>
      </c>
      <c r="B2899" s="43"/>
      <c r="C2899" s="42"/>
      <c r="D2899" s="42"/>
      <c r="E2899" s="42"/>
      <c r="F2899" s="42"/>
      <c r="G2899" s="40"/>
    </row>
    <row r="2900" spans="1:7" ht="12.75" hidden="1" customHeight="1">
      <c r="A2900" s="49" t="s">
        <v>278</v>
      </c>
      <c r="B2900" s="43"/>
      <c r="C2900" s="42">
        <f>C2902-C2901</f>
        <v>147112.22</v>
      </c>
      <c r="D2900" s="42">
        <f>D2902-D2901</f>
        <v>90535.379354838718</v>
      </c>
      <c r="E2900" s="42">
        <f>E2902-E2901</f>
        <v>55747.582258064518</v>
      </c>
      <c r="F2900" s="42">
        <f>F2902-F2901</f>
        <v>293395.18161290325</v>
      </c>
      <c r="G2900" s="40"/>
    </row>
    <row r="2901" spans="1:7" ht="12.75" hidden="1" customHeight="1">
      <c r="A2901" s="225" t="s">
        <v>621</v>
      </c>
      <c r="B2901" s="43"/>
      <c r="C2901" s="42">
        <v>0</v>
      </c>
      <c r="D2901" s="42">
        <v>37037.200645161291</v>
      </c>
      <c r="E2901" s="42">
        <v>20602.297741935483</v>
      </c>
      <c r="F2901" s="42">
        <f>SUM(C2901:E2901)</f>
        <v>57639.49838709677</v>
      </c>
      <c r="G2901" s="40"/>
    </row>
    <row r="2902" spans="1:7" ht="12.75" hidden="1" customHeight="1">
      <c r="A2902" s="75" t="s">
        <v>281</v>
      </c>
      <c r="B2902" s="43">
        <f>SUM(B2860:B2899)</f>
        <v>242</v>
      </c>
      <c r="C2902" s="42">
        <f>147112.22</f>
        <v>147112.22</v>
      </c>
      <c r="D2902" s="42">
        <f>12194.2+67598.8+23512.58+16985.2+7281.8</f>
        <v>127572.58</v>
      </c>
      <c r="E2902" s="44">
        <f>76349.88</f>
        <v>76349.88</v>
      </c>
      <c r="F2902" s="42">
        <f>SUM(C2902:E2902)</f>
        <v>351034.68</v>
      </c>
      <c r="G2902" s="40"/>
    </row>
    <row r="2903" spans="1:7" ht="12.75" hidden="1" customHeight="1">
      <c r="A2903" s="219"/>
      <c r="B2903" s="41"/>
      <c r="C2903" s="40"/>
      <c r="D2903" s="40"/>
      <c r="E2903" s="41"/>
      <c r="F2903" s="40"/>
      <c r="G2903" s="40"/>
    </row>
    <row r="2904" spans="1:7" ht="12.75" hidden="1" customHeight="1">
      <c r="A2904" s="76"/>
      <c r="B2904" s="41"/>
      <c r="C2904" s="40"/>
      <c r="D2904" s="40"/>
      <c r="E2904" s="41"/>
      <c r="F2904" s="40"/>
      <c r="G2904" s="40"/>
    </row>
    <row r="2905" spans="1:7" ht="12.75" hidden="1" customHeight="1">
      <c r="A2905" s="269" t="s">
        <v>600</v>
      </c>
      <c r="B2905" s="269"/>
      <c r="C2905" s="269"/>
      <c r="D2905" s="269"/>
      <c r="E2905" s="269"/>
      <c r="F2905" s="269"/>
      <c r="G2905" s="40"/>
    </row>
    <row r="2906" spans="1:7" ht="12.75" hidden="1" customHeight="1">
      <c r="A2906" s="42" t="s">
        <v>86</v>
      </c>
      <c r="B2906" s="43" t="s">
        <v>87</v>
      </c>
      <c r="C2906" s="43" t="s">
        <v>88</v>
      </c>
      <c r="D2906" s="43" t="s">
        <v>89</v>
      </c>
      <c r="E2906" s="43" t="s">
        <v>90</v>
      </c>
      <c r="F2906" s="43" t="s">
        <v>91</v>
      </c>
      <c r="G2906" s="40"/>
    </row>
    <row r="2907" spans="1:7" ht="12.75" hidden="1" customHeight="1">
      <c r="A2907" s="39" t="s">
        <v>284</v>
      </c>
      <c r="B2907" s="43"/>
      <c r="C2907" s="44"/>
      <c r="D2907" s="44"/>
      <c r="E2907" s="44"/>
      <c r="F2907" s="44"/>
      <c r="G2907" s="40"/>
    </row>
    <row r="2908" spans="1:7" ht="12.75" hidden="1" customHeight="1">
      <c r="A2908" s="39" t="s">
        <v>285</v>
      </c>
      <c r="B2908" s="43"/>
      <c r="C2908" s="44"/>
      <c r="D2908" s="44"/>
      <c r="E2908" s="44"/>
      <c r="F2908" s="44"/>
      <c r="G2908" s="40"/>
    </row>
    <row r="2909" spans="1:7" ht="12.75" hidden="1" customHeight="1">
      <c r="A2909" s="39" t="s">
        <v>286</v>
      </c>
      <c r="B2909" s="43"/>
      <c r="C2909" s="44"/>
      <c r="D2909" s="44"/>
      <c r="E2909" s="44"/>
      <c r="F2909" s="44"/>
      <c r="G2909" s="40"/>
    </row>
    <row r="2910" spans="1:7" ht="12.75" hidden="1" customHeight="1">
      <c r="A2910" s="39" t="s">
        <v>287</v>
      </c>
      <c r="B2910" s="43"/>
      <c r="C2910" s="44"/>
      <c r="D2910" s="44"/>
      <c r="E2910" s="44"/>
      <c r="F2910" s="44"/>
      <c r="G2910" s="40"/>
    </row>
    <row r="2911" spans="1:7" ht="12.75" hidden="1" customHeight="1">
      <c r="A2911" s="39" t="s">
        <v>288</v>
      </c>
      <c r="B2911" s="43"/>
      <c r="C2911" s="44"/>
      <c r="D2911" s="44"/>
      <c r="E2911" s="44"/>
      <c r="F2911" s="44"/>
      <c r="G2911" s="40"/>
    </row>
    <row r="2912" spans="1:7" ht="12.75" hidden="1" customHeight="1">
      <c r="A2912" s="39" t="s">
        <v>289</v>
      </c>
      <c r="B2912" s="43"/>
      <c r="C2912" s="44"/>
      <c r="D2912" s="44"/>
      <c r="E2912" s="44"/>
      <c r="F2912" s="44"/>
      <c r="G2912" s="40"/>
    </row>
    <row r="2913" spans="1:7" ht="12.75" hidden="1" customHeight="1">
      <c r="A2913" s="39" t="s">
        <v>290</v>
      </c>
      <c r="B2913" s="43"/>
      <c r="C2913" s="44"/>
      <c r="D2913" s="44"/>
      <c r="E2913" s="44"/>
      <c r="F2913" s="44"/>
      <c r="G2913" s="40"/>
    </row>
    <row r="2914" spans="1:7" ht="12.75" hidden="1" customHeight="1">
      <c r="A2914" s="39" t="s">
        <v>291</v>
      </c>
      <c r="B2914" s="43"/>
      <c r="C2914" s="44"/>
      <c r="D2914" s="44"/>
      <c r="E2914" s="44"/>
      <c r="F2914" s="44"/>
      <c r="G2914" s="40"/>
    </row>
    <row r="2915" spans="1:7" ht="12.75" hidden="1" customHeight="1">
      <c r="A2915" s="39" t="s">
        <v>292</v>
      </c>
      <c r="B2915" s="43"/>
      <c r="C2915" s="44"/>
      <c r="D2915" s="44"/>
      <c r="E2915" s="44"/>
      <c r="F2915" s="44"/>
      <c r="G2915" s="40"/>
    </row>
    <row r="2916" spans="1:7" ht="12.75" hidden="1" customHeight="1">
      <c r="A2916" s="39" t="s">
        <v>293</v>
      </c>
      <c r="B2916" s="43"/>
      <c r="C2916" s="44"/>
      <c r="D2916" s="44"/>
      <c r="E2916" s="44"/>
      <c r="F2916" s="44"/>
      <c r="G2916" s="40"/>
    </row>
    <row r="2917" spans="1:7" ht="12.75" hidden="1" customHeight="1">
      <c r="A2917" s="39" t="s">
        <v>30</v>
      </c>
      <c r="B2917" s="45"/>
      <c r="C2917" s="44"/>
      <c r="D2917" s="44"/>
      <c r="E2917" s="44"/>
      <c r="F2917" s="44"/>
      <c r="G2917" s="40"/>
    </row>
    <row r="2918" spans="1:7" ht="12.75" hidden="1" customHeight="1">
      <c r="A2918" s="39" t="s">
        <v>294</v>
      </c>
      <c r="B2918" s="43"/>
      <c r="C2918" s="44"/>
      <c r="D2918" s="44"/>
      <c r="E2918" s="44"/>
      <c r="F2918" s="44"/>
      <c r="G2918" s="40"/>
    </row>
    <row r="2919" spans="1:7" ht="12.75" hidden="1" customHeight="1">
      <c r="A2919" s="39" t="s">
        <v>31</v>
      </c>
      <c r="B2919" s="43"/>
      <c r="C2919" s="44"/>
      <c r="D2919" s="44"/>
      <c r="E2919" s="44"/>
      <c r="F2919" s="44"/>
      <c r="G2919" s="40"/>
    </row>
    <row r="2920" spans="1:7" ht="12.75" hidden="1" customHeight="1">
      <c r="A2920" s="39" t="s">
        <v>295</v>
      </c>
      <c r="B2920" s="43"/>
      <c r="C2920" s="44"/>
      <c r="D2920" s="44"/>
      <c r="E2920" s="44"/>
      <c r="F2920" s="44"/>
      <c r="G2920" s="40"/>
    </row>
    <row r="2921" spans="1:7" ht="12.75" hidden="1" customHeight="1">
      <c r="A2921" s="39" t="s">
        <v>296</v>
      </c>
      <c r="B2921" s="41"/>
      <c r="C2921" s="44"/>
      <c r="D2921" s="44"/>
      <c r="E2921" s="44"/>
      <c r="F2921" s="44"/>
      <c r="G2921" s="40"/>
    </row>
    <row r="2922" spans="1:7" ht="12.75" hidden="1" customHeight="1">
      <c r="A2922" s="39" t="s">
        <v>297</v>
      </c>
      <c r="B2922" s="43"/>
      <c r="C2922" s="44"/>
      <c r="D2922" s="44"/>
      <c r="E2922" s="44"/>
      <c r="F2922" s="44"/>
      <c r="G2922" s="40"/>
    </row>
    <row r="2923" spans="1:7" ht="12.75" hidden="1" customHeight="1">
      <c r="A2923" s="39" t="s">
        <v>492</v>
      </c>
      <c r="B2923" s="43"/>
      <c r="C2923" s="44"/>
      <c r="D2923" s="44"/>
      <c r="E2923" s="44"/>
      <c r="F2923" s="44"/>
      <c r="G2923" s="40"/>
    </row>
    <row r="2924" spans="1:7" ht="12.75" hidden="1" customHeight="1">
      <c r="A2924" s="39" t="s">
        <v>299</v>
      </c>
      <c r="B2924" s="43"/>
      <c r="C2924" s="44"/>
      <c r="D2924" s="44"/>
      <c r="E2924" s="44"/>
      <c r="F2924" s="44"/>
      <c r="G2924" s="40"/>
    </row>
    <row r="2925" spans="1:7" ht="12.75" hidden="1" customHeight="1">
      <c r="A2925" s="39" t="s">
        <v>300</v>
      </c>
      <c r="B2925" s="45"/>
      <c r="C2925" s="44"/>
      <c r="D2925" s="44"/>
      <c r="E2925" s="44"/>
      <c r="F2925" s="44"/>
      <c r="G2925" s="40"/>
    </row>
    <row r="2926" spans="1:7" ht="12.75" hidden="1" customHeight="1">
      <c r="A2926" s="39" t="s">
        <v>301</v>
      </c>
      <c r="B2926" s="43"/>
      <c r="C2926" s="44"/>
      <c r="D2926" s="44"/>
      <c r="E2926" s="44"/>
      <c r="F2926" s="44"/>
      <c r="G2926" s="40"/>
    </row>
    <row r="2927" spans="1:7" ht="12.75" hidden="1" customHeight="1">
      <c r="A2927" s="39" t="s">
        <v>32</v>
      </c>
      <c r="B2927" s="43"/>
      <c r="C2927" s="44"/>
      <c r="D2927" s="44"/>
      <c r="E2927" s="44"/>
      <c r="F2927" s="44"/>
      <c r="G2927" s="40"/>
    </row>
    <row r="2928" spans="1:7" ht="12.75" hidden="1" customHeight="1">
      <c r="A2928" s="39" t="s">
        <v>407</v>
      </c>
      <c r="B2928" s="45"/>
      <c r="C2928" s="44"/>
      <c r="D2928" s="44"/>
      <c r="E2928" s="44"/>
      <c r="F2928" s="44"/>
      <c r="G2928" s="40"/>
    </row>
    <row r="2929" spans="1:7" ht="12.75" hidden="1" customHeight="1">
      <c r="A2929" s="39" t="s">
        <v>489</v>
      </c>
      <c r="B2929" s="45"/>
      <c r="C2929" s="44"/>
      <c r="D2929" s="44"/>
      <c r="E2929" s="44"/>
      <c r="F2929" s="44"/>
      <c r="G2929" s="40"/>
    </row>
    <row r="2930" spans="1:7" ht="12.75" hidden="1" customHeight="1">
      <c r="A2930" s="39" t="s">
        <v>532</v>
      </c>
      <c r="B2930" s="43"/>
      <c r="C2930" s="44"/>
      <c r="D2930" s="44"/>
      <c r="E2930" s="44"/>
      <c r="F2930" s="44"/>
      <c r="G2930" s="40"/>
    </row>
    <row r="2931" spans="1:7" ht="12.75" hidden="1" customHeight="1">
      <c r="A2931" s="39" t="s">
        <v>304</v>
      </c>
      <c r="B2931" s="43"/>
      <c r="C2931" s="44"/>
      <c r="D2931" s="44"/>
      <c r="E2931" s="44"/>
      <c r="F2931" s="44"/>
      <c r="G2931" s="40"/>
    </row>
    <row r="2932" spans="1:7" ht="12.75" hidden="1" customHeight="1">
      <c r="A2932" s="39" t="s">
        <v>34</v>
      </c>
      <c r="B2932" s="43"/>
      <c r="C2932" s="44"/>
      <c r="D2932" s="44"/>
      <c r="E2932" s="44"/>
      <c r="F2932" s="44"/>
      <c r="G2932" s="40"/>
    </row>
    <row r="2933" spans="1:7" ht="12.75" hidden="1" customHeight="1">
      <c r="A2933" s="39" t="s">
        <v>35</v>
      </c>
      <c r="B2933" s="43"/>
      <c r="C2933" s="44"/>
      <c r="D2933" s="44"/>
      <c r="E2933" s="44"/>
      <c r="F2933" s="44"/>
      <c r="G2933" s="40"/>
    </row>
    <row r="2934" spans="1:7" ht="12.75" hidden="1" customHeight="1">
      <c r="A2934" s="39" t="s">
        <v>305</v>
      </c>
      <c r="B2934" s="43"/>
      <c r="C2934" s="44"/>
      <c r="D2934" s="44"/>
      <c r="E2934" s="44"/>
      <c r="F2934" s="44"/>
      <c r="G2934" s="40"/>
    </row>
    <row r="2935" spans="1:7" ht="12.75" hidden="1" customHeight="1">
      <c r="A2935" s="39" t="s">
        <v>306</v>
      </c>
      <c r="B2935" s="45"/>
      <c r="C2935" s="44"/>
      <c r="D2935" s="44"/>
      <c r="E2935" s="44"/>
      <c r="F2935" s="44"/>
      <c r="G2935" s="40"/>
    </row>
    <row r="2936" spans="1:7" ht="12.75" hidden="1" customHeight="1">
      <c r="A2936" s="39" t="s">
        <v>36</v>
      </c>
      <c r="B2936" s="43"/>
      <c r="C2936" s="44"/>
      <c r="D2936" s="44"/>
      <c r="E2936" s="44"/>
      <c r="F2936" s="44"/>
      <c r="G2936" s="40"/>
    </row>
    <row r="2937" spans="1:7" ht="12.75" hidden="1" customHeight="1">
      <c r="A2937" s="39" t="s">
        <v>37</v>
      </c>
      <c r="B2937" s="45"/>
      <c r="C2937" s="44"/>
      <c r="D2937" s="44"/>
      <c r="E2937" s="44"/>
      <c r="F2937" s="44"/>
      <c r="G2937" s="40"/>
    </row>
    <row r="2938" spans="1:7" ht="12.75" hidden="1" customHeight="1">
      <c r="A2938" s="39" t="s">
        <v>38</v>
      </c>
      <c r="B2938" s="43"/>
      <c r="C2938" s="44"/>
      <c r="D2938" s="44"/>
      <c r="E2938" s="44"/>
      <c r="F2938" s="44"/>
      <c r="G2938" s="40"/>
    </row>
    <row r="2939" spans="1:7" ht="12.75" hidden="1" customHeight="1">
      <c r="A2939" s="39" t="s">
        <v>307</v>
      </c>
      <c r="B2939" s="43"/>
      <c r="C2939" s="44"/>
      <c r="D2939" s="44"/>
      <c r="E2939" s="44"/>
      <c r="F2939" s="44"/>
      <c r="G2939" s="40"/>
    </row>
    <row r="2940" spans="1:7" ht="12.75" hidden="1" customHeight="1">
      <c r="A2940" s="39" t="s">
        <v>308</v>
      </c>
      <c r="B2940" s="43"/>
      <c r="C2940" s="44"/>
      <c r="D2940" s="44"/>
      <c r="E2940" s="44"/>
      <c r="F2940" s="44"/>
      <c r="G2940" s="40"/>
    </row>
    <row r="2941" spans="1:7" ht="12.75" hidden="1" customHeight="1">
      <c r="A2941" s="39" t="s">
        <v>39</v>
      </c>
      <c r="B2941" s="45"/>
      <c r="C2941" s="44"/>
      <c r="D2941" s="44"/>
      <c r="E2941" s="44"/>
      <c r="F2941" s="44"/>
      <c r="G2941" s="40"/>
    </row>
    <row r="2942" spans="1:7" ht="12.75" hidden="1" customHeight="1">
      <c r="A2942" s="39" t="s">
        <v>40</v>
      </c>
      <c r="B2942" s="43"/>
      <c r="C2942" s="44"/>
      <c r="D2942" s="44"/>
      <c r="E2942" s="44"/>
      <c r="F2942" s="44"/>
      <c r="G2942" s="40"/>
    </row>
    <row r="2943" spans="1:7" ht="12.75" hidden="1" customHeight="1">
      <c r="A2943" s="39" t="s">
        <v>41</v>
      </c>
      <c r="B2943" s="43"/>
      <c r="C2943" s="44"/>
      <c r="D2943" s="44"/>
      <c r="E2943" s="44"/>
      <c r="F2943" s="44"/>
      <c r="G2943" s="40"/>
    </row>
    <row r="2944" spans="1:7" ht="12.75" hidden="1" customHeight="1">
      <c r="A2944" s="39" t="s">
        <v>309</v>
      </c>
      <c r="B2944" s="45"/>
      <c r="C2944" s="44"/>
      <c r="D2944" s="44"/>
      <c r="E2944" s="44"/>
      <c r="F2944" s="44"/>
      <c r="G2944" s="40"/>
    </row>
    <row r="2945" spans="1:7" ht="12.75" hidden="1" customHeight="1">
      <c r="A2945" s="39" t="s">
        <v>310</v>
      </c>
      <c r="B2945" s="45"/>
      <c r="C2945" s="44"/>
      <c r="D2945" s="44"/>
      <c r="E2945" s="44"/>
      <c r="F2945" s="44"/>
      <c r="G2945" s="40"/>
    </row>
    <row r="2946" spans="1:7" ht="12.75" hidden="1" customHeight="1">
      <c r="A2946" s="39" t="s">
        <v>311</v>
      </c>
      <c r="B2946" s="43"/>
      <c r="C2946" s="44"/>
      <c r="D2946" s="44"/>
      <c r="E2946" s="44"/>
      <c r="F2946" s="44"/>
      <c r="G2946" s="40"/>
    </row>
    <row r="2947" spans="1:7" ht="12.75" hidden="1" customHeight="1">
      <c r="A2947" s="39" t="s">
        <v>312</v>
      </c>
      <c r="B2947" s="43"/>
      <c r="C2947" s="44"/>
      <c r="D2947" s="44"/>
      <c r="E2947" s="44"/>
      <c r="F2947" s="44"/>
      <c r="G2947" s="40"/>
    </row>
    <row r="2948" spans="1:7" ht="12.75" hidden="1" customHeight="1">
      <c r="A2948" s="39" t="s">
        <v>313</v>
      </c>
      <c r="B2948" s="45"/>
      <c r="C2948" s="44"/>
      <c r="D2948" s="44"/>
      <c r="E2948" s="44"/>
      <c r="F2948" s="44"/>
      <c r="G2948" s="40"/>
    </row>
    <row r="2949" spans="1:7" ht="12.75" hidden="1" customHeight="1">
      <c r="A2949" s="39" t="s">
        <v>314</v>
      </c>
      <c r="B2949" s="45"/>
      <c r="C2949" s="44"/>
      <c r="D2949" s="44"/>
      <c r="E2949" s="44"/>
      <c r="F2949" s="44"/>
      <c r="G2949" s="40"/>
    </row>
    <row r="2950" spans="1:7" ht="12.75" hidden="1" customHeight="1">
      <c r="A2950" s="39" t="s">
        <v>315</v>
      </c>
      <c r="B2950" s="43"/>
      <c r="C2950" s="44"/>
      <c r="D2950" s="44"/>
      <c r="E2950" s="44"/>
      <c r="F2950" s="44"/>
      <c r="G2950" s="40"/>
    </row>
    <row r="2951" spans="1:7" ht="12.75" hidden="1" customHeight="1">
      <c r="A2951" s="39" t="s">
        <v>316</v>
      </c>
      <c r="B2951" s="45"/>
      <c r="C2951" s="44"/>
      <c r="D2951" s="44"/>
      <c r="E2951" s="44"/>
      <c r="F2951" s="44"/>
      <c r="G2951" s="40"/>
    </row>
    <row r="2952" spans="1:7" ht="12.75" hidden="1" customHeight="1">
      <c r="A2952" s="39" t="s">
        <v>317</v>
      </c>
      <c r="B2952" s="45"/>
      <c r="C2952" s="44"/>
      <c r="D2952" s="44"/>
      <c r="E2952" s="44"/>
      <c r="F2952" s="44"/>
      <c r="G2952" s="40"/>
    </row>
    <row r="2953" spans="1:7" ht="12.75" hidden="1" customHeight="1">
      <c r="A2953" s="39" t="s">
        <v>318</v>
      </c>
      <c r="B2953" s="45"/>
      <c r="C2953" s="44"/>
      <c r="D2953" s="44"/>
      <c r="E2953" s="44"/>
      <c r="F2953" s="44"/>
      <c r="G2953" s="40"/>
    </row>
    <row r="2954" spans="1:7" ht="12.75" hidden="1" customHeight="1">
      <c r="A2954" s="46" t="s">
        <v>319</v>
      </c>
      <c r="B2954" s="45"/>
      <c r="C2954" s="44"/>
      <c r="D2954" s="44"/>
      <c r="E2954" s="44"/>
      <c r="F2954" s="44"/>
      <c r="G2954" s="40"/>
    </row>
    <row r="2955" spans="1:7" ht="12.75" hidden="1" customHeight="1">
      <c r="A2955" s="46" t="s">
        <v>320</v>
      </c>
      <c r="B2955" s="45"/>
      <c r="C2955" s="44"/>
      <c r="D2955" s="44"/>
      <c r="E2955" s="44"/>
      <c r="F2955" s="44"/>
      <c r="G2955" s="40"/>
    </row>
    <row r="2956" spans="1:7" ht="12.75" hidden="1" customHeight="1">
      <c r="A2956" s="46" t="s">
        <v>321</v>
      </c>
      <c r="B2956" s="45"/>
      <c r="C2956" s="44"/>
      <c r="D2956" s="44"/>
      <c r="E2956" s="44"/>
      <c r="F2956" s="44"/>
      <c r="G2956" s="40"/>
    </row>
    <row r="2957" spans="1:7" ht="12.75" hidden="1" customHeight="1">
      <c r="A2957" s="46" t="s">
        <v>322</v>
      </c>
      <c r="B2957" s="45"/>
      <c r="C2957" s="44"/>
      <c r="D2957" s="44"/>
      <c r="E2957" s="44"/>
      <c r="F2957" s="44"/>
      <c r="G2957" s="40"/>
    </row>
    <row r="2958" spans="1:7" ht="12.75" hidden="1" customHeight="1">
      <c r="A2958" s="46" t="s">
        <v>323</v>
      </c>
      <c r="B2958" s="45"/>
      <c r="C2958" s="44"/>
      <c r="D2958" s="44"/>
      <c r="E2958" s="44"/>
      <c r="F2958" s="44"/>
      <c r="G2958" s="40"/>
    </row>
    <row r="2959" spans="1:7" ht="12.75" hidden="1" customHeight="1">
      <c r="A2959" s="46" t="s">
        <v>324</v>
      </c>
      <c r="B2959" s="45"/>
      <c r="C2959" s="44"/>
      <c r="D2959" s="44"/>
      <c r="E2959" s="44"/>
      <c r="F2959" s="44"/>
      <c r="G2959" s="40"/>
    </row>
    <row r="2960" spans="1:7" ht="12.75" hidden="1" customHeight="1">
      <c r="A2960" s="46" t="s">
        <v>325</v>
      </c>
      <c r="B2960" s="45"/>
      <c r="C2960" s="44"/>
      <c r="D2960" s="44"/>
      <c r="E2960" s="44"/>
      <c r="F2960" s="44"/>
      <c r="G2960" s="40"/>
    </row>
    <row r="2961" spans="1:7" ht="12.75" hidden="1" customHeight="1">
      <c r="A2961" s="46" t="s">
        <v>326</v>
      </c>
      <c r="B2961" s="45"/>
      <c r="C2961" s="44"/>
      <c r="D2961" s="44"/>
      <c r="E2961" s="44"/>
      <c r="F2961" s="44"/>
      <c r="G2961" s="40"/>
    </row>
    <row r="2962" spans="1:7" ht="12.75" hidden="1" customHeight="1">
      <c r="A2962" s="46" t="s">
        <v>327</v>
      </c>
      <c r="B2962" s="45"/>
      <c r="C2962" s="44"/>
      <c r="D2962" s="44"/>
      <c r="E2962" s="44"/>
      <c r="F2962" s="44"/>
      <c r="G2962" s="40"/>
    </row>
    <row r="2963" spans="1:7" ht="12.75" hidden="1" customHeight="1">
      <c r="A2963" s="46" t="s">
        <v>328</v>
      </c>
      <c r="B2963" s="45"/>
      <c r="C2963" s="44"/>
      <c r="D2963" s="44"/>
      <c r="E2963" s="44"/>
      <c r="F2963" s="44"/>
      <c r="G2963" s="40"/>
    </row>
    <row r="2964" spans="1:7" ht="12.75" hidden="1" customHeight="1">
      <c r="A2964" s="46" t="s">
        <v>329</v>
      </c>
      <c r="B2964" s="47"/>
      <c r="C2964" s="44"/>
      <c r="D2964" s="44"/>
      <c r="E2964" s="44"/>
      <c r="F2964" s="44"/>
      <c r="G2964" s="40"/>
    </row>
    <row r="2965" spans="1:7" ht="12.75" hidden="1" customHeight="1">
      <c r="A2965" s="152" t="s">
        <v>490</v>
      </c>
      <c r="B2965" s="176"/>
      <c r="C2965" s="44"/>
      <c r="D2965" s="44"/>
      <c r="E2965" s="44"/>
      <c r="F2965" s="44"/>
      <c r="G2965" s="40"/>
    </row>
    <row r="2966" spans="1:7" ht="12.75" hidden="1" customHeight="1">
      <c r="A2966" s="152" t="s">
        <v>493</v>
      </c>
      <c r="B2966" s="176"/>
      <c r="C2966" s="44"/>
      <c r="D2966" s="44"/>
      <c r="E2966" s="44"/>
      <c r="F2966" s="44"/>
      <c r="G2966" s="40"/>
    </row>
    <row r="2967" spans="1:7" ht="12.75" hidden="1" customHeight="1">
      <c r="A2967" s="152" t="s">
        <v>495</v>
      </c>
      <c r="B2967" s="176"/>
      <c r="C2967" s="44"/>
      <c r="D2967" s="44"/>
      <c r="E2967" s="44"/>
      <c r="F2967" s="44"/>
      <c r="G2967" s="40"/>
    </row>
    <row r="2968" spans="1:7" ht="12.75" hidden="1" customHeight="1">
      <c r="A2968" s="152" t="s">
        <v>496</v>
      </c>
      <c r="B2968" s="176"/>
      <c r="C2968" s="44"/>
      <c r="D2968" s="44"/>
      <c r="E2968" s="44"/>
      <c r="F2968" s="44"/>
      <c r="G2968" s="40"/>
    </row>
    <row r="2969" spans="1:7" ht="12.75" hidden="1" customHeight="1">
      <c r="A2969" s="152" t="s">
        <v>498</v>
      </c>
      <c r="B2969" s="176"/>
      <c r="C2969" s="44"/>
      <c r="D2969" s="44"/>
      <c r="E2969" s="44"/>
      <c r="F2969" s="44"/>
      <c r="G2969" s="40"/>
    </row>
    <row r="2970" spans="1:7" ht="12.75" hidden="1" customHeight="1">
      <c r="A2970" s="46" t="s">
        <v>330</v>
      </c>
      <c r="B2970" s="47"/>
      <c r="C2970" s="66">
        <v>2965.82</v>
      </c>
      <c r="D2970" s="66">
        <v>0</v>
      </c>
      <c r="E2970" s="66">
        <v>141989.29</v>
      </c>
      <c r="F2970" s="44">
        <v>144955.11000000002</v>
      </c>
      <c r="G2970" s="40"/>
    </row>
    <row r="2971" spans="1:7" ht="12.75" hidden="1" customHeight="1">
      <c r="A2971" s="48" t="s">
        <v>150</v>
      </c>
      <c r="B2971" s="48"/>
      <c r="C2971" s="49">
        <f>2965.82</f>
        <v>2965.82</v>
      </c>
      <c r="D2971" s="50">
        <v>0</v>
      </c>
      <c r="E2971" s="50">
        <v>141989.29</v>
      </c>
      <c r="F2971" s="50">
        <f>SUM(C2971:E2971)</f>
        <v>144955.11000000002</v>
      </c>
      <c r="G2971" s="40"/>
    </row>
    <row r="2972" spans="1:7" ht="12.75" hidden="1" customHeight="1">
      <c r="A2972" s="141" t="s">
        <v>602</v>
      </c>
    </row>
    <row r="2973" spans="1:7" ht="12.75" hidden="1" customHeight="1"/>
    <row r="2974" spans="1:7" ht="12.75" hidden="1" customHeight="1"/>
    <row r="2975" spans="1:7" ht="12.75" hidden="1" customHeight="1">
      <c r="A2975" s="77" t="s">
        <v>660</v>
      </c>
      <c r="B2975" s="39"/>
      <c r="C2975" s="78"/>
      <c r="D2975" s="78"/>
      <c r="E2975" s="78"/>
      <c r="F2975" s="78"/>
      <c r="G2975" s="40"/>
    </row>
    <row r="2976" spans="1:7" ht="12.75" hidden="1" customHeight="1">
      <c r="A2976" s="206" t="s">
        <v>337</v>
      </c>
      <c r="B2976" s="81" t="s">
        <v>87</v>
      </c>
      <c r="C2976" s="81" t="s">
        <v>338</v>
      </c>
      <c r="D2976" s="78" t="s">
        <v>339</v>
      </c>
      <c r="E2976" s="78" t="s">
        <v>340</v>
      </c>
      <c r="F2976" s="78" t="s">
        <v>341</v>
      </c>
      <c r="G2976" s="40"/>
    </row>
    <row r="2977" spans="1:7" ht="12.75" hidden="1" customHeight="1">
      <c r="A2977" s="206" t="s">
        <v>0</v>
      </c>
      <c r="B2977" s="81">
        <v>980</v>
      </c>
      <c r="C2977" s="234">
        <f t="shared" ref="C2977:E2978" si="129">B2977/B$2983*C$2983</f>
        <v>195445.46202898552</v>
      </c>
      <c r="D2977" s="234">
        <f t="shared" si="129"/>
        <v>90331.755652173917</v>
      </c>
      <c r="E2977" s="234">
        <f t="shared" si="129"/>
        <v>102547.94565217392</v>
      </c>
      <c r="F2977" s="81">
        <f t="shared" ref="F2977:F2983" si="130">SUM(C2977:E2977)</f>
        <v>388325.16333333333</v>
      </c>
      <c r="G2977" s="40"/>
    </row>
    <row r="2978" spans="1:7" ht="12.75" hidden="1" customHeight="1">
      <c r="A2978" s="206" t="s">
        <v>342</v>
      </c>
      <c r="B2978" s="81">
        <v>400</v>
      </c>
      <c r="C2978" s="234">
        <f t="shared" si="129"/>
        <v>79773.657971014502</v>
      </c>
      <c r="D2978" s="234">
        <f t="shared" si="129"/>
        <v>36870.104347826091</v>
      </c>
      <c r="E2978" s="234">
        <f t="shared" si="129"/>
        <v>41856.304347826088</v>
      </c>
      <c r="F2978" s="81">
        <f t="shared" si="130"/>
        <v>158500.06666666668</v>
      </c>
      <c r="G2978" s="40"/>
    </row>
    <row r="2979" spans="1:7" ht="12.75" hidden="1" customHeight="1">
      <c r="A2979" s="206" t="s">
        <v>343</v>
      </c>
      <c r="B2979" s="81"/>
      <c r="C2979" s="81"/>
      <c r="D2979" s="81"/>
      <c r="E2979" s="81">
        <f>D2979/D$2983*E$2983</f>
        <v>0</v>
      </c>
      <c r="F2979" s="81">
        <f t="shared" si="130"/>
        <v>0</v>
      </c>
      <c r="G2979" s="40"/>
    </row>
    <row r="2980" spans="1:7" ht="12.75" hidden="1" customHeight="1">
      <c r="A2980" s="206" t="s">
        <v>344</v>
      </c>
      <c r="B2980" s="81"/>
      <c r="C2980" s="81"/>
      <c r="D2980" s="81"/>
      <c r="E2980" s="81">
        <f>D2980/D$2983*E$2983</f>
        <v>0</v>
      </c>
      <c r="F2980" s="81">
        <f t="shared" si="130"/>
        <v>0</v>
      </c>
      <c r="G2980" s="40"/>
    </row>
    <row r="2981" spans="1:7" ht="12.75" hidden="1" customHeight="1">
      <c r="A2981" s="206" t="s">
        <v>345</v>
      </c>
      <c r="B2981" s="81"/>
      <c r="C2981" s="81"/>
      <c r="D2981" s="81"/>
      <c r="E2981" s="81">
        <f>D2981/D$2983*E$2983</f>
        <v>0</v>
      </c>
      <c r="F2981" s="81">
        <f t="shared" si="130"/>
        <v>0</v>
      </c>
      <c r="G2981" s="40"/>
    </row>
    <row r="2982" spans="1:7" ht="12.75" hidden="1" customHeight="1">
      <c r="A2982" s="229" t="s">
        <v>641</v>
      </c>
      <c r="B2982" s="81"/>
      <c r="C2982" s="81"/>
      <c r="D2982" s="81"/>
      <c r="E2982" s="81">
        <f>D2982/D$2983*E$2983</f>
        <v>0</v>
      </c>
      <c r="F2982" s="81">
        <f t="shared" si="130"/>
        <v>0</v>
      </c>
      <c r="G2982" s="40"/>
    </row>
    <row r="2983" spans="1:7" ht="12.75" hidden="1" customHeight="1">
      <c r="A2983" s="206" t="s">
        <v>346</v>
      </c>
      <c r="B2983" s="205">
        <f>SUM(B2977:B2982)</f>
        <v>1380</v>
      </c>
      <c r="C2983" s="205">
        <f>275219.12</f>
        <v>275219.12</v>
      </c>
      <c r="D2983" s="82">
        <f>5512.6+36808.8+10304.86+5133+260+51740.6+17442</f>
        <v>127201.86</v>
      </c>
      <c r="E2983" s="82">
        <f>144404.25</f>
        <v>144404.25</v>
      </c>
      <c r="F2983" s="82">
        <f t="shared" si="130"/>
        <v>546825.23</v>
      </c>
      <c r="G2983" s="40"/>
    </row>
    <row r="2984" spans="1:7" ht="12.75" hidden="1" customHeight="1">
      <c r="A2984" s="270" t="s">
        <v>688</v>
      </c>
      <c r="B2984" s="271"/>
      <c r="C2984" s="271"/>
      <c r="D2984" s="271"/>
      <c r="E2984" s="271"/>
      <c r="F2984" s="271"/>
      <c r="G2984" s="40"/>
    </row>
    <row r="2985" spans="1:7" ht="12.75" hidden="1" customHeight="1">
      <c r="A2985" s="280" t="s">
        <v>689</v>
      </c>
      <c r="B2985" s="281"/>
      <c r="C2985" s="281"/>
      <c r="D2985" s="281"/>
      <c r="E2985" s="281"/>
      <c r="F2985" s="281"/>
      <c r="G2985" s="40"/>
    </row>
    <row r="2986" spans="1:7" ht="12.75" hidden="1" customHeight="1">
      <c r="A2986" s="83"/>
      <c r="B2986" s="84"/>
      <c r="C2986" s="40"/>
      <c r="D2986" s="40"/>
      <c r="E2986" s="41"/>
      <c r="F2986" s="40"/>
      <c r="G2986" s="40"/>
    </row>
    <row r="2987" spans="1:7" ht="12.75" hidden="1" customHeight="1">
      <c r="A2987" s="85"/>
      <c r="B2987" s="84"/>
      <c r="C2987" s="40"/>
      <c r="D2987" s="40"/>
      <c r="E2987" s="41"/>
      <c r="F2987" s="40"/>
      <c r="G2987" s="40"/>
    </row>
    <row r="2988" spans="1:7" ht="12.75" hidden="1" customHeight="1">
      <c r="A2988" s="77"/>
      <c r="B2988" s="82"/>
      <c r="C2988" s="82"/>
      <c r="D2988" s="82"/>
      <c r="E2988" s="82"/>
      <c r="F2988" s="82"/>
      <c r="G2988" s="40"/>
    </row>
    <row r="2989" spans="1:7" ht="12.75" hidden="1" customHeight="1">
      <c r="A2989" s="77" t="s">
        <v>661</v>
      </c>
      <c r="B2989" s="43" t="s">
        <v>87</v>
      </c>
      <c r="C2989" s="86" t="s">
        <v>88</v>
      </c>
      <c r="D2989" s="86" t="s">
        <v>89</v>
      </c>
      <c r="E2989" s="86" t="s">
        <v>90</v>
      </c>
      <c r="F2989" s="86" t="s">
        <v>91</v>
      </c>
      <c r="G2989" s="40"/>
    </row>
    <row r="2990" spans="1:7" ht="12.75" hidden="1" customHeight="1">
      <c r="A2990" s="87" t="s">
        <v>349</v>
      </c>
      <c r="B2990" s="88"/>
      <c r="C2990" s="88"/>
      <c r="D2990" s="88"/>
      <c r="E2990" s="88"/>
      <c r="F2990" s="88"/>
      <c r="G2990" s="40"/>
    </row>
    <row r="2991" spans="1:7" ht="12.75" hidden="1" customHeight="1">
      <c r="A2991" s="87" t="s">
        <v>350</v>
      </c>
      <c r="B2991" s="88">
        <f>3*48</f>
        <v>144</v>
      </c>
      <c r="C2991" s="88">
        <f>B2991/B3001*C3001</f>
        <v>30662.080000000002</v>
      </c>
      <c r="D2991" s="88">
        <f>B2991/B3001*D3001</f>
        <v>13918.545454545454</v>
      </c>
      <c r="E2991" s="88">
        <f>B2991/B3001*E3001</f>
        <v>74482.02</v>
      </c>
      <c r="F2991" s="88">
        <f>SUM(C2991:E2991)</f>
        <v>119062.64545454546</v>
      </c>
      <c r="G2991" s="40"/>
    </row>
    <row r="2992" spans="1:7" ht="12.75" hidden="1" customHeight="1">
      <c r="A2992" s="87" t="s">
        <v>351</v>
      </c>
      <c r="B2992" s="88"/>
      <c r="C2992" s="88"/>
      <c r="D2992" s="88"/>
      <c r="E2992" s="88"/>
      <c r="F2992" s="88"/>
      <c r="G2992" s="40"/>
    </row>
    <row r="2993" spans="1:7" ht="12.75" hidden="1" customHeight="1">
      <c r="A2993" s="87" t="s">
        <v>352</v>
      </c>
      <c r="B2993" s="57">
        <f>4*48</f>
        <v>192</v>
      </c>
      <c r="C2993" s="88">
        <f>B2993/B3001*C3001</f>
        <v>40882.773333333338</v>
      </c>
      <c r="D2993" s="88">
        <f>B2993/B3001*D3001</f>
        <v>18558.060606060608</v>
      </c>
      <c r="E2993" s="88">
        <f>B2993/B3001*E3001</f>
        <v>99309.36</v>
      </c>
      <c r="F2993" s="88">
        <f>SUM(C2993:E2993)</f>
        <v>158750.19393939394</v>
      </c>
      <c r="G2993" s="40"/>
    </row>
    <row r="2994" spans="1:7" ht="12.75" hidden="1" customHeight="1">
      <c r="A2994" s="87" t="s">
        <v>556</v>
      </c>
      <c r="B2994" s="88"/>
      <c r="C2994" s="88"/>
      <c r="D2994" s="88"/>
      <c r="E2994" s="88"/>
      <c r="F2994" s="88">
        <f t="shared" ref="F2994:F3000" si="131">SUM(C2994:E2994)</f>
        <v>0</v>
      </c>
      <c r="G2994" s="40"/>
    </row>
    <row r="2995" spans="1:7" ht="12.75" hidden="1" customHeight="1">
      <c r="A2995" s="87" t="s">
        <v>354</v>
      </c>
      <c r="B2995" s="88"/>
      <c r="C2995" s="88"/>
      <c r="D2995" s="88"/>
      <c r="E2995" s="88"/>
      <c r="F2995" s="88">
        <f t="shared" si="131"/>
        <v>0</v>
      </c>
      <c r="G2995" s="40"/>
    </row>
    <row r="2996" spans="1:7" ht="12.75" hidden="1" customHeight="1">
      <c r="A2996" s="87" t="s">
        <v>355</v>
      </c>
      <c r="B2996" s="88"/>
      <c r="C2996" s="88"/>
      <c r="D2996" s="88"/>
      <c r="E2996" s="88"/>
      <c r="F2996" s="88">
        <f t="shared" si="131"/>
        <v>0</v>
      </c>
      <c r="G2996" s="40"/>
    </row>
    <row r="2997" spans="1:7" ht="12.75" hidden="1" customHeight="1">
      <c r="A2997" s="87" t="s">
        <v>356</v>
      </c>
      <c r="B2997" s="88"/>
      <c r="C2997" s="88"/>
      <c r="D2997" s="88"/>
      <c r="E2997" s="88"/>
      <c r="F2997" s="88">
        <f t="shared" si="131"/>
        <v>0</v>
      </c>
      <c r="G2997" s="40"/>
    </row>
    <row r="2998" spans="1:7" ht="12.75" hidden="1" customHeight="1">
      <c r="A2998" s="87" t="s">
        <v>357</v>
      </c>
      <c r="B2998" s="57"/>
      <c r="C2998" s="88"/>
      <c r="D2998" s="88"/>
      <c r="E2998" s="88"/>
      <c r="F2998" s="88">
        <f t="shared" si="131"/>
        <v>0</v>
      </c>
      <c r="G2998" s="40"/>
    </row>
    <row r="2999" spans="1:7" ht="12.75" hidden="1" customHeight="1">
      <c r="A2999" s="227" t="s">
        <v>639</v>
      </c>
      <c r="B2999" s="57"/>
      <c r="C2999" s="88"/>
      <c r="D2999" s="88"/>
      <c r="E2999" s="88"/>
      <c r="F2999" s="88">
        <f t="shared" si="131"/>
        <v>0</v>
      </c>
      <c r="G2999" s="40"/>
    </row>
    <row r="3000" spans="1:7" ht="12.75" hidden="1" customHeight="1">
      <c r="A3000" s="227" t="s">
        <v>686</v>
      </c>
      <c r="B3000" s="57">
        <f>19*24</f>
        <v>456</v>
      </c>
      <c r="C3000" s="88">
        <f>B3000/B3001*C3001</f>
        <v>97096.58666666667</v>
      </c>
      <c r="D3000" s="88">
        <f>B3000/B3001*D3001</f>
        <v>44075.393939393944</v>
      </c>
      <c r="E3000" s="88">
        <f>B3000/B3001*E3001</f>
        <v>235859.73</v>
      </c>
      <c r="F3000" s="88">
        <f t="shared" si="131"/>
        <v>377031.71060606063</v>
      </c>
      <c r="G3000" s="40"/>
    </row>
    <row r="3001" spans="1:7" ht="12.75" hidden="1" customHeight="1">
      <c r="A3001" s="77" t="s">
        <v>346</v>
      </c>
      <c r="B3001" s="82">
        <f>SUM(B2991:B3000)</f>
        <v>792</v>
      </c>
      <c r="C3001" s="82">
        <f>168641.44</f>
        <v>168641.44</v>
      </c>
      <c r="D3001" s="82">
        <f>2755+18404+5150+2005+12868+780+25844+8746</f>
        <v>76552</v>
      </c>
      <c r="E3001" s="82">
        <f>409651.11</f>
        <v>409651.11</v>
      </c>
      <c r="F3001" s="82">
        <f>SUM(C3001:E3001)</f>
        <v>654844.55000000005</v>
      </c>
      <c r="G3001" s="40"/>
    </row>
    <row r="3002" spans="1:7" ht="12.75" hidden="1" customHeight="1">
      <c r="A3002" s="151" t="s">
        <v>687</v>
      </c>
      <c r="B3002" s="84"/>
      <c r="C3002" s="84"/>
      <c r="D3002" s="84"/>
      <c r="E3002" s="84"/>
      <c r="F3002" s="84"/>
      <c r="G3002" s="90"/>
    </row>
    <row r="3003" spans="1:7" ht="12.75" hidden="1" customHeight="1">
      <c r="A3003" s="85"/>
      <c r="B3003" s="84"/>
      <c r="C3003" s="84"/>
      <c r="D3003" s="84"/>
      <c r="E3003" s="84"/>
      <c r="F3003" s="84"/>
      <c r="G3003" s="90"/>
    </row>
    <row r="3004" spans="1:7" ht="12.75" hidden="1" customHeight="1">
      <c r="A3004" s="91"/>
      <c r="B3004" s="84"/>
      <c r="C3004" s="84"/>
      <c r="D3004" s="84"/>
      <c r="E3004" s="84"/>
      <c r="F3004" s="84"/>
      <c r="G3004" s="90"/>
    </row>
    <row r="3005" spans="1:7" ht="12.75" hidden="1" customHeight="1">
      <c r="A3005" s="91"/>
      <c r="B3005" s="84"/>
      <c r="C3005" s="84"/>
      <c r="D3005" s="84"/>
      <c r="E3005" s="84"/>
      <c r="F3005" s="84"/>
      <c r="G3005" s="40"/>
    </row>
    <row r="3006" spans="1:7" ht="12.75" hidden="1" customHeight="1">
      <c r="A3006" s="83"/>
      <c r="B3006" s="92"/>
      <c r="C3006" s="92"/>
      <c r="D3006" s="92"/>
      <c r="E3006" s="92"/>
      <c r="F3006" s="92"/>
      <c r="G3006" s="40"/>
    </row>
    <row r="3007" spans="1:7" ht="12.75" hidden="1" customHeight="1">
      <c r="A3007" s="77" t="s">
        <v>662</v>
      </c>
      <c r="B3007" s="43" t="s">
        <v>87</v>
      </c>
      <c r="C3007" s="78" t="s">
        <v>338</v>
      </c>
      <c r="D3007" s="78" t="s">
        <v>339</v>
      </c>
      <c r="E3007" s="78" t="s">
        <v>340</v>
      </c>
      <c r="F3007" s="78" t="s">
        <v>341</v>
      </c>
      <c r="G3007" s="40"/>
    </row>
    <row r="3008" spans="1:7" ht="12.75" hidden="1" customHeight="1">
      <c r="A3008" s="80" t="s">
        <v>361</v>
      </c>
      <c r="B3008" s="93"/>
      <c r="C3008" s="94"/>
      <c r="D3008" s="94"/>
      <c r="E3008" s="94"/>
      <c r="F3008" s="94"/>
      <c r="G3008" s="40"/>
    </row>
    <row r="3009" spans="1:7" ht="12.75" hidden="1" customHeight="1">
      <c r="A3009" s="80" t="s">
        <v>362</v>
      </c>
      <c r="B3009" s="93">
        <f>30*48</f>
        <v>1440</v>
      </c>
      <c r="C3009" s="204">
        <f t="shared" ref="C3009:E3010" si="132">B3009/B$3019*C$3019</f>
        <v>54420.509560117302</v>
      </c>
      <c r="D3009" s="204">
        <f t="shared" si="132"/>
        <v>8657.313782991203</v>
      </c>
      <c r="E3009" s="204">
        <f t="shared" si="132"/>
        <v>31309.945337243404</v>
      </c>
      <c r="F3009" s="94">
        <f>SUM(C3009:E3009)</f>
        <v>94387.768680351903</v>
      </c>
      <c r="G3009" s="40"/>
    </row>
    <row r="3010" spans="1:7" ht="12.75" hidden="1" customHeight="1">
      <c r="A3010" s="80" t="s">
        <v>363</v>
      </c>
      <c r="B3010" s="93">
        <f>30*48</f>
        <v>1440</v>
      </c>
      <c r="C3010" s="204">
        <f t="shared" si="132"/>
        <v>54420.509560117302</v>
      </c>
      <c r="D3010" s="204">
        <f t="shared" si="132"/>
        <v>8657.313782991203</v>
      </c>
      <c r="E3010" s="204">
        <f t="shared" si="132"/>
        <v>31309.945337243404</v>
      </c>
      <c r="F3010" s="94">
        <f t="shared" ref="F3010:F3017" si="133">SUM(C3010:E3010)</f>
        <v>94387.768680351903</v>
      </c>
      <c r="G3010" s="40"/>
    </row>
    <row r="3011" spans="1:7" ht="12.75" hidden="1" customHeight="1">
      <c r="A3011" s="80" t="s">
        <v>364</v>
      </c>
      <c r="B3011" s="93"/>
      <c r="C3011" s="94"/>
      <c r="D3011" s="94"/>
      <c r="E3011" s="94"/>
      <c r="F3011" s="94"/>
      <c r="G3011" s="40"/>
    </row>
    <row r="3012" spans="1:7" ht="12.75" hidden="1" customHeight="1">
      <c r="A3012" s="80" t="s">
        <v>365</v>
      </c>
      <c r="B3012" s="93">
        <f>25*12</f>
        <v>300</v>
      </c>
      <c r="C3012" s="204">
        <f t="shared" ref="C3012:E3014" si="134">B3012/B$3019*C$3019</f>
        <v>11337.606158357772</v>
      </c>
      <c r="D3012" s="204">
        <f t="shared" si="134"/>
        <v>1803.6070381231673</v>
      </c>
      <c r="E3012" s="204">
        <f t="shared" si="134"/>
        <v>6522.9052785923759</v>
      </c>
      <c r="F3012" s="94">
        <f t="shared" si="133"/>
        <v>19664.118475073315</v>
      </c>
      <c r="G3012" s="40"/>
    </row>
    <row r="3013" spans="1:7" ht="12.75" hidden="1" customHeight="1">
      <c r="A3013" s="80" t="s">
        <v>366</v>
      </c>
      <c r="B3013" s="93">
        <f>11*12</f>
        <v>132</v>
      </c>
      <c r="C3013" s="204">
        <f t="shared" si="134"/>
        <v>4988.5467096774191</v>
      </c>
      <c r="D3013" s="204">
        <f t="shared" si="134"/>
        <v>793.58709677419358</v>
      </c>
      <c r="E3013" s="204">
        <f t="shared" si="134"/>
        <v>2870.0783225806454</v>
      </c>
      <c r="F3013" s="94">
        <f t="shared" si="133"/>
        <v>8652.2121290322575</v>
      </c>
      <c r="G3013" s="40"/>
    </row>
    <row r="3014" spans="1:7" ht="12.75" hidden="1" customHeight="1">
      <c r="A3014" s="203" t="s">
        <v>571</v>
      </c>
      <c r="B3014" s="93">
        <f>6*12</f>
        <v>72</v>
      </c>
      <c r="C3014" s="204">
        <f t="shared" si="134"/>
        <v>2721.0254780058649</v>
      </c>
      <c r="D3014" s="204">
        <f t="shared" si="134"/>
        <v>432.86568914956013</v>
      </c>
      <c r="E3014" s="204">
        <f t="shared" si="134"/>
        <v>1565.4972668621701</v>
      </c>
      <c r="F3014" s="94">
        <f t="shared" si="133"/>
        <v>4719.3884340175955</v>
      </c>
      <c r="G3014" s="40"/>
    </row>
    <row r="3015" spans="1:7" ht="12.75" hidden="1" customHeight="1">
      <c r="A3015" s="80" t="s">
        <v>368</v>
      </c>
      <c r="B3015" s="40"/>
      <c r="C3015" s="204"/>
      <c r="D3015" s="204"/>
      <c r="E3015" s="204"/>
      <c r="F3015" s="94"/>
      <c r="G3015" s="40"/>
    </row>
    <row r="3016" spans="1:7" ht="12.75" hidden="1" customHeight="1">
      <c r="A3016" s="80" t="s">
        <v>369</v>
      </c>
      <c r="B3016" s="93"/>
      <c r="C3016" s="204"/>
      <c r="D3016" s="204"/>
      <c r="E3016" s="204"/>
      <c r="F3016" s="94"/>
      <c r="G3016" s="40"/>
    </row>
    <row r="3017" spans="1:7" ht="12.75" hidden="1" customHeight="1">
      <c r="A3017" s="80" t="s">
        <v>370</v>
      </c>
      <c r="B3017" s="93">
        <f>2*13</f>
        <v>26</v>
      </c>
      <c r="C3017" s="204">
        <f>B3017/B$3019*C$3019</f>
        <v>982.59253372434011</v>
      </c>
      <c r="D3017" s="204">
        <f>C3017/C$3019*D$3019</f>
        <v>156.31260997067449</v>
      </c>
      <c r="E3017" s="204">
        <f>D3017/D$3019*E$3019</f>
        <v>565.31845747800583</v>
      </c>
      <c r="F3017" s="94">
        <f t="shared" si="133"/>
        <v>1704.2236011730206</v>
      </c>
      <c r="G3017" s="40"/>
    </row>
    <row r="3018" spans="1:7" ht="12.75" hidden="1" customHeight="1">
      <c r="A3018" s="80" t="s">
        <v>524</v>
      </c>
      <c r="B3018" s="93"/>
      <c r="C3018" s="94"/>
      <c r="D3018" s="94"/>
      <c r="E3018" s="94"/>
      <c r="F3018" s="94"/>
      <c r="G3018" s="40"/>
    </row>
    <row r="3019" spans="1:7" ht="12.75" hidden="1" customHeight="1">
      <c r="A3019" s="77" t="s">
        <v>346</v>
      </c>
      <c r="B3019" s="95">
        <f>SUM(B3008:B3018)</f>
        <v>3410</v>
      </c>
      <c r="C3019" s="96">
        <f>128870.79</f>
        <v>128870.79</v>
      </c>
      <c r="D3019" s="96">
        <f>1313+4915+260+10419.6+3593.4</f>
        <v>20501</v>
      </c>
      <c r="E3019" s="96">
        <f>74143.69</f>
        <v>74143.69</v>
      </c>
      <c r="F3019" s="97">
        <f>SUM(C3019:E3019)</f>
        <v>223515.47999999998</v>
      </c>
      <c r="G3019" s="40"/>
    </row>
    <row r="3020" spans="1:7" ht="12.75" hidden="1" customHeight="1">
      <c r="A3020" s="140" t="s">
        <v>684</v>
      </c>
      <c r="B3020" s="99"/>
      <c r="C3020" s="100"/>
      <c r="D3020" s="100"/>
      <c r="E3020" s="100"/>
      <c r="F3020" s="100"/>
      <c r="G3020" s="40"/>
    </row>
    <row r="3021" spans="1:7" ht="12.75" hidden="1" customHeight="1">
      <c r="A3021" s="98"/>
      <c r="B3021" s="99"/>
      <c r="C3021" s="100"/>
      <c r="D3021" s="100"/>
      <c r="E3021" s="100"/>
      <c r="F3021" s="100"/>
      <c r="G3021" s="40"/>
    </row>
    <row r="3022" spans="1:7" ht="12.75" hidden="1" customHeight="1">
      <c r="A3022" s="98"/>
      <c r="B3022" s="99"/>
      <c r="C3022" s="100"/>
      <c r="D3022" s="115"/>
      <c r="E3022" s="115"/>
      <c r="F3022" s="100"/>
      <c r="G3022" s="40"/>
    </row>
    <row r="3023" spans="1:7" ht="12.75" hidden="1" customHeight="1">
      <c r="A3023" s="101"/>
      <c r="B3023" s="92"/>
      <c r="C3023" s="92"/>
      <c r="D3023" s="115"/>
      <c r="E3023" s="116"/>
      <c r="F3023" s="92"/>
      <c r="G3023" s="40"/>
    </row>
    <row r="3024" spans="1:7" ht="12.75" hidden="1" customHeight="1">
      <c r="A3024" s="101"/>
      <c r="B3024" s="92"/>
      <c r="C3024" s="92"/>
      <c r="D3024" s="92"/>
      <c r="E3024" s="92"/>
      <c r="F3024" s="92"/>
      <c r="G3024" s="40"/>
    </row>
    <row r="3025" spans="1:7" ht="12.75" hidden="1" customHeight="1">
      <c r="A3025" s="101"/>
      <c r="B3025" s="92"/>
      <c r="C3025" s="92"/>
      <c r="D3025" s="92"/>
      <c r="E3025" s="92"/>
      <c r="F3025" s="92"/>
      <c r="G3025" s="40"/>
    </row>
    <row r="3026" spans="1:7" ht="12.75" hidden="1" customHeight="1">
      <c r="A3026" s="77" t="s">
        <v>663</v>
      </c>
      <c r="B3026" s="43" t="s">
        <v>87</v>
      </c>
      <c r="C3026" s="78" t="s">
        <v>338</v>
      </c>
      <c r="D3026" s="78" t="s">
        <v>339</v>
      </c>
      <c r="E3026" s="78" t="s">
        <v>340</v>
      </c>
      <c r="F3026" s="78" t="s">
        <v>341</v>
      </c>
      <c r="G3026" s="40"/>
    </row>
    <row r="3027" spans="1:7" ht="12.75" hidden="1" customHeight="1">
      <c r="A3027" s="87" t="s">
        <v>481</v>
      </c>
      <c r="B3027" s="42"/>
      <c r="C3027" s="112"/>
      <c r="D3027" s="112"/>
      <c r="E3027" s="112"/>
      <c r="F3027" s="112"/>
      <c r="G3027" s="40"/>
    </row>
    <row r="3028" spans="1:7" ht="12.75" hidden="1" customHeight="1">
      <c r="A3028" s="87" t="s">
        <v>482</v>
      </c>
      <c r="B3028" s="42"/>
      <c r="C3028" s="112"/>
      <c r="D3028" s="112"/>
      <c r="E3028" s="112"/>
      <c r="F3028" s="112"/>
      <c r="G3028" s="40"/>
    </row>
    <row r="3029" spans="1:7" ht="12.75" hidden="1" customHeight="1">
      <c r="A3029" s="87" t="s">
        <v>451</v>
      </c>
      <c r="B3029" s="42"/>
      <c r="C3029" s="112"/>
      <c r="D3029" s="112"/>
      <c r="E3029" s="112"/>
      <c r="F3029" s="112"/>
      <c r="G3029" s="40"/>
    </row>
    <row r="3030" spans="1:7" ht="12.75" hidden="1" customHeight="1">
      <c r="A3030" s="87" t="s">
        <v>452</v>
      </c>
      <c r="B3030" s="42"/>
      <c r="C3030" s="112"/>
      <c r="D3030" s="112"/>
      <c r="E3030" s="112"/>
      <c r="F3030" s="112"/>
      <c r="G3030" s="40"/>
    </row>
    <row r="3031" spans="1:7" ht="12.75" hidden="1" customHeight="1">
      <c r="A3031" s="87" t="s">
        <v>453</v>
      </c>
      <c r="B3031" s="42"/>
      <c r="C3031" s="112"/>
      <c r="D3031" s="112"/>
      <c r="E3031" s="112"/>
      <c r="F3031" s="112"/>
      <c r="G3031" s="40"/>
    </row>
    <row r="3032" spans="1:7" ht="12.75" hidden="1" customHeight="1">
      <c r="A3032" s="87" t="s">
        <v>454</v>
      </c>
      <c r="B3032" s="42"/>
      <c r="C3032" s="112"/>
      <c r="D3032" s="112"/>
      <c r="E3032" s="112"/>
      <c r="F3032" s="112"/>
      <c r="G3032" s="40"/>
    </row>
    <row r="3033" spans="1:7" ht="12.75" hidden="1" customHeight="1">
      <c r="A3033" s="87" t="s">
        <v>455</v>
      </c>
      <c r="B3033" s="42"/>
      <c r="C3033" s="112"/>
      <c r="D3033" s="112"/>
      <c r="E3033" s="112"/>
      <c r="F3033" s="112"/>
      <c r="G3033" s="40"/>
    </row>
    <row r="3034" spans="1:7" ht="12.75" hidden="1" customHeight="1">
      <c r="A3034" s="87" t="s">
        <v>456</v>
      </c>
      <c r="B3034" s="93"/>
      <c r="C3034" s="112"/>
      <c r="D3034" s="112"/>
      <c r="E3034" s="112"/>
      <c r="F3034" s="112"/>
      <c r="G3034" s="40"/>
    </row>
    <row r="3035" spans="1:7" ht="12.75" hidden="1" customHeight="1">
      <c r="A3035" s="87" t="s">
        <v>457</v>
      </c>
      <c r="B3035" s="93"/>
      <c r="C3035" s="112"/>
      <c r="D3035" s="112"/>
      <c r="E3035" s="112"/>
      <c r="F3035" s="112"/>
      <c r="G3035" s="40"/>
    </row>
    <row r="3036" spans="1:7" ht="12.75" hidden="1" customHeight="1">
      <c r="A3036" s="87" t="s">
        <v>458</v>
      </c>
      <c r="B3036" s="93"/>
      <c r="C3036" s="112">
        <v>69761.63</v>
      </c>
      <c r="D3036" s="112">
        <v>86606.260000000009</v>
      </c>
      <c r="E3036" s="112">
        <v>76535.490000000005</v>
      </c>
      <c r="F3036" s="112">
        <v>232903.38</v>
      </c>
      <c r="G3036" s="40"/>
    </row>
    <row r="3037" spans="1:7" ht="12.75" hidden="1" customHeight="1">
      <c r="A3037" s="111" t="s">
        <v>480</v>
      </c>
      <c r="B3037" s="93"/>
      <c r="C3037" s="112"/>
      <c r="D3037" s="112"/>
      <c r="E3037" s="112"/>
      <c r="F3037" s="112"/>
      <c r="G3037" s="40"/>
    </row>
    <row r="3038" spans="1:7" ht="12.75" hidden="1" customHeight="1">
      <c r="A3038" s="77" t="s">
        <v>346</v>
      </c>
      <c r="B3038" s="95"/>
      <c r="C3038" s="108">
        <f>69761.63</f>
        <v>69761.63</v>
      </c>
      <c r="D3038" s="108">
        <f>15939.2+4491.06+31409.2+34766.8</f>
        <v>86606.260000000009</v>
      </c>
      <c r="E3038" s="108">
        <f>76535.49</f>
        <v>76535.490000000005</v>
      </c>
      <c r="F3038" s="207">
        <f>SUM(C3038:E3038)</f>
        <v>232903.38</v>
      </c>
      <c r="G3038" s="40"/>
    </row>
    <row r="3039" spans="1:7" ht="12.75" hidden="1" customHeight="1">
      <c r="A3039" s="114" t="s">
        <v>683</v>
      </c>
      <c r="B3039" s="103"/>
      <c r="C3039" s="104"/>
      <c r="D3039" s="104"/>
      <c r="E3039" s="104"/>
      <c r="F3039" s="104"/>
      <c r="G3039" s="40"/>
    </row>
    <row r="3040" spans="1:7" ht="12.75" hidden="1" customHeight="1">
      <c r="A3040" s="114"/>
      <c r="B3040" s="103"/>
      <c r="C3040" s="104"/>
      <c r="D3040" s="104"/>
      <c r="E3040" s="104"/>
      <c r="F3040" s="104"/>
      <c r="G3040" s="40"/>
    </row>
    <row r="3041" spans="1:7" ht="12.75" hidden="1" customHeight="1">
      <c r="A3041" s="114"/>
      <c r="B3041" s="103"/>
      <c r="C3041" s="104"/>
      <c r="D3041" s="104"/>
      <c r="E3041" s="104"/>
      <c r="F3041" s="104"/>
      <c r="G3041" s="40"/>
    </row>
    <row r="3042" spans="1:7" ht="12.75" hidden="1" customHeight="1"/>
    <row r="3043" spans="1:7" ht="12.75" hidden="1" customHeight="1"/>
    <row r="3044" spans="1:7" ht="12.75" hidden="1" customHeight="1"/>
    <row r="3045" spans="1:7" ht="12.75" hidden="1" customHeight="1"/>
    <row r="3046" spans="1:7" ht="12.75" hidden="1" customHeight="1"/>
    <row r="3047" spans="1:7" ht="12.75" hidden="1" customHeight="1"/>
    <row r="3048" spans="1:7" ht="12.75" hidden="1" customHeight="1"/>
    <row r="3049" spans="1:7" ht="12.75" hidden="1" customHeight="1"/>
    <row r="3050" spans="1:7" ht="12.75" hidden="1" customHeight="1"/>
    <row r="3051" spans="1:7" ht="12.75" hidden="1" customHeight="1"/>
    <row r="3052" spans="1:7" ht="12.75" hidden="1" customHeight="1"/>
    <row r="3053" spans="1:7" ht="12.75" hidden="1" customHeight="1"/>
    <row r="3054" spans="1:7" ht="12.75" hidden="1" customHeight="1"/>
    <row r="3055" spans="1:7" ht="12.75" hidden="1" customHeight="1"/>
    <row r="3056" spans="1:7" ht="12.75" hidden="1" customHeight="1"/>
    <row r="3057" ht="12.75" hidden="1" customHeight="1"/>
    <row r="3058" ht="12.75" hidden="1" customHeight="1"/>
    <row r="3059" ht="12.75" hidden="1" customHeight="1"/>
    <row r="3060" ht="12.75" hidden="1" customHeight="1"/>
    <row r="3061" ht="12.75" hidden="1" customHeight="1"/>
    <row r="3062" ht="12.75" hidden="1" customHeight="1"/>
    <row r="3063" ht="12.75" hidden="1" customHeight="1"/>
    <row r="3064" ht="12.75" hidden="1" customHeight="1"/>
    <row r="3065" ht="12.75" hidden="1" customHeight="1"/>
    <row r="3066" ht="12.75" hidden="1" customHeight="1"/>
    <row r="3067" ht="12.75" hidden="1" customHeight="1"/>
    <row r="3068" ht="12.75" hidden="1" customHeight="1"/>
    <row r="3069" ht="12.75" hidden="1" customHeight="1"/>
    <row r="3070" ht="12.75" hidden="1" customHeight="1"/>
    <row r="3071" ht="12.75" hidden="1" customHeight="1"/>
    <row r="3072" ht="12.75" hidden="1" customHeight="1"/>
    <row r="3073" ht="12.75" hidden="1" customHeight="1"/>
    <row r="3074" ht="12.75" hidden="1" customHeight="1"/>
    <row r="3075" ht="12.75" hidden="1" customHeight="1"/>
    <row r="3076" ht="12.75" hidden="1" customHeight="1"/>
    <row r="3077" ht="12.75" hidden="1" customHeight="1"/>
    <row r="3078" ht="12.75" hidden="1" customHeight="1"/>
    <row r="3079" ht="12.75" hidden="1" customHeight="1"/>
    <row r="3080" ht="12.75" hidden="1" customHeight="1"/>
    <row r="3081" ht="12.75" hidden="1" customHeight="1"/>
    <row r="3082" ht="12.75" hidden="1" customHeight="1"/>
    <row r="3083" ht="12.75" hidden="1" customHeight="1"/>
    <row r="3084" ht="12.75" hidden="1" customHeight="1"/>
    <row r="3085" ht="12.75" hidden="1" customHeight="1"/>
    <row r="3086" ht="12.75" hidden="1" customHeight="1"/>
    <row r="3087" ht="12.75" hidden="1" customHeight="1"/>
    <row r="3088" ht="12.75" hidden="1" customHeight="1"/>
    <row r="3089" ht="12.75" hidden="1" customHeight="1"/>
    <row r="3090" ht="12.75" hidden="1" customHeight="1"/>
    <row r="3091" ht="12.75" hidden="1" customHeight="1"/>
    <row r="3092" ht="12.75" hidden="1" customHeight="1"/>
    <row r="3093" ht="12.75" hidden="1" customHeight="1"/>
    <row r="3094" ht="12.75" hidden="1" customHeight="1"/>
    <row r="3095" ht="12.75" hidden="1" customHeight="1"/>
    <row r="3096" ht="12.75" hidden="1" customHeight="1"/>
    <row r="3097" ht="12.75" hidden="1" customHeight="1"/>
    <row r="3098" ht="12.75" hidden="1" customHeight="1"/>
    <row r="3099" ht="12.75" hidden="1" customHeight="1"/>
    <row r="3100" ht="12.75" hidden="1" customHeight="1"/>
    <row r="3101" ht="12.75" hidden="1" customHeight="1"/>
    <row r="3102" ht="12.75" hidden="1" customHeight="1"/>
    <row r="3103" ht="12.75" hidden="1" customHeight="1"/>
    <row r="3104" ht="12.75" hidden="1" customHeight="1"/>
    <row r="3105" spans="1:7" ht="12.75" hidden="1" customHeight="1"/>
    <row r="3106" spans="1:7" ht="12.75" hidden="1" customHeight="1"/>
    <row r="3107" spans="1:7" ht="12.75" hidden="1" customHeight="1"/>
    <row r="3108" spans="1:7" ht="12.75" hidden="1" customHeight="1">
      <c r="A3108" s="180"/>
      <c r="B3108" s="106"/>
      <c r="C3108" s="106"/>
      <c r="D3108" s="106"/>
      <c r="E3108" s="106"/>
      <c r="F3108" s="106"/>
      <c r="G3108" s="107"/>
    </row>
    <row r="3109" spans="1:7" ht="12.75" hidden="1" customHeight="1">
      <c r="A3109" s="51"/>
      <c r="B3109" s="52"/>
      <c r="C3109" s="51"/>
      <c r="D3109" s="51"/>
      <c r="E3109" s="52"/>
      <c r="F3109" s="51"/>
      <c r="G3109" s="40"/>
    </row>
    <row r="3110" spans="1:7" ht="12.75" hidden="1" customHeight="1">
      <c r="A3110" s="51"/>
      <c r="B3110" s="52"/>
      <c r="C3110" s="51"/>
      <c r="D3110" s="51"/>
      <c r="E3110" s="52"/>
      <c r="F3110" s="51"/>
      <c r="G3110" s="40"/>
    </row>
    <row r="3111" spans="1:7" ht="12.75" hidden="1" customHeight="1">
      <c r="A3111" s="51"/>
      <c r="B3111" s="52"/>
      <c r="C3111" s="51"/>
      <c r="D3111" s="51"/>
      <c r="E3111" s="52"/>
      <c r="F3111" s="51"/>
      <c r="G3111" s="40"/>
    </row>
    <row r="3112" spans="1:7" ht="12.75" hidden="1" customHeight="1">
      <c r="A3112" s="269" t="s">
        <v>664</v>
      </c>
      <c r="B3112" s="269"/>
      <c r="C3112" s="269"/>
      <c r="D3112" s="269"/>
      <c r="E3112" s="269"/>
      <c r="F3112" s="269"/>
      <c r="G3112" s="40"/>
    </row>
    <row r="3113" spans="1:7" ht="12.75" hidden="1" customHeight="1">
      <c r="A3113" s="43" t="s">
        <v>86</v>
      </c>
      <c r="B3113" s="43" t="s">
        <v>87</v>
      </c>
      <c r="C3113" s="43" t="s">
        <v>88</v>
      </c>
      <c r="D3113" s="43" t="s">
        <v>89</v>
      </c>
      <c r="E3113" s="43" t="s">
        <v>90</v>
      </c>
      <c r="F3113" s="45" t="s">
        <v>152</v>
      </c>
      <c r="G3113" s="43" t="s">
        <v>91</v>
      </c>
    </row>
    <row r="3114" spans="1:7" ht="12.75" hidden="1" customHeight="1">
      <c r="A3114" s="39" t="s">
        <v>153</v>
      </c>
      <c r="B3114" s="43"/>
      <c r="C3114" s="42"/>
      <c r="D3114" s="42"/>
      <c r="E3114" s="42"/>
      <c r="F3114" s="45"/>
      <c r="G3114" s="42"/>
    </row>
    <row r="3115" spans="1:7" ht="12.75" hidden="1" customHeight="1">
      <c r="A3115" s="39" t="s">
        <v>154</v>
      </c>
      <c r="B3115" s="43"/>
      <c r="C3115" s="42"/>
      <c r="D3115" s="42"/>
      <c r="E3115" s="42"/>
      <c r="F3115" s="45"/>
      <c r="G3115" s="42"/>
    </row>
    <row r="3116" spans="1:7" ht="12.75" hidden="1" customHeight="1">
      <c r="A3116" s="39" t="s">
        <v>155</v>
      </c>
      <c r="B3116" s="43"/>
      <c r="C3116" s="42"/>
      <c r="D3116" s="42"/>
      <c r="E3116" s="42"/>
      <c r="F3116" s="45"/>
      <c r="G3116" s="42"/>
    </row>
    <row r="3117" spans="1:7" ht="12.75" hidden="1" customHeight="1">
      <c r="A3117" s="39" t="s">
        <v>156</v>
      </c>
      <c r="B3117" s="43"/>
      <c r="C3117" s="42"/>
      <c r="D3117" s="42"/>
      <c r="E3117" s="42"/>
      <c r="F3117" s="45"/>
      <c r="G3117" s="42"/>
    </row>
    <row r="3118" spans="1:7" ht="12.75" hidden="1" customHeight="1">
      <c r="A3118" s="39" t="s">
        <v>3</v>
      </c>
      <c r="B3118" s="43"/>
      <c r="C3118" s="42"/>
      <c r="D3118" s="42"/>
      <c r="E3118" s="42"/>
      <c r="F3118" s="45"/>
      <c r="G3118" s="42"/>
    </row>
    <row r="3119" spans="1:7" ht="12.75" hidden="1" customHeight="1">
      <c r="A3119" s="39" t="s">
        <v>4</v>
      </c>
      <c r="B3119" s="43"/>
      <c r="C3119" s="42"/>
      <c r="D3119" s="42"/>
      <c r="E3119" s="42"/>
      <c r="F3119" s="45"/>
      <c r="G3119" s="42"/>
    </row>
    <row r="3120" spans="1:7" ht="12.75" hidden="1" customHeight="1">
      <c r="A3120" s="39" t="s">
        <v>5</v>
      </c>
      <c r="B3120" s="43"/>
      <c r="C3120" s="42"/>
      <c r="D3120" s="42"/>
      <c r="E3120" s="42"/>
      <c r="F3120" s="45"/>
      <c r="G3120" s="42"/>
    </row>
    <row r="3121" spans="1:7" ht="12.75" hidden="1" customHeight="1">
      <c r="A3121" s="39" t="s">
        <v>157</v>
      </c>
      <c r="B3121" s="43"/>
      <c r="C3121" s="42"/>
      <c r="D3121" s="42"/>
      <c r="E3121" s="42"/>
      <c r="F3121" s="57"/>
      <c r="G3121" s="42"/>
    </row>
    <row r="3122" spans="1:7" ht="12.75" hidden="1" customHeight="1">
      <c r="A3122" s="39" t="s">
        <v>669</v>
      </c>
      <c r="B3122" s="43">
        <v>10.5</v>
      </c>
      <c r="C3122" s="53">
        <f>B3122/B$3195*C$3195</f>
        <v>13795.696150081567</v>
      </c>
      <c r="D3122" s="53">
        <f>B3122/B$3195*D$3195</f>
        <v>19414.910750407831</v>
      </c>
      <c r="E3122" s="53">
        <f>B3122/B$3195*E$3195</f>
        <v>14863.654061990213</v>
      </c>
      <c r="F3122" s="57"/>
      <c r="G3122" s="42"/>
    </row>
    <row r="3123" spans="1:7" ht="12.75" hidden="1" customHeight="1">
      <c r="A3123" s="39" t="s">
        <v>159</v>
      </c>
      <c r="B3123" s="43"/>
      <c r="C3123" s="42">
        <f t="shared" ref="C3123:C3175" si="135">B3123/B$3195*C$3195</f>
        <v>0</v>
      </c>
      <c r="D3123" s="42">
        <f t="shared" ref="D3123:D3175" si="136">B3123/B$3195*D$3195</f>
        <v>0</v>
      </c>
      <c r="E3123" s="42">
        <f t="shared" ref="E3123:E3175" si="137">B3123/B$3195*E$3195</f>
        <v>0</v>
      </c>
      <c r="F3123" s="57"/>
      <c r="G3123" s="42"/>
    </row>
    <row r="3124" spans="1:7" ht="12.75" hidden="1" customHeight="1">
      <c r="A3124" s="143" t="s">
        <v>680</v>
      </c>
      <c r="B3124" s="59">
        <v>23</v>
      </c>
      <c r="C3124" s="60">
        <f t="shared" si="135"/>
        <v>30219.143947797718</v>
      </c>
      <c r="D3124" s="60">
        <f t="shared" si="136"/>
        <v>42527.899738988577</v>
      </c>
      <c r="E3124" s="60">
        <f t="shared" si="137"/>
        <v>32558.480326264274</v>
      </c>
      <c r="F3124" s="61">
        <f>B3124/(B3124+B3156+B3170+B3173)*F3195</f>
        <v>11760.925301204819</v>
      </c>
      <c r="G3124" s="60"/>
    </row>
    <row r="3125" spans="1:7" ht="12.75" hidden="1" customHeight="1">
      <c r="A3125" s="39" t="s">
        <v>616</v>
      </c>
      <c r="B3125" s="43">
        <v>19.5</v>
      </c>
      <c r="C3125" s="53">
        <f t="shared" si="135"/>
        <v>25620.578564437197</v>
      </c>
      <c r="D3125" s="53">
        <f t="shared" si="136"/>
        <v>36056.26282218597</v>
      </c>
      <c r="E3125" s="53">
        <f t="shared" si="137"/>
        <v>27603.928972267538</v>
      </c>
      <c r="F3125" s="57"/>
      <c r="G3125" s="42"/>
    </row>
    <row r="3126" spans="1:7" ht="12.75" hidden="1" customHeight="1">
      <c r="A3126" s="58" t="s">
        <v>616</v>
      </c>
      <c r="B3126" s="59">
        <v>8.5</v>
      </c>
      <c r="C3126" s="60">
        <f t="shared" si="135"/>
        <v>11167.944502446982</v>
      </c>
      <c r="D3126" s="60">
        <f t="shared" si="136"/>
        <v>15716.832512234911</v>
      </c>
      <c r="E3126" s="60">
        <f t="shared" si="137"/>
        <v>12032.481859706362</v>
      </c>
      <c r="F3126" s="61"/>
      <c r="G3126" s="60"/>
    </row>
    <row r="3127" spans="1:7" ht="12.75" hidden="1" customHeight="1">
      <c r="A3127" s="39" t="s">
        <v>6</v>
      </c>
      <c r="B3127" s="43"/>
      <c r="C3127" s="42">
        <f t="shared" si="135"/>
        <v>0</v>
      </c>
      <c r="D3127" s="42">
        <f t="shared" si="136"/>
        <v>0</v>
      </c>
      <c r="E3127" s="42">
        <f t="shared" si="137"/>
        <v>0</v>
      </c>
      <c r="F3127" s="57"/>
      <c r="G3127" s="42"/>
    </row>
    <row r="3128" spans="1:7" ht="12.75" hidden="1" customHeight="1">
      <c r="A3128" s="39" t="s">
        <v>7</v>
      </c>
      <c r="B3128" s="43"/>
      <c r="C3128" s="42">
        <f t="shared" si="135"/>
        <v>0</v>
      </c>
      <c r="D3128" s="42">
        <f t="shared" si="136"/>
        <v>0</v>
      </c>
      <c r="E3128" s="42">
        <f t="shared" si="137"/>
        <v>0</v>
      </c>
      <c r="F3128" s="57"/>
      <c r="G3128" s="42"/>
    </row>
    <row r="3129" spans="1:7" ht="12.75" hidden="1" customHeight="1">
      <c r="A3129" s="39" t="s">
        <v>162</v>
      </c>
      <c r="B3129" s="43"/>
      <c r="C3129" s="42">
        <f t="shared" si="135"/>
        <v>0</v>
      </c>
      <c r="D3129" s="42">
        <f t="shared" si="136"/>
        <v>0</v>
      </c>
      <c r="E3129" s="42">
        <f t="shared" si="137"/>
        <v>0</v>
      </c>
      <c r="F3129" s="57"/>
      <c r="G3129" s="42"/>
    </row>
    <row r="3130" spans="1:7" ht="12.75" hidden="1" customHeight="1">
      <c r="A3130" s="39" t="s">
        <v>401</v>
      </c>
      <c r="B3130" s="45"/>
      <c r="C3130" s="42">
        <f t="shared" si="135"/>
        <v>0</v>
      </c>
      <c r="D3130" s="42">
        <f t="shared" si="136"/>
        <v>0</v>
      </c>
      <c r="E3130" s="42">
        <f t="shared" si="137"/>
        <v>0</v>
      </c>
      <c r="F3130" s="57"/>
      <c r="G3130" s="42"/>
    </row>
    <row r="3131" spans="1:7" ht="12.75" hidden="1" customHeight="1">
      <c r="A3131" s="39" t="s">
        <v>402</v>
      </c>
      <c r="B3131" s="45"/>
      <c r="C3131" s="42">
        <f t="shared" si="135"/>
        <v>0</v>
      </c>
      <c r="D3131" s="42">
        <f t="shared" si="136"/>
        <v>0</v>
      </c>
      <c r="E3131" s="42">
        <f t="shared" si="137"/>
        <v>0</v>
      </c>
      <c r="F3131" s="57"/>
      <c r="G3131" s="42"/>
    </row>
    <row r="3132" spans="1:7" ht="12.75" hidden="1" customHeight="1">
      <c r="A3132" s="39" t="s">
        <v>604</v>
      </c>
      <c r="B3132" s="43"/>
      <c r="C3132" s="42">
        <f t="shared" si="135"/>
        <v>0</v>
      </c>
      <c r="D3132" s="42">
        <f t="shared" si="136"/>
        <v>0</v>
      </c>
      <c r="E3132" s="42">
        <f t="shared" si="137"/>
        <v>0</v>
      </c>
      <c r="F3132" s="57"/>
      <c r="G3132" s="42"/>
    </row>
    <row r="3133" spans="1:7" ht="12.75" hidden="1" customHeight="1">
      <c r="A3133" s="39" t="s">
        <v>605</v>
      </c>
      <c r="B3133" s="43"/>
      <c r="C3133" s="42">
        <f t="shared" si="135"/>
        <v>0</v>
      </c>
      <c r="D3133" s="42">
        <f t="shared" si="136"/>
        <v>0</v>
      </c>
      <c r="E3133" s="42">
        <f t="shared" si="137"/>
        <v>0</v>
      </c>
      <c r="F3133" s="57"/>
      <c r="G3133" s="42"/>
    </row>
    <row r="3134" spans="1:7" ht="12.75" hidden="1" customHeight="1">
      <c r="A3134" s="39" t="s">
        <v>605</v>
      </c>
      <c r="B3134" s="43">
        <v>4.5</v>
      </c>
      <c r="C3134" s="53">
        <f t="shared" si="135"/>
        <v>5912.4412071778142</v>
      </c>
      <c r="D3134" s="53">
        <f t="shared" si="136"/>
        <v>8320.6760358890697</v>
      </c>
      <c r="E3134" s="53">
        <f t="shared" si="137"/>
        <v>6370.1374551386625</v>
      </c>
      <c r="F3134" s="57"/>
      <c r="G3134" s="42"/>
    </row>
    <row r="3135" spans="1:7" ht="12.75" hidden="1" customHeight="1">
      <c r="A3135" s="39" t="s">
        <v>617</v>
      </c>
      <c r="B3135" s="43">
        <v>6</v>
      </c>
      <c r="C3135" s="53">
        <f t="shared" si="135"/>
        <v>7883.2549429037517</v>
      </c>
      <c r="D3135" s="53">
        <f t="shared" si="136"/>
        <v>11094.23471451876</v>
      </c>
      <c r="E3135" s="53">
        <f t="shared" si="137"/>
        <v>8493.51660685155</v>
      </c>
      <c r="F3135" s="57"/>
      <c r="G3135" s="42"/>
    </row>
    <row r="3136" spans="1:7" ht="12.75" hidden="1" customHeight="1">
      <c r="A3136" s="39" t="s">
        <v>11</v>
      </c>
      <c r="B3136" s="43"/>
      <c r="C3136" s="42">
        <f t="shared" si="135"/>
        <v>0</v>
      </c>
      <c r="D3136" s="42">
        <f t="shared" si="136"/>
        <v>0</v>
      </c>
      <c r="E3136" s="42">
        <f t="shared" si="137"/>
        <v>0</v>
      </c>
      <c r="F3136" s="57"/>
      <c r="G3136" s="42"/>
    </row>
    <row r="3137" spans="1:7" ht="12.75" hidden="1" customHeight="1">
      <c r="A3137" s="39" t="s">
        <v>164</v>
      </c>
      <c r="B3137" s="43"/>
      <c r="C3137" s="42">
        <f t="shared" si="135"/>
        <v>0</v>
      </c>
      <c r="D3137" s="42">
        <f t="shared" si="136"/>
        <v>0</v>
      </c>
      <c r="E3137" s="42">
        <f t="shared" si="137"/>
        <v>0</v>
      </c>
      <c r="F3137" s="57"/>
      <c r="G3137" s="42"/>
    </row>
    <row r="3138" spans="1:7" ht="12.75" hidden="1" customHeight="1">
      <c r="A3138" s="39" t="s">
        <v>606</v>
      </c>
      <c r="B3138" s="43"/>
      <c r="C3138" s="42">
        <f t="shared" si="135"/>
        <v>0</v>
      </c>
      <c r="D3138" s="42">
        <f t="shared" si="136"/>
        <v>0</v>
      </c>
      <c r="E3138" s="42">
        <f t="shared" si="137"/>
        <v>0</v>
      </c>
      <c r="F3138" s="57"/>
      <c r="G3138" s="42"/>
    </row>
    <row r="3139" spans="1:7" ht="12.75" hidden="1" customHeight="1">
      <c r="A3139" s="39" t="s">
        <v>505</v>
      </c>
      <c r="B3139" s="43"/>
      <c r="C3139" s="42">
        <f t="shared" si="135"/>
        <v>0</v>
      </c>
      <c r="D3139" s="42">
        <f t="shared" si="136"/>
        <v>0</v>
      </c>
      <c r="E3139" s="42">
        <f t="shared" si="137"/>
        <v>0</v>
      </c>
      <c r="F3139" s="57"/>
      <c r="G3139" s="42"/>
    </row>
    <row r="3140" spans="1:7" ht="12.75" hidden="1" customHeight="1">
      <c r="A3140" s="39" t="s">
        <v>166</v>
      </c>
      <c r="B3140" s="43"/>
      <c r="C3140" s="42">
        <f t="shared" si="135"/>
        <v>0</v>
      </c>
      <c r="D3140" s="42">
        <f t="shared" si="136"/>
        <v>0</v>
      </c>
      <c r="E3140" s="42">
        <f t="shared" si="137"/>
        <v>0</v>
      </c>
      <c r="F3140" s="57"/>
      <c r="G3140" s="42"/>
    </row>
    <row r="3141" spans="1:7" ht="12.75" hidden="1" customHeight="1">
      <c r="A3141" s="58" t="s">
        <v>679</v>
      </c>
      <c r="B3141" s="59">
        <v>6</v>
      </c>
      <c r="C3141" s="60">
        <f t="shared" si="135"/>
        <v>7883.2549429037517</v>
      </c>
      <c r="D3141" s="60">
        <f t="shared" si="136"/>
        <v>11094.23471451876</v>
      </c>
      <c r="E3141" s="60">
        <f t="shared" si="137"/>
        <v>8493.51660685155</v>
      </c>
      <c r="F3141" s="61"/>
      <c r="G3141" s="60"/>
    </row>
    <row r="3142" spans="1:7" ht="12.75" hidden="1" customHeight="1">
      <c r="A3142" s="39" t="s">
        <v>168</v>
      </c>
      <c r="B3142" s="43"/>
      <c r="C3142" s="42">
        <f t="shared" si="135"/>
        <v>0</v>
      </c>
      <c r="D3142" s="42">
        <f t="shared" si="136"/>
        <v>0</v>
      </c>
      <c r="E3142" s="42">
        <f t="shared" si="137"/>
        <v>0</v>
      </c>
      <c r="F3142" s="57"/>
      <c r="G3142" s="42"/>
    </row>
    <row r="3143" spans="1:7" ht="12.75" hidden="1" customHeight="1">
      <c r="A3143" s="39" t="s">
        <v>169</v>
      </c>
      <c r="B3143" s="43"/>
      <c r="C3143" s="42">
        <f t="shared" si="135"/>
        <v>0</v>
      </c>
      <c r="D3143" s="42">
        <f t="shared" si="136"/>
        <v>0</v>
      </c>
      <c r="E3143" s="42">
        <f t="shared" si="137"/>
        <v>0</v>
      </c>
      <c r="F3143" s="57"/>
      <c r="G3143" s="42"/>
    </row>
    <row r="3144" spans="1:7" ht="12.75" hidden="1" customHeight="1">
      <c r="A3144" s="39" t="s">
        <v>170</v>
      </c>
      <c r="B3144" s="43"/>
      <c r="C3144" s="42">
        <f t="shared" si="135"/>
        <v>0</v>
      </c>
      <c r="D3144" s="42">
        <f t="shared" si="136"/>
        <v>0</v>
      </c>
      <c r="E3144" s="42">
        <f t="shared" si="137"/>
        <v>0</v>
      </c>
      <c r="F3144" s="57"/>
      <c r="G3144" s="42"/>
    </row>
    <row r="3145" spans="1:7" ht="12.75" hidden="1" customHeight="1">
      <c r="A3145" s="39" t="s">
        <v>171</v>
      </c>
      <c r="B3145" s="43"/>
      <c r="C3145" s="42">
        <f t="shared" si="135"/>
        <v>0</v>
      </c>
      <c r="D3145" s="42">
        <f t="shared" si="136"/>
        <v>0</v>
      </c>
      <c r="E3145" s="42">
        <f t="shared" si="137"/>
        <v>0</v>
      </c>
      <c r="F3145" s="57"/>
      <c r="G3145" s="42"/>
    </row>
    <row r="3146" spans="1:7" ht="12.75" hidden="1" customHeight="1">
      <c r="A3146" s="39" t="s">
        <v>607</v>
      </c>
      <c r="B3146" s="45"/>
      <c r="C3146" s="42">
        <f t="shared" si="135"/>
        <v>0</v>
      </c>
      <c r="D3146" s="42">
        <f t="shared" si="136"/>
        <v>0</v>
      </c>
      <c r="E3146" s="42">
        <f t="shared" si="137"/>
        <v>0</v>
      </c>
      <c r="F3146" s="57"/>
      <c r="G3146" s="42"/>
    </row>
    <row r="3147" spans="1:7" ht="12.75" hidden="1" customHeight="1">
      <c r="A3147" s="39" t="s">
        <v>670</v>
      </c>
      <c r="B3147" s="43">
        <v>5</v>
      </c>
      <c r="C3147" s="53">
        <f t="shared" si="135"/>
        <v>6569.3791190864595</v>
      </c>
      <c r="D3147" s="53">
        <f t="shared" si="136"/>
        <v>9245.1955954322984</v>
      </c>
      <c r="E3147" s="53">
        <f t="shared" si="137"/>
        <v>7077.9305057096244</v>
      </c>
      <c r="F3147" s="57"/>
      <c r="G3147" s="42"/>
    </row>
    <row r="3148" spans="1:7" ht="12.75" hidden="1" customHeight="1">
      <c r="A3148" s="39" t="s">
        <v>13</v>
      </c>
      <c r="B3148" s="43"/>
      <c r="C3148" s="42">
        <f t="shared" si="135"/>
        <v>0</v>
      </c>
      <c r="D3148" s="42">
        <f t="shared" si="136"/>
        <v>0</v>
      </c>
      <c r="E3148" s="42">
        <f t="shared" si="137"/>
        <v>0</v>
      </c>
      <c r="F3148" s="57"/>
      <c r="G3148" s="42"/>
    </row>
    <row r="3149" spans="1:7" ht="12.75" hidden="1" customHeight="1">
      <c r="A3149" s="39" t="s">
        <v>610</v>
      </c>
      <c r="B3149" s="43">
        <v>30.5</v>
      </c>
      <c r="C3149" s="53">
        <f t="shared" si="135"/>
        <v>40073.212626427405</v>
      </c>
      <c r="D3149" s="53">
        <f t="shared" si="136"/>
        <v>56395.693132137028</v>
      </c>
      <c r="E3149" s="53">
        <f t="shared" si="137"/>
        <v>43175.376084828713</v>
      </c>
      <c r="F3149" s="57"/>
      <c r="G3149" s="42"/>
    </row>
    <row r="3150" spans="1:7" ht="12.75" hidden="1" customHeight="1">
      <c r="A3150" s="39" t="s">
        <v>610</v>
      </c>
      <c r="B3150" s="43"/>
      <c r="C3150" s="42">
        <f t="shared" si="135"/>
        <v>0</v>
      </c>
      <c r="D3150" s="42">
        <f t="shared" si="136"/>
        <v>0</v>
      </c>
      <c r="E3150" s="42">
        <f t="shared" si="137"/>
        <v>0</v>
      </c>
      <c r="F3150" s="57"/>
      <c r="G3150" s="42"/>
    </row>
    <row r="3151" spans="1:7" ht="12.75" hidden="1" customHeight="1">
      <c r="A3151" s="39" t="s">
        <v>609</v>
      </c>
      <c r="B3151" s="43"/>
      <c r="C3151" s="42">
        <f t="shared" si="135"/>
        <v>0</v>
      </c>
      <c r="D3151" s="42">
        <f t="shared" si="136"/>
        <v>0</v>
      </c>
      <c r="E3151" s="42">
        <f t="shared" si="137"/>
        <v>0</v>
      </c>
      <c r="F3151" s="57"/>
      <c r="G3151" s="42"/>
    </row>
    <row r="3152" spans="1:7" ht="12.75" hidden="1" customHeight="1">
      <c r="A3152" s="39" t="s">
        <v>609</v>
      </c>
      <c r="B3152" s="43">
        <v>11</v>
      </c>
      <c r="C3152" s="53">
        <f t="shared" si="135"/>
        <v>14452.634061990211</v>
      </c>
      <c r="D3152" s="53">
        <f t="shared" si="136"/>
        <v>20339.430309951058</v>
      </c>
      <c r="E3152" s="53">
        <f t="shared" si="137"/>
        <v>15571.447112561174</v>
      </c>
      <c r="F3152" s="57"/>
      <c r="G3152" s="42"/>
    </row>
    <row r="3153" spans="1:7" ht="12.75" hidden="1" customHeight="1">
      <c r="A3153" s="39" t="s">
        <v>16</v>
      </c>
      <c r="B3153" s="43"/>
      <c r="C3153" s="42">
        <f t="shared" si="135"/>
        <v>0</v>
      </c>
      <c r="D3153" s="42">
        <f t="shared" si="136"/>
        <v>0</v>
      </c>
      <c r="E3153" s="42">
        <f t="shared" si="137"/>
        <v>0</v>
      </c>
      <c r="F3153" s="57"/>
      <c r="G3153" s="42"/>
    </row>
    <row r="3154" spans="1:7" ht="12.75" hidden="1" customHeight="1">
      <c r="A3154" s="39" t="s">
        <v>173</v>
      </c>
      <c r="B3154" s="43"/>
      <c r="C3154" s="42">
        <f t="shared" si="135"/>
        <v>0</v>
      </c>
      <c r="D3154" s="42">
        <f t="shared" si="136"/>
        <v>0</v>
      </c>
      <c r="E3154" s="42">
        <f t="shared" si="137"/>
        <v>0</v>
      </c>
      <c r="F3154" s="57"/>
      <c r="G3154" s="42"/>
    </row>
    <row r="3155" spans="1:7" ht="12.75" hidden="1" customHeight="1">
      <c r="A3155" s="39" t="s">
        <v>672</v>
      </c>
      <c r="B3155" s="45">
        <v>10.5</v>
      </c>
      <c r="C3155" s="53">
        <f t="shared" si="135"/>
        <v>13795.696150081567</v>
      </c>
      <c r="D3155" s="53">
        <f t="shared" si="136"/>
        <v>19414.910750407831</v>
      </c>
      <c r="E3155" s="53">
        <f t="shared" si="137"/>
        <v>14863.654061990213</v>
      </c>
      <c r="F3155" s="57"/>
      <c r="G3155" s="42"/>
    </row>
    <row r="3156" spans="1:7" ht="12.75" hidden="1" customHeight="1">
      <c r="A3156" s="143" t="s">
        <v>677</v>
      </c>
      <c r="B3156" s="121">
        <v>2.5</v>
      </c>
      <c r="C3156" s="60">
        <f t="shared" si="135"/>
        <v>3284.6895595432297</v>
      </c>
      <c r="D3156" s="60">
        <f t="shared" si="136"/>
        <v>4622.5977977161492</v>
      </c>
      <c r="E3156" s="60">
        <f t="shared" si="137"/>
        <v>3538.9652528548122</v>
      </c>
      <c r="F3156" s="61">
        <f>B3156/(B3124+B3156+B3170+B3173)*F3195</f>
        <v>1278.3614457831325</v>
      </c>
      <c r="G3156" s="60"/>
    </row>
    <row r="3157" spans="1:7" ht="12.75" hidden="1" customHeight="1">
      <c r="A3157" s="39" t="s">
        <v>611</v>
      </c>
      <c r="B3157" s="43">
        <v>18.5</v>
      </c>
      <c r="C3157" s="53">
        <f t="shared" si="135"/>
        <v>24306.702740619901</v>
      </c>
      <c r="D3157" s="53">
        <f t="shared" si="136"/>
        <v>34207.223703099509</v>
      </c>
      <c r="E3157" s="53">
        <f t="shared" si="137"/>
        <v>26188.342871125613</v>
      </c>
      <c r="F3157" s="57"/>
      <c r="G3157" s="42"/>
    </row>
    <row r="3158" spans="1:7" ht="12.75" hidden="1" customHeight="1">
      <c r="A3158" s="39" t="s">
        <v>673</v>
      </c>
      <c r="B3158" s="43">
        <v>10</v>
      </c>
      <c r="C3158" s="53">
        <f t="shared" si="135"/>
        <v>13138.758238172919</v>
      </c>
      <c r="D3158" s="53">
        <f t="shared" si="136"/>
        <v>18490.391190864597</v>
      </c>
      <c r="E3158" s="53">
        <f t="shared" si="137"/>
        <v>14155.861011419249</v>
      </c>
      <c r="F3158" s="57"/>
      <c r="G3158" s="42"/>
    </row>
    <row r="3159" spans="1:7" ht="12.75" hidden="1" customHeight="1">
      <c r="A3159" s="49" t="s">
        <v>618</v>
      </c>
      <c r="B3159" s="43">
        <v>4.5</v>
      </c>
      <c r="C3159" s="53">
        <f t="shared" si="135"/>
        <v>5912.4412071778142</v>
      </c>
      <c r="D3159" s="53">
        <f t="shared" si="136"/>
        <v>8320.6760358890697</v>
      </c>
      <c r="E3159" s="53">
        <f t="shared" si="137"/>
        <v>6370.1374551386625</v>
      </c>
      <c r="F3159" s="57"/>
      <c r="G3159" s="42"/>
    </row>
    <row r="3160" spans="1:7" ht="12.75" hidden="1" customHeight="1">
      <c r="A3160" s="39" t="s">
        <v>608</v>
      </c>
      <c r="B3160" s="43"/>
      <c r="C3160" s="42">
        <f t="shared" si="135"/>
        <v>0</v>
      </c>
      <c r="D3160" s="42">
        <f t="shared" si="136"/>
        <v>0</v>
      </c>
      <c r="E3160" s="42">
        <f t="shared" si="137"/>
        <v>0</v>
      </c>
      <c r="F3160" s="57"/>
      <c r="G3160" s="42"/>
    </row>
    <row r="3161" spans="1:7" ht="12.75" hidden="1" customHeight="1">
      <c r="A3161" s="39" t="s">
        <v>179</v>
      </c>
      <c r="B3161" s="43"/>
      <c r="C3161" s="42">
        <f t="shared" si="135"/>
        <v>0</v>
      </c>
      <c r="D3161" s="42">
        <f t="shared" si="136"/>
        <v>0</v>
      </c>
      <c r="E3161" s="42">
        <f t="shared" si="137"/>
        <v>0</v>
      </c>
      <c r="F3161" s="57"/>
      <c r="G3161" s="42"/>
    </row>
    <row r="3162" spans="1:7" ht="12.75" hidden="1" customHeight="1">
      <c r="A3162" s="39" t="s">
        <v>671</v>
      </c>
      <c r="B3162" s="43">
        <v>5.5</v>
      </c>
      <c r="C3162" s="53">
        <f t="shared" si="135"/>
        <v>7226.3170309951056</v>
      </c>
      <c r="D3162" s="53">
        <f t="shared" si="136"/>
        <v>10169.715154975529</v>
      </c>
      <c r="E3162" s="53">
        <f t="shared" si="137"/>
        <v>7785.7235562805872</v>
      </c>
      <c r="F3162" s="57"/>
      <c r="G3162" s="42"/>
    </row>
    <row r="3163" spans="1:7" ht="12.75" hidden="1" customHeight="1">
      <c r="A3163" s="49" t="s">
        <v>620</v>
      </c>
      <c r="B3163" s="43">
        <v>4</v>
      </c>
      <c r="C3163" s="53">
        <f t="shared" si="135"/>
        <v>5255.5032952691681</v>
      </c>
      <c r="D3163" s="53">
        <f t="shared" si="136"/>
        <v>7396.15647634584</v>
      </c>
      <c r="E3163" s="53">
        <f t="shared" si="137"/>
        <v>5662.3444045677006</v>
      </c>
      <c r="F3163" s="57"/>
      <c r="G3163" s="42"/>
    </row>
    <row r="3164" spans="1:7" ht="12.75" hidden="1" customHeight="1">
      <c r="A3164" s="39" t="s">
        <v>182</v>
      </c>
      <c r="B3164" s="45"/>
      <c r="C3164" s="42">
        <f t="shared" si="135"/>
        <v>0</v>
      </c>
      <c r="D3164" s="42">
        <f t="shared" si="136"/>
        <v>0</v>
      </c>
      <c r="E3164" s="42">
        <f t="shared" si="137"/>
        <v>0</v>
      </c>
      <c r="F3164" s="57"/>
      <c r="G3164" s="42"/>
    </row>
    <row r="3165" spans="1:7" ht="12.75" hidden="1" customHeight="1">
      <c r="A3165" s="49" t="s">
        <v>619</v>
      </c>
      <c r="B3165" s="43">
        <v>0.5</v>
      </c>
      <c r="C3165" s="53">
        <f t="shared" si="135"/>
        <v>656.93791190864602</v>
      </c>
      <c r="D3165" s="53">
        <f t="shared" si="136"/>
        <v>924.51955954323</v>
      </c>
      <c r="E3165" s="53">
        <f t="shared" si="137"/>
        <v>707.79305057096258</v>
      </c>
      <c r="F3165" s="57"/>
      <c r="G3165" s="42"/>
    </row>
    <row r="3166" spans="1:7" ht="12.75" hidden="1" customHeight="1">
      <c r="A3166" s="39" t="s">
        <v>615</v>
      </c>
      <c r="B3166" s="43"/>
      <c r="C3166" s="42">
        <f t="shared" si="135"/>
        <v>0</v>
      </c>
      <c r="D3166" s="42">
        <f t="shared" si="136"/>
        <v>0</v>
      </c>
      <c r="E3166" s="42">
        <f t="shared" si="137"/>
        <v>0</v>
      </c>
      <c r="F3166" s="57"/>
      <c r="G3166" s="42"/>
    </row>
    <row r="3167" spans="1:7" ht="12.75" hidden="1" customHeight="1">
      <c r="A3167" s="39" t="s">
        <v>612</v>
      </c>
      <c r="B3167" s="43"/>
      <c r="C3167" s="42">
        <f t="shared" si="135"/>
        <v>0</v>
      </c>
      <c r="D3167" s="42">
        <f t="shared" si="136"/>
        <v>0</v>
      </c>
      <c r="E3167" s="42">
        <f t="shared" si="137"/>
        <v>0</v>
      </c>
      <c r="F3167" s="57"/>
      <c r="G3167" s="42"/>
    </row>
    <row r="3168" spans="1:7" ht="12.75" hidden="1" customHeight="1">
      <c r="A3168" s="39" t="s">
        <v>613</v>
      </c>
      <c r="B3168" s="43"/>
      <c r="C3168" s="42">
        <f t="shared" si="135"/>
        <v>0</v>
      </c>
      <c r="D3168" s="42">
        <f t="shared" si="136"/>
        <v>0</v>
      </c>
      <c r="E3168" s="42">
        <f t="shared" si="137"/>
        <v>0</v>
      </c>
      <c r="F3168" s="57"/>
      <c r="G3168" s="42"/>
    </row>
    <row r="3169" spans="1:7" ht="12.75" hidden="1" customHeight="1">
      <c r="A3169" s="58" t="s">
        <v>678</v>
      </c>
      <c r="B3169" s="59">
        <v>4</v>
      </c>
      <c r="C3169" s="60">
        <f t="shared" si="135"/>
        <v>5255.5032952691681</v>
      </c>
      <c r="D3169" s="60">
        <f t="shared" si="136"/>
        <v>7396.15647634584</v>
      </c>
      <c r="E3169" s="60">
        <f t="shared" si="137"/>
        <v>5662.3444045677006</v>
      </c>
      <c r="F3169" s="61"/>
      <c r="G3169" s="60"/>
    </row>
    <row r="3170" spans="1:7" ht="12.75" hidden="1" customHeight="1">
      <c r="A3170" s="143" t="s">
        <v>676</v>
      </c>
      <c r="B3170" s="59">
        <v>5</v>
      </c>
      <c r="C3170" s="60">
        <f t="shared" si="135"/>
        <v>6569.3791190864595</v>
      </c>
      <c r="D3170" s="60">
        <f t="shared" si="136"/>
        <v>9245.1955954322984</v>
      </c>
      <c r="E3170" s="60">
        <f t="shared" si="137"/>
        <v>7077.9305057096244</v>
      </c>
      <c r="F3170" s="61">
        <f>B3170/(B3124+B3156+B3170+B3173)*F3195</f>
        <v>2556.7228915662649</v>
      </c>
      <c r="G3170" s="60"/>
    </row>
    <row r="3171" spans="1:7" ht="12.75" hidden="1" customHeight="1">
      <c r="A3171" s="39" t="s">
        <v>674</v>
      </c>
      <c r="B3171" s="43">
        <v>5.5</v>
      </c>
      <c r="C3171" s="53">
        <f t="shared" si="135"/>
        <v>7226.3170309951056</v>
      </c>
      <c r="D3171" s="53">
        <f t="shared" si="136"/>
        <v>10169.715154975529</v>
      </c>
      <c r="E3171" s="53">
        <f t="shared" si="137"/>
        <v>7785.7235562805872</v>
      </c>
      <c r="F3171" s="57"/>
      <c r="G3171" s="42"/>
    </row>
    <row r="3172" spans="1:7" ht="12.75" hidden="1" customHeight="1">
      <c r="A3172" s="39" t="s">
        <v>614</v>
      </c>
      <c r="B3172" s="43">
        <v>16</v>
      </c>
      <c r="C3172" s="53">
        <f t="shared" si="135"/>
        <v>21022.013181076672</v>
      </c>
      <c r="D3172" s="53">
        <f t="shared" si="136"/>
        <v>29584.62590538336</v>
      </c>
      <c r="E3172" s="53">
        <f t="shared" si="137"/>
        <v>22649.377618270802</v>
      </c>
      <c r="F3172" s="57"/>
      <c r="G3172" s="42"/>
    </row>
    <row r="3173" spans="1:7" ht="12.75" hidden="1" customHeight="1">
      <c r="A3173" s="143" t="s">
        <v>614</v>
      </c>
      <c r="B3173" s="59">
        <v>11</v>
      </c>
      <c r="C3173" s="60">
        <f t="shared" si="135"/>
        <v>14452.634061990211</v>
      </c>
      <c r="D3173" s="60">
        <f t="shared" si="136"/>
        <v>20339.430309951058</v>
      </c>
      <c r="E3173" s="60">
        <f t="shared" si="137"/>
        <v>15571.447112561174</v>
      </c>
      <c r="F3173" s="61">
        <f>B3173/(B3124+B3156+B3170+B3173)*F3195</f>
        <v>5624.7903614457837</v>
      </c>
      <c r="G3173" s="60"/>
    </row>
    <row r="3174" spans="1:7" ht="12.75" hidden="1" customHeight="1">
      <c r="A3174" s="39" t="s">
        <v>675</v>
      </c>
      <c r="B3174" s="45">
        <v>78</v>
      </c>
      <c r="C3174" s="53">
        <f t="shared" si="135"/>
        <v>102482.31425774879</v>
      </c>
      <c r="D3174" s="53">
        <f t="shared" si="136"/>
        <v>144225.05128874388</v>
      </c>
      <c r="E3174" s="53">
        <f t="shared" si="137"/>
        <v>110415.71588907015</v>
      </c>
      <c r="F3174" s="57"/>
      <c r="G3174" s="42"/>
    </row>
    <row r="3175" spans="1:7" ht="12.75" hidden="1" customHeight="1">
      <c r="A3175" s="39" t="s">
        <v>603</v>
      </c>
      <c r="B3175" s="45">
        <v>6.5</v>
      </c>
      <c r="C3175" s="53">
        <f t="shared" si="135"/>
        <v>8540.1928548123979</v>
      </c>
      <c r="D3175" s="53">
        <f t="shared" si="136"/>
        <v>12018.75427406199</v>
      </c>
      <c r="E3175" s="53">
        <f t="shared" si="137"/>
        <v>9201.3096574225128</v>
      </c>
      <c r="F3175" s="45"/>
      <c r="G3175" s="42"/>
    </row>
    <row r="3176" spans="1:7" ht="12.75" hidden="1" customHeight="1">
      <c r="A3176" s="39" t="s">
        <v>603</v>
      </c>
      <c r="B3176" s="45"/>
      <c r="C3176" s="42"/>
      <c r="D3176" s="42"/>
      <c r="E3176" s="42"/>
      <c r="F3176" s="45"/>
      <c r="G3176" s="42"/>
    </row>
    <row r="3177" spans="1:7" ht="12.75" hidden="1" customHeight="1">
      <c r="A3177" s="39" t="s">
        <v>18</v>
      </c>
      <c r="B3177" s="43"/>
      <c r="C3177" s="42"/>
      <c r="D3177" s="42"/>
      <c r="E3177" s="42"/>
      <c r="F3177" s="45"/>
      <c r="G3177" s="42"/>
    </row>
    <row r="3178" spans="1:7" ht="12.75" hidden="1" customHeight="1">
      <c r="A3178" s="39" t="s">
        <v>192</v>
      </c>
      <c r="B3178" s="43"/>
      <c r="C3178" s="42"/>
      <c r="D3178" s="42"/>
      <c r="E3178" s="42"/>
      <c r="F3178" s="45"/>
      <c r="G3178" s="42"/>
    </row>
    <row r="3179" spans="1:7" ht="12.75" hidden="1" customHeight="1">
      <c r="A3179" s="39" t="s">
        <v>19</v>
      </c>
      <c r="B3179" s="43"/>
      <c r="C3179" s="42"/>
      <c r="D3179" s="42"/>
      <c r="E3179" s="42"/>
      <c r="F3179" s="45"/>
      <c r="G3179" s="42"/>
    </row>
    <row r="3180" spans="1:7" ht="12.75" hidden="1" customHeight="1">
      <c r="A3180" s="39" t="s">
        <v>193</v>
      </c>
      <c r="B3180" s="43"/>
      <c r="C3180" s="42"/>
      <c r="D3180" s="42"/>
      <c r="E3180" s="42"/>
      <c r="F3180" s="45"/>
      <c r="G3180" s="42"/>
    </row>
    <row r="3181" spans="1:7" ht="12.75" hidden="1" customHeight="1">
      <c r="A3181" s="39" t="s">
        <v>194</v>
      </c>
      <c r="B3181" s="43"/>
      <c r="C3181" s="42"/>
      <c r="D3181" s="42"/>
      <c r="E3181" s="42"/>
      <c r="F3181" s="45"/>
      <c r="G3181" s="42"/>
    </row>
    <row r="3182" spans="1:7" ht="12.75" hidden="1" customHeight="1">
      <c r="A3182" s="39" t="s">
        <v>195</v>
      </c>
      <c r="B3182" s="43"/>
      <c r="C3182" s="42"/>
      <c r="D3182" s="42"/>
      <c r="E3182" s="42"/>
      <c r="F3182" s="45"/>
      <c r="G3182" s="42"/>
    </row>
    <row r="3183" spans="1:7" ht="12.75" hidden="1" customHeight="1">
      <c r="A3183" s="39" t="s">
        <v>196</v>
      </c>
      <c r="B3183" s="43"/>
      <c r="C3183" s="42"/>
      <c r="D3183" s="42"/>
      <c r="E3183" s="42"/>
      <c r="F3183" s="45"/>
      <c r="G3183" s="42"/>
    </row>
    <row r="3184" spans="1:7" ht="12.75" hidden="1" customHeight="1">
      <c r="A3184" s="39" t="s">
        <v>197</v>
      </c>
      <c r="B3184" s="43"/>
      <c r="C3184" s="42"/>
      <c r="D3184" s="42"/>
      <c r="E3184" s="42"/>
      <c r="F3184" s="45"/>
      <c r="G3184" s="42"/>
    </row>
    <row r="3185" spans="1:7" ht="12.75" hidden="1" customHeight="1">
      <c r="A3185" s="39" t="s">
        <v>198</v>
      </c>
      <c r="B3185" s="43"/>
      <c r="C3185" s="42"/>
      <c r="D3185" s="42"/>
      <c r="E3185" s="42"/>
      <c r="F3185" s="45"/>
      <c r="G3185" s="42"/>
    </row>
    <row r="3186" spans="1:7" ht="12.75" hidden="1" customHeight="1">
      <c r="A3186" s="39" t="s">
        <v>199</v>
      </c>
      <c r="B3186" s="43"/>
      <c r="C3186" s="42"/>
      <c r="D3186" s="42"/>
      <c r="E3186" s="42"/>
      <c r="F3186" s="45"/>
      <c r="G3186" s="42"/>
    </row>
    <row r="3187" spans="1:7" ht="12.75" hidden="1" customHeight="1">
      <c r="A3187" s="39" t="s">
        <v>200</v>
      </c>
      <c r="B3187" s="43"/>
      <c r="C3187" s="42"/>
      <c r="D3187" s="42"/>
      <c r="E3187" s="42"/>
      <c r="F3187" s="45"/>
      <c r="G3187" s="42"/>
    </row>
    <row r="3188" spans="1:7" ht="12.75" hidden="1" customHeight="1">
      <c r="A3188" s="39" t="s">
        <v>201</v>
      </c>
      <c r="B3188" s="43"/>
      <c r="C3188" s="42"/>
      <c r="D3188" s="42"/>
      <c r="E3188" s="42"/>
      <c r="F3188" s="45"/>
      <c r="G3188" s="42"/>
    </row>
    <row r="3189" spans="1:7" ht="12.75" hidden="1" customHeight="1">
      <c r="A3189" s="49" t="s">
        <v>207</v>
      </c>
      <c r="B3189" s="43"/>
      <c r="C3189" s="42"/>
      <c r="D3189" s="42"/>
      <c r="E3189" s="42"/>
      <c r="F3189" s="42"/>
      <c r="G3189" s="42"/>
    </row>
    <row r="3190" spans="1:7" ht="12.75" hidden="1" customHeight="1">
      <c r="A3190" s="46" t="s">
        <v>203</v>
      </c>
      <c r="B3190" s="43"/>
      <c r="C3190" s="42"/>
      <c r="D3190" s="42"/>
      <c r="E3190" s="42"/>
      <c r="F3190" s="45"/>
      <c r="G3190" s="42"/>
    </row>
    <row r="3191" spans="1:7" ht="12.75" hidden="1" customHeight="1">
      <c r="A3191" s="46" t="s">
        <v>204</v>
      </c>
      <c r="B3191" s="43"/>
      <c r="C3191" s="42"/>
      <c r="D3191" s="42"/>
      <c r="E3191" s="42"/>
      <c r="F3191" s="45"/>
      <c r="G3191" s="42"/>
    </row>
    <row r="3192" spans="1:7" ht="12.75" hidden="1" customHeight="1">
      <c r="A3192" s="46" t="s">
        <v>205</v>
      </c>
      <c r="B3192" s="43"/>
      <c r="C3192" s="42"/>
      <c r="D3192" s="42"/>
      <c r="E3192" s="42"/>
      <c r="F3192" s="45"/>
      <c r="G3192" s="42"/>
    </row>
    <row r="3193" spans="1:7" ht="12.75" hidden="1" customHeight="1">
      <c r="A3193" s="224" t="s">
        <v>622</v>
      </c>
      <c r="B3193" s="48"/>
      <c r="C3193" s="200"/>
      <c r="D3193" s="200"/>
      <c r="E3193" s="200"/>
      <c r="F3193" s="49"/>
      <c r="G3193" s="200"/>
    </row>
    <row r="3194" spans="1:7" ht="12.75" hidden="1" customHeight="1">
      <c r="A3194" s="223" t="s">
        <v>621</v>
      </c>
      <c r="B3194" s="43"/>
      <c r="C3194" s="42"/>
      <c r="D3194" s="42"/>
      <c r="E3194" s="43"/>
      <c r="F3194" s="42"/>
      <c r="G3194" s="39"/>
    </row>
    <row r="3195" spans="1:7" ht="12.75" hidden="1" customHeight="1">
      <c r="A3195" s="48" t="s">
        <v>209</v>
      </c>
      <c r="B3195" s="48">
        <f>SUM(B3122:B3175)</f>
        <v>306.5</v>
      </c>
      <c r="C3195" s="200">
        <f>402702.94</f>
        <v>402702.94</v>
      </c>
      <c r="D3195" s="200">
        <f>40090.1+312982.8+72030.19+2779+83923+4680+55584.3+15881.9-21220.8</f>
        <v>566730.49</v>
      </c>
      <c r="E3195" s="48">
        <f>433877.14</f>
        <v>433877.14</v>
      </c>
      <c r="F3195" s="200">
        <v>21220.799999999999</v>
      </c>
      <c r="G3195" s="49">
        <f>SUM(C3195:F3195)</f>
        <v>1424531.3699999999</v>
      </c>
    </row>
    <row r="3196" spans="1:7" ht="12.75" hidden="1" customHeight="1">
      <c r="A3196" s="63" t="s">
        <v>681</v>
      </c>
      <c r="B3196" s="52"/>
      <c r="C3196" s="51"/>
      <c r="D3196" s="51"/>
      <c r="E3196" s="64"/>
      <c r="F3196" s="65"/>
      <c r="G3196" s="40"/>
    </row>
    <row r="3197" spans="1:7" ht="12.75" hidden="1" customHeight="1">
      <c r="A3197" s="63"/>
      <c r="B3197" s="52"/>
      <c r="C3197" s="51"/>
      <c r="D3197" s="51"/>
      <c r="E3197" s="51"/>
      <c r="F3197" s="65"/>
      <c r="G3197" s="40"/>
    </row>
    <row r="3198" spans="1:7" ht="12.75" hidden="1" customHeight="1">
      <c r="A3198" s="51"/>
      <c r="B3198" s="52"/>
      <c r="C3198" s="51"/>
      <c r="D3198" s="51"/>
      <c r="E3198" s="51"/>
      <c r="F3198" s="65"/>
      <c r="G3198" s="40"/>
    </row>
    <row r="3199" spans="1:7" ht="12.75" hidden="1" customHeight="1">
      <c r="A3199" s="269" t="s">
        <v>665</v>
      </c>
      <c r="B3199" s="269"/>
      <c r="C3199" s="269"/>
      <c r="D3199" s="269"/>
      <c r="E3199" s="269"/>
      <c r="F3199" s="269"/>
      <c r="G3199" s="40"/>
    </row>
    <row r="3200" spans="1:7" ht="12.75" hidden="1" customHeight="1">
      <c r="A3200" s="42" t="s">
        <v>86</v>
      </c>
      <c r="B3200" s="43" t="s">
        <v>211</v>
      </c>
      <c r="C3200" s="43" t="s">
        <v>212</v>
      </c>
      <c r="D3200" s="43" t="s">
        <v>88</v>
      </c>
      <c r="E3200" s="43" t="s">
        <v>89</v>
      </c>
      <c r="F3200" s="43" t="s">
        <v>90</v>
      </c>
      <c r="G3200" s="45" t="s">
        <v>213</v>
      </c>
    </row>
    <row r="3201" spans="1:7" ht="12.75" hidden="1" customHeight="1">
      <c r="A3201" s="42" t="s">
        <v>20</v>
      </c>
      <c r="B3201" s="43"/>
      <c r="C3201" s="43"/>
      <c r="D3201" s="44"/>
      <c r="E3201" s="44"/>
      <c r="F3201" s="44"/>
      <c r="G3201" s="39"/>
    </row>
    <row r="3202" spans="1:7" ht="12.75" hidden="1" customHeight="1">
      <c r="A3202" s="42" t="s">
        <v>214</v>
      </c>
      <c r="B3202" s="43"/>
      <c r="C3202" s="43"/>
      <c r="D3202" s="44"/>
      <c r="E3202" s="44"/>
      <c r="F3202" s="44"/>
      <c r="G3202" s="44"/>
    </row>
    <row r="3203" spans="1:7" ht="12.75" hidden="1" customHeight="1">
      <c r="A3203" s="42" t="s">
        <v>215</v>
      </c>
      <c r="B3203" s="43"/>
      <c r="C3203" s="43"/>
      <c r="D3203" s="44"/>
      <c r="E3203" s="44"/>
      <c r="F3203" s="44"/>
      <c r="G3203" s="44"/>
    </row>
    <row r="3204" spans="1:7" ht="12.75" hidden="1" customHeight="1">
      <c r="A3204" s="42" t="s">
        <v>216</v>
      </c>
      <c r="B3204" s="43"/>
      <c r="C3204" s="43"/>
      <c r="D3204" s="44"/>
      <c r="E3204" s="44"/>
      <c r="F3204" s="44"/>
      <c r="G3204" s="44"/>
    </row>
    <row r="3205" spans="1:7" ht="12.75" hidden="1" customHeight="1">
      <c r="A3205" s="42" t="s">
        <v>217</v>
      </c>
      <c r="B3205" s="43"/>
      <c r="C3205" s="43"/>
      <c r="D3205" s="44"/>
      <c r="E3205" s="44"/>
      <c r="F3205" s="44"/>
      <c r="G3205" s="44"/>
    </row>
    <row r="3206" spans="1:7" ht="12.75" hidden="1" customHeight="1">
      <c r="A3206" s="42" t="s">
        <v>218</v>
      </c>
      <c r="B3206" s="45"/>
      <c r="C3206" s="45"/>
      <c r="D3206" s="44"/>
      <c r="E3206" s="44"/>
      <c r="F3206" s="44"/>
      <c r="G3206" s="44"/>
    </row>
    <row r="3207" spans="1:7" ht="12.75" hidden="1" customHeight="1">
      <c r="A3207" s="42" t="s">
        <v>667</v>
      </c>
      <c r="B3207" s="45">
        <v>104</v>
      </c>
      <c r="C3207" s="45">
        <v>192</v>
      </c>
      <c r="D3207" s="66">
        <f>C3207/C$3241*D$3241</f>
        <v>40839.004019138752</v>
      </c>
      <c r="E3207" s="66">
        <f>B3207/B$3241*E$3241</f>
        <v>39075.259938080497</v>
      </c>
      <c r="F3207" s="66">
        <f>C3207/C$3241*F$3241</f>
        <v>38060.913301435408</v>
      </c>
      <c r="G3207" s="44">
        <f>SUM(D3207:F3207)</f>
        <v>117975.17725865467</v>
      </c>
    </row>
    <row r="3208" spans="1:7" ht="12.75" hidden="1" customHeight="1">
      <c r="A3208" s="42" t="s">
        <v>21</v>
      </c>
      <c r="B3208" s="43"/>
      <c r="C3208" s="43"/>
      <c r="D3208" s="44">
        <f t="shared" ref="D3208:D3224" si="138">C3208/C$3241*D$3241</f>
        <v>0</v>
      </c>
      <c r="E3208" s="44">
        <f t="shared" ref="E3208:E3224" si="139">B3208/B$3241*E$3241</f>
        <v>0</v>
      </c>
      <c r="F3208" s="44">
        <f t="shared" ref="F3208:F3224" si="140">C3208/C$3241*F$3241</f>
        <v>0</v>
      </c>
      <c r="G3208" s="44">
        <f t="shared" ref="G3208:G3224" si="141">SUM(D3208:F3208)</f>
        <v>0</v>
      </c>
    </row>
    <row r="3209" spans="1:7" ht="12.75" hidden="1" customHeight="1">
      <c r="A3209" s="42" t="s">
        <v>220</v>
      </c>
      <c r="B3209" s="43"/>
      <c r="C3209" s="43"/>
      <c r="D3209" s="44">
        <f t="shared" si="138"/>
        <v>0</v>
      </c>
      <c r="E3209" s="44">
        <f t="shared" si="139"/>
        <v>0</v>
      </c>
      <c r="F3209" s="44">
        <f t="shared" si="140"/>
        <v>0</v>
      </c>
      <c r="G3209" s="44">
        <f t="shared" si="141"/>
        <v>0</v>
      </c>
    </row>
    <row r="3210" spans="1:7" ht="12.75" hidden="1" customHeight="1">
      <c r="A3210" s="42" t="s">
        <v>221</v>
      </c>
      <c r="B3210" s="43"/>
      <c r="C3210" s="43"/>
      <c r="D3210" s="44">
        <f t="shared" si="138"/>
        <v>0</v>
      </c>
      <c r="E3210" s="44">
        <f t="shared" si="139"/>
        <v>0</v>
      </c>
      <c r="F3210" s="44">
        <f t="shared" si="140"/>
        <v>0</v>
      </c>
      <c r="G3210" s="44">
        <f t="shared" si="141"/>
        <v>0</v>
      </c>
    </row>
    <row r="3211" spans="1:7" ht="12.75" hidden="1" customHeight="1">
      <c r="A3211" s="42" t="s">
        <v>22</v>
      </c>
      <c r="B3211" s="43"/>
      <c r="C3211" s="43"/>
      <c r="D3211" s="44">
        <f t="shared" si="138"/>
        <v>0</v>
      </c>
      <c r="E3211" s="44">
        <f t="shared" si="139"/>
        <v>0</v>
      </c>
      <c r="F3211" s="44">
        <f t="shared" si="140"/>
        <v>0</v>
      </c>
      <c r="G3211" s="44">
        <f t="shared" si="141"/>
        <v>0</v>
      </c>
    </row>
    <row r="3212" spans="1:7" ht="12.75" hidden="1" customHeight="1">
      <c r="A3212" s="42" t="s">
        <v>23</v>
      </c>
      <c r="B3212" s="43"/>
      <c r="C3212" s="43"/>
      <c r="D3212" s="44">
        <f t="shared" si="138"/>
        <v>0</v>
      </c>
      <c r="E3212" s="44">
        <f t="shared" si="139"/>
        <v>0</v>
      </c>
      <c r="F3212" s="44">
        <f t="shared" si="140"/>
        <v>0</v>
      </c>
      <c r="G3212" s="44">
        <f t="shared" si="141"/>
        <v>0</v>
      </c>
    </row>
    <row r="3213" spans="1:7" ht="12.75" hidden="1" customHeight="1">
      <c r="A3213" s="42" t="s">
        <v>24</v>
      </c>
      <c r="B3213" s="43"/>
      <c r="C3213" s="43"/>
      <c r="D3213" s="44">
        <f t="shared" si="138"/>
        <v>0</v>
      </c>
      <c r="E3213" s="44">
        <f t="shared" si="139"/>
        <v>0</v>
      </c>
      <c r="F3213" s="44">
        <f t="shared" si="140"/>
        <v>0</v>
      </c>
      <c r="G3213" s="44">
        <f t="shared" si="141"/>
        <v>0</v>
      </c>
    </row>
    <row r="3214" spans="1:7" ht="12.75" hidden="1" customHeight="1">
      <c r="A3214" s="42" t="s">
        <v>222</v>
      </c>
      <c r="B3214" s="43">
        <v>72</v>
      </c>
      <c r="C3214" s="43">
        <v>192</v>
      </c>
      <c r="D3214" s="66">
        <f t="shared" si="138"/>
        <v>40839.004019138752</v>
      </c>
      <c r="E3214" s="66">
        <f t="shared" si="139"/>
        <v>27052.103034055726</v>
      </c>
      <c r="F3214" s="66">
        <f t="shared" si="140"/>
        <v>38060.913301435408</v>
      </c>
      <c r="G3214" s="44">
        <f t="shared" si="141"/>
        <v>105952.0203546299</v>
      </c>
    </row>
    <row r="3215" spans="1:7" ht="12.75" hidden="1" customHeight="1">
      <c r="A3215" s="60" t="s">
        <v>222</v>
      </c>
      <c r="B3215" s="59">
        <v>72</v>
      </c>
      <c r="C3215" s="59">
        <v>192</v>
      </c>
      <c r="D3215" s="181">
        <f t="shared" si="138"/>
        <v>40839.004019138752</v>
      </c>
      <c r="E3215" s="181">
        <f t="shared" si="139"/>
        <v>27052.103034055726</v>
      </c>
      <c r="F3215" s="181">
        <f t="shared" si="140"/>
        <v>38060.913301435408</v>
      </c>
      <c r="G3215" s="181">
        <f t="shared" si="141"/>
        <v>105952.0203546299</v>
      </c>
    </row>
    <row r="3216" spans="1:7" ht="12.75" hidden="1" customHeight="1">
      <c r="A3216" s="42" t="s">
        <v>224</v>
      </c>
      <c r="B3216" s="43"/>
      <c r="C3216" s="43"/>
      <c r="D3216" s="44">
        <f t="shared" si="138"/>
        <v>0</v>
      </c>
      <c r="E3216" s="44">
        <f t="shared" si="139"/>
        <v>0</v>
      </c>
      <c r="F3216" s="44">
        <f t="shared" si="140"/>
        <v>0</v>
      </c>
      <c r="G3216" s="44">
        <f t="shared" si="141"/>
        <v>0</v>
      </c>
    </row>
    <row r="3217" spans="1:7" ht="12.75" hidden="1" customHeight="1">
      <c r="A3217" s="42" t="s">
        <v>225</v>
      </c>
      <c r="B3217" s="43"/>
      <c r="C3217" s="43"/>
      <c r="D3217" s="44">
        <f t="shared" si="138"/>
        <v>0</v>
      </c>
      <c r="E3217" s="44">
        <f t="shared" si="139"/>
        <v>0</v>
      </c>
      <c r="F3217" s="44">
        <f t="shared" si="140"/>
        <v>0</v>
      </c>
      <c r="G3217" s="44">
        <f t="shared" si="141"/>
        <v>0</v>
      </c>
    </row>
    <row r="3218" spans="1:7" ht="12.75" hidden="1" customHeight="1">
      <c r="A3218" s="42" t="s">
        <v>226</v>
      </c>
      <c r="B3218" s="43"/>
      <c r="C3218" s="43"/>
      <c r="D3218" s="44">
        <f t="shared" si="138"/>
        <v>0</v>
      </c>
      <c r="E3218" s="44">
        <f t="shared" si="139"/>
        <v>0</v>
      </c>
      <c r="F3218" s="44">
        <f t="shared" si="140"/>
        <v>0</v>
      </c>
      <c r="G3218" s="44">
        <f t="shared" si="141"/>
        <v>0</v>
      </c>
    </row>
    <row r="3219" spans="1:7" ht="12.75" hidden="1" customHeight="1">
      <c r="A3219" s="42" t="s">
        <v>227</v>
      </c>
      <c r="B3219" s="43">
        <v>32</v>
      </c>
      <c r="C3219" s="43">
        <v>64</v>
      </c>
      <c r="D3219" s="66">
        <f t="shared" si="138"/>
        <v>13613.001339712917</v>
      </c>
      <c r="E3219" s="66">
        <f t="shared" si="139"/>
        <v>12023.156904024769</v>
      </c>
      <c r="F3219" s="66">
        <f t="shared" si="140"/>
        <v>12686.971100478468</v>
      </c>
      <c r="G3219" s="44">
        <f t="shared" si="141"/>
        <v>38323.129344216155</v>
      </c>
    </row>
    <row r="3220" spans="1:7" ht="12.75" hidden="1" customHeight="1">
      <c r="A3220" s="46" t="s">
        <v>228</v>
      </c>
      <c r="B3220" s="43"/>
      <c r="C3220" s="43"/>
      <c r="D3220" s="44">
        <f t="shared" si="138"/>
        <v>0</v>
      </c>
      <c r="E3220" s="44">
        <f t="shared" si="139"/>
        <v>0</v>
      </c>
      <c r="F3220" s="44">
        <f t="shared" si="140"/>
        <v>0</v>
      </c>
      <c r="G3220" s="44">
        <f t="shared" si="141"/>
        <v>0</v>
      </c>
    </row>
    <row r="3221" spans="1:7" ht="12.75" hidden="1" customHeight="1">
      <c r="A3221" s="42" t="s">
        <v>25</v>
      </c>
      <c r="B3221" s="43">
        <v>40</v>
      </c>
      <c r="C3221" s="43">
        <v>64</v>
      </c>
      <c r="D3221" s="66">
        <f t="shared" si="138"/>
        <v>13613.001339712917</v>
      </c>
      <c r="E3221" s="66">
        <f t="shared" si="139"/>
        <v>15028.946130030961</v>
      </c>
      <c r="F3221" s="66">
        <f t="shared" si="140"/>
        <v>12686.971100478468</v>
      </c>
      <c r="G3221" s="44">
        <f t="shared" si="141"/>
        <v>41328.918570222348</v>
      </c>
    </row>
    <row r="3222" spans="1:7" ht="12.75" hidden="1" customHeight="1">
      <c r="A3222" s="46" t="s">
        <v>463</v>
      </c>
      <c r="B3222" s="43"/>
      <c r="C3222" s="43"/>
      <c r="D3222" s="44">
        <f t="shared" si="138"/>
        <v>0</v>
      </c>
      <c r="E3222" s="44">
        <f t="shared" si="139"/>
        <v>0</v>
      </c>
      <c r="F3222" s="44">
        <f t="shared" si="140"/>
        <v>0</v>
      </c>
      <c r="G3222" s="44">
        <f t="shared" si="141"/>
        <v>0</v>
      </c>
    </row>
    <row r="3223" spans="1:7" ht="12.75" hidden="1" customHeight="1">
      <c r="A3223" s="46" t="s">
        <v>464</v>
      </c>
      <c r="B3223" s="43"/>
      <c r="C3223" s="43"/>
      <c r="D3223" s="44">
        <f t="shared" si="138"/>
        <v>0</v>
      </c>
      <c r="E3223" s="44">
        <f t="shared" si="139"/>
        <v>0</v>
      </c>
      <c r="F3223" s="44">
        <f t="shared" si="140"/>
        <v>0</v>
      </c>
      <c r="G3223" s="44">
        <f t="shared" si="141"/>
        <v>0</v>
      </c>
    </row>
    <row r="3224" spans="1:7" ht="12.75" hidden="1" customHeight="1">
      <c r="A3224" s="42" t="s">
        <v>508</v>
      </c>
      <c r="B3224" s="43">
        <v>326</v>
      </c>
      <c r="C3224" s="43">
        <v>968</v>
      </c>
      <c r="D3224" s="66">
        <f t="shared" si="138"/>
        <v>205896.6452631579</v>
      </c>
      <c r="E3224" s="66">
        <f t="shared" si="139"/>
        <v>122485.91095975233</v>
      </c>
      <c r="F3224" s="66">
        <f t="shared" si="140"/>
        <v>191890.43789473685</v>
      </c>
      <c r="G3224" s="44">
        <f t="shared" si="141"/>
        <v>520272.99411764706</v>
      </c>
    </row>
    <row r="3225" spans="1:7" ht="12.75" hidden="1" customHeight="1">
      <c r="A3225" s="42" t="s">
        <v>509</v>
      </c>
      <c r="B3225" s="43"/>
      <c r="C3225" s="43"/>
      <c r="D3225" s="44"/>
      <c r="E3225" s="44"/>
      <c r="F3225" s="44"/>
      <c r="G3225" s="44"/>
    </row>
    <row r="3226" spans="1:7" ht="12.75" hidden="1" customHeight="1">
      <c r="A3226" s="42" t="s">
        <v>231</v>
      </c>
      <c r="B3226" s="43"/>
      <c r="C3226" s="43"/>
      <c r="D3226" s="44"/>
      <c r="E3226" s="44"/>
      <c r="F3226" s="44"/>
      <c r="G3226" s="44"/>
    </row>
    <row r="3227" spans="1:7" ht="12.75" hidden="1" customHeight="1">
      <c r="A3227" s="42" t="s">
        <v>232</v>
      </c>
      <c r="B3227" s="43"/>
      <c r="C3227" s="43"/>
      <c r="D3227" s="44"/>
      <c r="E3227" s="44"/>
      <c r="F3227" s="44"/>
      <c r="G3227" s="44"/>
    </row>
    <row r="3228" spans="1:7" ht="12.75" hidden="1" customHeight="1">
      <c r="A3228" s="42" t="s">
        <v>26</v>
      </c>
      <c r="B3228" s="43"/>
      <c r="C3228" s="43"/>
      <c r="D3228" s="44"/>
      <c r="E3228" s="44"/>
      <c r="F3228" s="44"/>
      <c r="G3228" s="44"/>
    </row>
    <row r="3229" spans="1:7" ht="12.75" hidden="1" customHeight="1">
      <c r="A3229" s="42" t="s">
        <v>27</v>
      </c>
      <c r="B3229" s="43"/>
      <c r="C3229" s="43"/>
      <c r="D3229" s="44"/>
      <c r="E3229" s="44"/>
      <c r="F3229" s="44"/>
      <c r="G3229" s="44"/>
    </row>
    <row r="3230" spans="1:7" ht="12.75" hidden="1" customHeight="1">
      <c r="A3230" s="42" t="s">
        <v>28</v>
      </c>
      <c r="B3230" s="43"/>
      <c r="C3230" s="43"/>
      <c r="D3230" s="44"/>
      <c r="E3230" s="44"/>
      <c r="F3230" s="44"/>
      <c r="G3230" s="44"/>
    </row>
    <row r="3231" spans="1:7" ht="12.75" hidden="1" customHeight="1">
      <c r="A3231" s="46" t="s">
        <v>233</v>
      </c>
      <c r="B3231" s="43"/>
      <c r="C3231" s="43"/>
      <c r="D3231" s="44"/>
      <c r="E3231" s="44"/>
      <c r="F3231" s="44"/>
      <c r="G3231" s="44"/>
    </row>
    <row r="3232" spans="1:7" ht="12.75" hidden="1" customHeight="1">
      <c r="A3232" s="46" t="s">
        <v>235</v>
      </c>
      <c r="B3232" s="43"/>
      <c r="C3232" s="43"/>
      <c r="D3232" s="44"/>
      <c r="E3232" s="44"/>
      <c r="F3232" s="44"/>
      <c r="G3232" s="44"/>
    </row>
    <row r="3233" spans="1:7" ht="12.75" hidden="1" customHeight="1">
      <c r="A3233" s="46" t="s">
        <v>236</v>
      </c>
      <c r="B3233" s="43"/>
      <c r="C3233" s="43"/>
      <c r="D3233" s="44"/>
      <c r="E3233" s="44"/>
      <c r="F3233" s="44"/>
      <c r="G3233" s="44"/>
    </row>
    <row r="3234" spans="1:7" ht="12.75" hidden="1" customHeight="1">
      <c r="A3234" s="46" t="s">
        <v>411</v>
      </c>
      <c r="B3234" s="43"/>
      <c r="C3234" s="43"/>
      <c r="D3234" s="44"/>
      <c r="E3234" s="44"/>
      <c r="F3234" s="44"/>
      <c r="G3234" s="44"/>
    </row>
    <row r="3235" spans="1:7" ht="12.75" hidden="1" customHeight="1">
      <c r="A3235" s="39" t="s">
        <v>239</v>
      </c>
      <c r="B3235" s="43"/>
      <c r="C3235" s="45"/>
      <c r="D3235" s="44"/>
      <c r="E3235" s="44"/>
      <c r="F3235" s="44"/>
      <c r="G3235" s="44"/>
    </row>
    <row r="3236" spans="1:7" ht="12.75" hidden="1" customHeight="1">
      <c r="A3236" s="110" t="s">
        <v>529</v>
      </c>
      <c r="B3236" s="43"/>
      <c r="C3236" s="45"/>
      <c r="D3236" s="44"/>
      <c r="E3236" s="44"/>
      <c r="F3236" s="44"/>
      <c r="G3236" s="44"/>
    </row>
    <row r="3237" spans="1:7" ht="12.75" hidden="1" customHeight="1">
      <c r="A3237" s="110" t="s">
        <v>530</v>
      </c>
      <c r="B3237" s="43"/>
      <c r="C3237" s="45"/>
      <c r="D3237" s="44"/>
      <c r="E3237" s="44"/>
      <c r="F3237" s="44"/>
      <c r="G3237" s="44"/>
    </row>
    <row r="3238" spans="1:7" ht="12.75" hidden="1" customHeight="1">
      <c r="A3238" s="110" t="s">
        <v>531</v>
      </c>
      <c r="B3238" s="43"/>
      <c r="C3238" s="45"/>
      <c r="D3238" s="44"/>
      <c r="E3238" s="44"/>
      <c r="F3238" s="44"/>
      <c r="G3238" s="44"/>
    </row>
    <row r="3239" spans="1:7" ht="12.75" hidden="1" customHeight="1">
      <c r="A3239" s="49" t="s">
        <v>238</v>
      </c>
      <c r="B3239" s="45"/>
      <c r="C3239" s="45"/>
      <c r="D3239" s="44"/>
      <c r="E3239" s="44"/>
      <c r="F3239" s="44"/>
      <c r="G3239" s="44"/>
    </row>
    <row r="3240" spans="1:7" ht="12.75" hidden="1" customHeight="1">
      <c r="A3240" s="225" t="s">
        <v>624</v>
      </c>
      <c r="B3240" s="43"/>
      <c r="C3240" s="39"/>
      <c r="D3240" s="44"/>
      <c r="E3240" s="44"/>
      <c r="F3240" s="44"/>
      <c r="G3240" s="44"/>
    </row>
    <row r="3241" spans="1:7" ht="12.75" hidden="1" customHeight="1">
      <c r="A3241" s="200" t="s">
        <v>625</v>
      </c>
      <c r="B3241" s="45">
        <f>SUM(B3207:B3224)</f>
        <v>646</v>
      </c>
      <c r="C3241" s="45">
        <f>SUM(C3207:C3224)</f>
        <v>1672</v>
      </c>
      <c r="D3241" s="44">
        <f>355639.66</f>
        <v>355639.66</v>
      </c>
      <c r="E3241" s="44">
        <f>24292+66164.2+23789.88+2232+22712+1365+86401.6+15760.8</f>
        <v>242717.48</v>
      </c>
      <c r="F3241" s="44">
        <f>331447.12</f>
        <v>331447.12</v>
      </c>
      <c r="G3241" s="44">
        <f>SUM(D3241:F3241)</f>
        <v>929804.26</v>
      </c>
    </row>
    <row r="3242" spans="1:7" ht="12.75" hidden="1" customHeight="1">
      <c r="A3242" s="268" t="s">
        <v>377</v>
      </c>
      <c r="B3242" s="268"/>
      <c r="C3242" s="268"/>
      <c r="D3242" s="268"/>
      <c r="E3242" s="268"/>
      <c r="F3242" s="268"/>
      <c r="G3242" s="268"/>
    </row>
    <row r="3243" spans="1:7" ht="12.75" hidden="1" customHeight="1">
      <c r="A3243" s="233" t="s">
        <v>668</v>
      </c>
      <c r="B3243" s="64"/>
      <c r="C3243" s="65"/>
      <c r="D3243" s="65"/>
      <c r="E3243" s="64"/>
      <c r="F3243" s="65"/>
      <c r="G3243" s="40"/>
    </row>
    <row r="3244" spans="1:7" ht="12.75" hidden="1" customHeight="1">
      <c r="A3244" s="65"/>
      <c r="B3244" s="64"/>
      <c r="C3244" s="65"/>
      <c r="D3244" s="65"/>
      <c r="E3244" s="64"/>
      <c r="F3244" s="65"/>
      <c r="G3244" s="40"/>
    </row>
    <row r="3245" spans="1:7" ht="12.75" hidden="1" customHeight="1">
      <c r="A3245" s="65"/>
      <c r="B3245" s="64"/>
      <c r="C3245" s="65"/>
      <c r="D3245" s="65"/>
      <c r="E3245" s="64"/>
      <c r="F3245" s="65"/>
      <c r="G3245" s="40"/>
    </row>
    <row r="3246" spans="1:7" ht="12.75" hidden="1" customHeight="1">
      <c r="A3246" s="65"/>
      <c r="B3246" s="64"/>
      <c r="C3246" s="65"/>
      <c r="D3246" s="65"/>
      <c r="E3246" s="64"/>
      <c r="F3246" s="65"/>
      <c r="G3246" s="40"/>
    </row>
    <row r="3247" spans="1:7" ht="12.75" hidden="1" customHeight="1">
      <c r="A3247" s="269" t="s">
        <v>666</v>
      </c>
      <c r="B3247" s="269"/>
      <c r="C3247" s="269"/>
      <c r="D3247" s="269"/>
      <c r="E3247" s="269"/>
      <c r="F3247" s="269"/>
      <c r="G3247" s="40"/>
    </row>
    <row r="3248" spans="1:7" ht="12.75" hidden="1" customHeight="1">
      <c r="A3248" s="42" t="s">
        <v>86</v>
      </c>
      <c r="B3248" s="43" t="s">
        <v>246</v>
      </c>
      <c r="C3248" s="43" t="s">
        <v>88</v>
      </c>
      <c r="D3248" s="43" t="s">
        <v>89</v>
      </c>
      <c r="E3248" s="43" t="s">
        <v>90</v>
      </c>
      <c r="F3248" s="43" t="s">
        <v>91</v>
      </c>
      <c r="G3248" s="40"/>
    </row>
    <row r="3249" spans="1:7" ht="12.75" hidden="1" customHeight="1">
      <c r="A3249" s="67" t="s">
        <v>627</v>
      </c>
      <c r="B3249" s="43"/>
      <c r="C3249" s="42"/>
      <c r="D3249" s="42"/>
      <c r="E3249" s="42"/>
      <c r="F3249" s="42"/>
      <c r="G3249" s="40"/>
    </row>
    <row r="3250" spans="1:7" ht="12.75" hidden="1" customHeight="1">
      <c r="A3250" s="67" t="s">
        <v>248</v>
      </c>
      <c r="B3250" s="43"/>
      <c r="C3250" s="42"/>
      <c r="D3250" s="42"/>
      <c r="E3250" s="42"/>
      <c r="F3250" s="42"/>
      <c r="G3250" s="40"/>
    </row>
    <row r="3251" spans="1:7" ht="12.75" hidden="1" customHeight="1">
      <c r="A3251" s="67" t="s">
        <v>249</v>
      </c>
      <c r="B3251" s="45"/>
      <c r="C3251" s="42"/>
      <c r="D3251" s="42"/>
      <c r="E3251" s="42"/>
      <c r="F3251" s="42"/>
      <c r="G3251" s="40"/>
    </row>
    <row r="3252" spans="1:7" ht="12.75" hidden="1" customHeight="1">
      <c r="A3252" s="159" t="s">
        <v>633</v>
      </c>
      <c r="B3252" s="43"/>
      <c r="C3252" s="42"/>
      <c r="D3252" s="42"/>
      <c r="E3252" s="42"/>
      <c r="F3252" s="42"/>
      <c r="G3252" s="40"/>
    </row>
    <row r="3253" spans="1:7" ht="12.75" hidden="1" customHeight="1">
      <c r="A3253" s="159" t="s">
        <v>634</v>
      </c>
      <c r="B3253" s="43"/>
      <c r="C3253" s="42"/>
      <c r="D3253" s="42"/>
      <c r="E3253" s="42"/>
      <c r="F3253" s="42"/>
      <c r="G3253" s="40"/>
    </row>
    <row r="3254" spans="1:7" ht="12.75" hidden="1" customHeight="1">
      <c r="A3254" s="67" t="s">
        <v>251</v>
      </c>
      <c r="B3254" s="43"/>
      <c r="C3254" s="42"/>
      <c r="D3254" s="42"/>
      <c r="E3254" s="42"/>
      <c r="F3254" s="42"/>
      <c r="G3254" s="40"/>
    </row>
    <row r="3255" spans="1:7" ht="12.75" hidden="1" customHeight="1">
      <c r="A3255" s="68" t="s">
        <v>252</v>
      </c>
      <c r="B3255" s="69"/>
      <c r="C3255" s="42"/>
      <c r="D3255" s="42"/>
      <c r="E3255" s="42"/>
      <c r="F3255" s="42"/>
      <c r="G3255" s="40"/>
    </row>
    <row r="3256" spans="1:7" ht="12.75" hidden="1" customHeight="1">
      <c r="A3256" s="68" t="s">
        <v>582</v>
      </c>
      <c r="B3256" s="69">
        <v>30</v>
      </c>
      <c r="C3256" s="53">
        <f>B3256/B$3291*C$3291</f>
        <v>15910.36696832579</v>
      </c>
      <c r="D3256" s="53">
        <f>B3256/B$3291*D$3291</f>
        <v>19441.737556561082</v>
      </c>
      <c r="E3256" s="53">
        <f>B3256/B$3291*E$3291</f>
        <v>2515.2977375565611</v>
      </c>
      <c r="F3256" s="42">
        <f>SUM(C3256:E3256)</f>
        <v>37867.402262443436</v>
      </c>
      <c r="G3256" s="40"/>
    </row>
    <row r="3257" spans="1:7" ht="12.75" hidden="1" customHeight="1">
      <c r="A3257" s="68" t="s">
        <v>583</v>
      </c>
      <c r="B3257" s="69">
        <v>15</v>
      </c>
      <c r="C3257" s="53">
        <f t="shared" ref="C3257:C3279" si="142">B3257/B$3291*C$3291</f>
        <v>7955.1834841628952</v>
      </c>
      <c r="D3257" s="53">
        <f t="shared" ref="D3257:D3279" si="143">B3257/B$3291*D$3291</f>
        <v>9720.8687782805409</v>
      </c>
      <c r="E3257" s="53">
        <f t="shared" ref="E3257:E3279" si="144">B3257/B$3291*E$3291</f>
        <v>1257.6488687782805</v>
      </c>
      <c r="F3257" s="42">
        <f t="shared" ref="F3257:F3279" si="145">SUM(C3257:E3257)</f>
        <v>18933.701131221718</v>
      </c>
      <c r="G3257" s="40"/>
    </row>
    <row r="3258" spans="1:7" ht="12.75" hidden="1" customHeight="1">
      <c r="A3258" s="217" t="s">
        <v>254</v>
      </c>
      <c r="B3258" s="226">
        <v>34</v>
      </c>
      <c r="C3258" s="60">
        <f t="shared" si="142"/>
        <v>18031.74923076923</v>
      </c>
      <c r="D3258" s="60">
        <f t="shared" si="143"/>
        <v>22033.969230769231</v>
      </c>
      <c r="E3258" s="60">
        <f t="shared" si="144"/>
        <v>2850.6707692307696</v>
      </c>
      <c r="F3258" s="60">
        <f t="shared" si="145"/>
        <v>42916.389230769229</v>
      </c>
      <c r="G3258" s="40"/>
    </row>
    <row r="3259" spans="1:7" ht="12.75" hidden="1" customHeight="1">
      <c r="A3259" s="67" t="s">
        <v>255</v>
      </c>
      <c r="B3259" s="70"/>
      <c r="C3259" s="42">
        <f t="shared" si="142"/>
        <v>0</v>
      </c>
      <c r="D3259" s="42">
        <f t="shared" si="143"/>
        <v>0</v>
      </c>
      <c r="E3259" s="42">
        <f t="shared" si="144"/>
        <v>0</v>
      </c>
      <c r="F3259" s="42">
        <f t="shared" si="145"/>
        <v>0</v>
      </c>
      <c r="G3259" s="40"/>
    </row>
    <row r="3260" spans="1:7" ht="12.75" hidden="1" customHeight="1">
      <c r="A3260" s="67" t="s">
        <v>256</v>
      </c>
      <c r="B3260" s="196">
        <v>13</v>
      </c>
      <c r="C3260" s="53">
        <f t="shared" si="142"/>
        <v>6894.4923529411763</v>
      </c>
      <c r="D3260" s="53">
        <f t="shared" si="143"/>
        <v>8424.7529411764699</v>
      </c>
      <c r="E3260" s="53">
        <f t="shared" si="144"/>
        <v>1089.9623529411765</v>
      </c>
      <c r="F3260" s="42">
        <f t="shared" si="145"/>
        <v>16409.207647058822</v>
      </c>
      <c r="G3260" s="40"/>
    </row>
    <row r="3261" spans="1:7" ht="12.75" hidden="1" customHeight="1">
      <c r="A3261" s="67" t="s">
        <v>257</v>
      </c>
      <c r="B3261" s="70">
        <v>80</v>
      </c>
      <c r="C3261" s="53">
        <f t="shared" si="142"/>
        <v>42427.645248868772</v>
      </c>
      <c r="D3261" s="53">
        <f t="shared" si="143"/>
        <v>51844.633484162892</v>
      </c>
      <c r="E3261" s="53">
        <f t="shared" si="144"/>
        <v>6707.4606334841628</v>
      </c>
      <c r="F3261" s="42">
        <f t="shared" si="145"/>
        <v>100979.73936651583</v>
      </c>
      <c r="G3261" s="40"/>
    </row>
    <row r="3262" spans="1:7" ht="12.75" hidden="1" customHeight="1">
      <c r="A3262" s="67" t="s">
        <v>535</v>
      </c>
      <c r="B3262" s="70"/>
      <c r="C3262" s="42">
        <f t="shared" si="142"/>
        <v>0</v>
      </c>
      <c r="D3262" s="42">
        <f t="shared" si="143"/>
        <v>0</v>
      </c>
      <c r="E3262" s="42">
        <f t="shared" si="144"/>
        <v>0</v>
      </c>
      <c r="F3262" s="42">
        <f t="shared" si="145"/>
        <v>0</v>
      </c>
      <c r="G3262" s="40"/>
    </row>
    <row r="3263" spans="1:7" ht="12.75" hidden="1" customHeight="1">
      <c r="A3263" s="71" t="s">
        <v>258</v>
      </c>
      <c r="B3263" s="72"/>
      <c r="C3263" s="42">
        <f t="shared" si="142"/>
        <v>0</v>
      </c>
      <c r="D3263" s="42">
        <f t="shared" si="143"/>
        <v>0</v>
      </c>
      <c r="E3263" s="42">
        <f t="shared" si="144"/>
        <v>0</v>
      </c>
      <c r="F3263" s="42">
        <f t="shared" si="145"/>
        <v>0</v>
      </c>
      <c r="G3263" s="40"/>
    </row>
    <row r="3264" spans="1:7" ht="12.75" hidden="1" customHeight="1">
      <c r="A3264" s="67" t="s">
        <v>259</v>
      </c>
      <c r="B3264" s="43"/>
      <c r="C3264" s="42">
        <f t="shared" si="142"/>
        <v>0</v>
      </c>
      <c r="D3264" s="42">
        <f t="shared" si="143"/>
        <v>0</v>
      </c>
      <c r="E3264" s="42">
        <f t="shared" si="144"/>
        <v>0</v>
      </c>
      <c r="F3264" s="42">
        <f t="shared" si="145"/>
        <v>0</v>
      </c>
      <c r="G3264" s="40"/>
    </row>
    <row r="3265" spans="1:7" ht="12.75" hidden="1" customHeight="1">
      <c r="A3265" s="73" t="s">
        <v>584</v>
      </c>
      <c r="B3265" s="43"/>
      <c r="C3265" s="42">
        <f t="shared" si="142"/>
        <v>0</v>
      </c>
      <c r="D3265" s="42">
        <f t="shared" si="143"/>
        <v>0</v>
      </c>
      <c r="E3265" s="42">
        <f t="shared" si="144"/>
        <v>0</v>
      </c>
      <c r="F3265" s="42">
        <f t="shared" si="145"/>
        <v>0</v>
      </c>
      <c r="G3265" s="40"/>
    </row>
    <row r="3266" spans="1:7" ht="12.75" hidden="1" customHeight="1">
      <c r="A3266" s="73" t="s">
        <v>585</v>
      </c>
      <c r="B3266" s="43"/>
      <c r="C3266" s="42">
        <f t="shared" si="142"/>
        <v>0</v>
      </c>
      <c r="D3266" s="42">
        <f t="shared" si="143"/>
        <v>0</v>
      </c>
      <c r="E3266" s="42">
        <f t="shared" si="144"/>
        <v>0</v>
      </c>
      <c r="F3266" s="42">
        <f t="shared" si="145"/>
        <v>0</v>
      </c>
      <c r="G3266" s="40"/>
    </row>
    <row r="3267" spans="1:7" ht="12.75" hidden="1" customHeight="1">
      <c r="A3267" s="73" t="s">
        <v>632</v>
      </c>
      <c r="B3267" s="43"/>
      <c r="C3267" s="42">
        <f t="shared" si="142"/>
        <v>0</v>
      </c>
      <c r="D3267" s="42">
        <f t="shared" si="143"/>
        <v>0</v>
      </c>
      <c r="E3267" s="42">
        <f t="shared" si="144"/>
        <v>0</v>
      </c>
      <c r="F3267" s="42">
        <f t="shared" si="145"/>
        <v>0</v>
      </c>
      <c r="G3267" s="40"/>
    </row>
    <row r="3268" spans="1:7" ht="12.75" hidden="1" customHeight="1">
      <c r="A3268" s="73" t="s">
        <v>262</v>
      </c>
      <c r="B3268" s="43"/>
      <c r="C3268" s="42">
        <f t="shared" si="142"/>
        <v>0</v>
      </c>
      <c r="D3268" s="42">
        <f t="shared" si="143"/>
        <v>0</v>
      </c>
      <c r="E3268" s="42">
        <f t="shared" si="144"/>
        <v>0</v>
      </c>
      <c r="F3268" s="42">
        <f t="shared" si="145"/>
        <v>0</v>
      </c>
      <c r="G3268" s="40"/>
    </row>
    <row r="3269" spans="1:7" ht="12.75" hidden="1" customHeight="1">
      <c r="A3269" s="74" t="s">
        <v>628</v>
      </c>
      <c r="B3269" s="43">
        <v>7</v>
      </c>
      <c r="C3269" s="53">
        <f t="shared" si="142"/>
        <v>3712.4189592760176</v>
      </c>
      <c r="D3269" s="53">
        <f t="shared" si="143"/>
        <v>4536.4054298642532</v>
      </c>
      <c r="E3269" s="53">
        <f t="shared" si="144"/>
        <v>586.9028054298642</v>
      </c>
      <c r="F3269" s="42">
        <f t="shared" si="145"/>
        <v>8835.7271945701359</v>
      </c>
      <c r="G3269" s="40"/>
    </row>
    <row r="3270" spans="1:7" ht="12.75" hidden="1" customHeight="1">
      <c r="A3270" s="74" t="s">
        <v>264</v>
      </c>
      <c r="B3270" s="196">
        <v>10</v>
      </c>
      <c r="C3270" s="53">
        <f t="shared" si="142"/>
        <v>5303.4556561085965</v>
      </c>
      <c r="D3270" s="53">
        <f t="shared" si="143"/>
        <v>6480.5791855203615</v>
      </c>
      <c r="E3270" s="53">
        <f t="shared" si="144"/>
        <v>838.43257918552035</v>
      </c>
      <c r="F3270" s="42">
        <f t="shared" si="145"/>
        <v>12622.467420814479</v>
      </c>
      <c r="G3270" s="40"/>
    </row>
    <row r="3271" spans="1:7" ht="12.75" hidden="1" customHeight="1">
      <c r="A3271" s="74" t="s">
        <v>549</v>
      </c>
      <c r="B3271" s="43"/>
      <c r="C3271" s="42">
        <f t="shared" si="142"/>
        <v>0</v>
      </c>
      <c r="D3271" s="42">
        <f t="shared" si="143"/>
        <v>0</v>
      </c>
      <c r="E3271" s="42">
        <f t="shared" si="144"/>
        <v>0</v>
      </c>
      <c r="F3271" s="42">
        <f t="shared" si="145"/>
        <v>0</v>
      </c>
      <c r="G3271" s="40"/>
    </row>
    <row r="3272" spans="1:7" ht="12.75" hidden="1" customHeight="1">
      <c r="A3272" s="74" t="s">
        <v>534</v>
      </c>
      <c r="B3272" s="43"/>
      <c r="C3272" s="42">
        <f t="shared" si="142"/>
        <v>0</v>
      </c>
      <c r="D3272" s="42">
        <f t="shared" si="143"/>
        <v>0</v>
      </c>
      <c r="E3272" s="42">
        <f t="shared" si="144"/>
        <v>0</v>
      </c>
      <c r="F3272" s="42">
        <f t="shared" si="145"/>
        <v>0</v>
      </c>
      <c r="G3272" s="40"/>
    </row>
    <row r="3273" spans="1:7" ht="12.75" hidden="1" customHeight="1">
      <c r="A3273" s="74" t="s">
        <v>631</v>
      </c>
      <c r="B3273" s="43"/>
      <c r="C3273" s="42">
        <f t="shared" si="142"/>
        <v>0</v>
      </c>
      <c r="D3273" s="42">
        <f t="shared" si="143"/>
        <v>0</v>
      </c>
      <c r="E3273" s="42">
        <f t="shared" si="144"/>
        <v>0</v>
      </c>
      <c r="F3273" s="42">
        <f t="shared" si="145"/>
        <v>0</v>
      </c>
      <c r="G3273" s="40"/>
    </row>
    <row r="3274" spans="1:7" ht="12.75" hidden="1" customHeight="1">
      <c r="A3274" s="74" t="s">
        <v>267</v>
      </c>
      <c r="B3274" s="48"/>
      <c r="C3274" s="42">
        <f t="shared" si="142"/>
        <v>0</v>
      </c>
      <c r="D3274" s="42">
        <f t="shared" si="143"/>
        <v>0</v>
      </c>
      <c r="E3274" s="42">
        <f t="shared" si="144"/>
        <v>0</v>
      </c>
      <c r="F3274" s="42">
        <f t="shared" si="145"/>
        <v>0</v>
      </c>
      <c r="G3274" s="40"/>
    </row>
    <row r="3275" spans="1:7" ht="12.75" hidden="1" customHeight="1">
      <c r="A3275" s="74" t="s">
        <v>268</v>
      </c>
      <c r="B3275" s="43">
        <v>16</v>
      </c>
      <c r="C3275" s="53">
        <f t="shared" si="142"/>
        <v>8485.5290497737569</v>
      </c>
      <c r="D3275" s="53">
        <f t="shared" si="143"/>
        <v>10368.926696832579</v>
      </c>
      <c r="E3275" s="53">
        <f t="shared" si="144"/>
        <v>1341.4921266968327</v>
      </c>
      <c r="F3275" s="42">
        <f t="shared" si="145"/>
        <v>20195.947873303168</v>
      </c>
      <c r="G3275" s="40"/>
    </row>
    <row r="3276" spans="1:7" ht="12.75" hidden="1" customHeight="1">
      <c r="A3276" s="67" t="s">
        <v>269</v>
      </c>
      <c r="B3276" s="43"/>
      <c r="C3276" s="42">
        <f t="shared" si="142"/>
        <v>0</v>
      </c>
      <c r="D3276" s="42">
        <f t="shared" si="143"/>
        <v>0</v>
      </c>
      <c r="E3276" s="42">
        <f t="shared" si="144"/>
        <v>0</v>
      </c>
      <c r="F3276" s="42">
        <f t="shared" si="145"/>
        <v>0</v>
      </c>
      <c r="G3276" s="40"/>
    </row>
    <row r="3277" spans="1:7" ht="12.75" hidden="1" customHeight="1">
      <c r="A3277" s="159" t="s">
        <v>629</v>
      </c>
      <c r="B3277" s="43"/>
      <c r="C3277" s="42">
        <f t="shared" si="142"/>
        <v>0</v>
      </c>
      <c r="D3277" s="42">
        <f t="shared" si="143"/>
        <v>0</v>
      </c>
      <c r="E3277" s="42">
        <f t="shared" si="144"/>
        <v>0</v>
      </c>
      <c r="F3277" s="42">
        <f t="shared" si="145"/>
        <v>0</v>
      </c>
      <c r="G3277" s="40"/>
    </row>
    <row r="3278" spans="1:7" ht="12.75" hidden="1" customHeight="1">
      <c r="A3278" s="159" t="s">
        <v>630</v>
      </c>
      <c r="B3278" s="43"/>
      <c r="C3278" s="42">
        <f t="shared" si="142"/>
        <v>0</v>
      </c>
      <c r="D3278" s="42">
        <f t="shared" si="143"/>
        <v>0</v>
      </c>
      <c r="E3278" s="42">
        <f t="shared" si="144"/>
        <v>0</v>
      </c>
      <c r="F3278" s="42">
        <f t="shared" si="145"/>
        <v>0</v>
      </c>
      <c r="G3278" s="40"/>
    </row>
    <row r="3279" spans="1:7" ht="12.75" hidden="1" customHeight="1">
      <c r="A3279" s="218" t="s">
        <v>507</v>
      </c>
      <c r="B3279" s="59">
        <v>16</v>
      </c>
      <c r="C3279" s="60">
        <f t="shared" si="142"/>
        <v>8485.5290497737569</v>
      </c>
      <c r="D3279" s="60">
        <f t="shared" si="143"/>
        <v>10368.926696832579</v>
      </c>
      <c r="E3279" s="60">
        <f t="shared" si="144"/>
        <v>1341.4921266968327</v>
      </c>
      <c r="F3279" s="60">
        <f t="shared" si="145"/>
        <v>20195.947873303168</v>
      </c>
      <c r="G3279" s="40"/>
    </row>
    <row r="3280" spans="1:7" ht="12.75" hidden="1" customHeight="1">
      <c r="A3280" s="67" t="s">
        <v>271</v>
      </c>
      <c r="B3280" s="43"/>
      <c r="C3280" s="42"/>
      <c r="D3280" s="42"/>
      <c r="E3280" s="42"/>
      <c r="F3280" s="42"/>
      <c r="G3280" s="40"/>
    </row>
    <row r="3281" spans="1:7" ht="12.75" hidden="1" customHeight="1">
      <c r="A3281" s="67" t="s">
        <v>272</v>
      </c>
      <c r="B3281" s="43"/>
      <c r="C3281" s="42"/>
      <c r="D3281" s="42"/>
      <c r="E3281" s="42"/>
      <c r="F3281" s="42"/>
      <c r="G3281" s="40"/>
    </row>
    <row r="3282" spans="1:7" ht="12.75" hidden="1" customHeight="1">
      <c r="A3282" s="67" t="s">
        <v>273</v>
      </c>
      <c r="B3282" s="43"/>
      <c r="C3282" s="42"/>
      <c r="D3282" s="42"/>
      <c r="E3282" s="42"/>
      <c r="F3282" s="42"/>
      <c r="G3282" s="40"/>
    </row>
    <row r="3283" spans="1:7" ht="12.75" hidden="1" customHeight="1">
      <c r="A3283" s="67" t="s">
        <v>274</v>
      </c>
      <c r="B3283" s="43"/>
      <c r="C3283" s="42"/>
      <c r="D3283" s="42"/>
      <c r="E3283" s="42"/>
      <c r="F3283" s="42"/>
      <c r="G3283" s="40"/>
    </row>
    <row r="3284" spans="1:7" ht="12.75" hidden="1" customHeight="1">
      <c r="A3284" s="67" t="s">
        <v>275</v>
      </c>
      <c r="B3284" s="43"/>
      <c r="C3284" s="42"/>
      <c r="D3284" s="42"/>
      <c r="E3284" s="42"/>
      <c r="F3284" s="42"/>
      <c r="G3284" s="40"/>
    </row>
    <row r="3285" spans="1:7" ht="12.75" hidden="1" customHeight="1">
      <c r="A3285" s="67" t="s">
        <v>276</v>
      </c>
      <c r="B3285" s="43"/>
      <c r="C3285" s="42"/>
      <c r="D3285" s="42"/>
      <c r="E3285" s="42"/>
      <c r="F3285" s="42"/>
      <c r="G3285" s="40"/>
    </row>
    <row r="3286" spans="1:7" ht="12.75" hidden="1" customHeight="1">
      <c r="A3286" s="67" t="s">
        <v>277</v>
      </c>
      <c r="B3286" s="43"/>
      <c r="C3286" s="42"/>
      <c r="D3286" s="42"/>
      <c r="E3286" s="42"/>
      <c r="F3286" s="42"/>
      <c r="G3286" s="40"/>
    </row>
    <row r="3287" spans="1:7" ht="12.75" hidden="1" customHeight="1">
      <c r="A3287" s="67" t="s">
        <v>536</v>
      </c>
      <c r="B3287" s="43"/>
      <c r="C3287" s="42"/>
      <c r="D3287" s="42"/>
      <c r="E3287" s="42"/>
      <c r="F3287" s="42"/>
      <c r="G3287" s="40"/>
    </row>
    <row r="3288" spans="1:7" ht="12.75" hidden="1" customHeight="1">
      <c r="A3288" s="79" t="s">
        <v>533</v>
      </c>
      <c r="B3288" s="43"/>
      <c r="C3288" s="42"/>
      <c r="D3288" s="42"/>
      <c r="E3288" s="42"/>
      <c r="F3288" s="42"/>
      <c r="G3288" s="40"/>
    </row>
    <row r="3289" spans="1:7" ht="12.75" hidden="1" customHeight="1">
      <c r="A3289" s="49" t="s">
        <v>278</v>
      </c>
      <c r="B3289" s="43"/>
      <c r="C3289" s="42"/>
      <c r="D3289" s="42"/>
      <c r="E3289" s="42"/>
      <c r="F3289" s="42"/>
      <c r="G3289" s="40"/>
    </row>
    <row r="3290" spans="1:7" ht="12.75" hidden="1" customHeight="1">
      <c r="A3290" s="225" t="s">
        <v>621</v>
      </c>
      <c r="B3290" s="43"/>
      <c r="C3290" s="42"/>
      <c r="D3290" s="42"/>
      <c r="E3290" s="42"/>
      <c r="F3290" s="42"/>
      <c r="G3290" s="40"/>
    </row>
    <row r="3291" spans="1:7" ht="12.75" hidden="1" customHeight="1">
      <c r="A3291" s="75" t="s">
        <v>281</v>
      </c>
      <c r="B3291" s="43">
        <f>SUM(B3249:B3290)</f>
        <v>221</v>
      </c>
      <c r="C3291" s="42">
        <f>117206.37</f>
        <v>117206.37</v>
      </c>
      <c r="D3291" s="42">
        <f>11760+62238+21908+1454+21590+1365+16189.8+6716</f>
        <v>143220.79999999999</v>
      </c>
      <c r="E3291" s="44">
        <f>18529.36</f>
        <v>18529.36</v>
      </c>
      <c r="F3291" s="42">
        <f>SUM(C3291:E3291)</f>
        <v>278956.52999999997</v>
      </c>
      <c r="G3291" s="40"/>
    </row>
    <row r="3292" spans="1:7" ht="12.75" hidden="1" customHeight="1">
      <c r="A3292" s="219"/>
      <c r="B3292" s="41"/>
      <c r="C3292" s="40"/>
      <c r="D3292" s="40"/>
      <c r="E3292" s="41"/>
      <c r="F3292" s="40"/>
      <c r="G3292" s="40"/>
    </row>
    <row r="3293" spans="1:7" ht="12.75" hidden="1" customHeight="1">
      <c r="A3293" s="76"/>
      <c r="B3293" s="41"/>
      <c r="C3293" s="40"/>
      <c r="D3293" s="40"/>
      <c r="E3293" s="41"/>
      <c r="F3293" s="40"/>
      <c r="G3293" s="40"/>
    </row>
    <row r="3294" spans="1:7" ht="12.75" hidden="1" customHeight="1">
      <c r="A3294" s="269" t="s">
        <v>693</v>
      </c>
      <c r="B3294" s="269"/>
      <c r="C3294" s="269"/>
      <c r="D3294" s="269"/>
      <c r="E3294" s="269"/>
      <c r="F3294" s="269"/>
      <c r="G3294" s="40"/>
    </row>
    <row r="3295" spans="1:7" ht="12.75" hidden="1" customHeight="1">
      <c r="A3295" s="42" t="s">
        <v>86</v>
      </c>
      <c r="B3295" s="43" t="s">
        <v>87</v>
      </c>
      <c r="C3295" s="43" t="s">
        <v>88</v>
      </c>
      <c r="D3295" s="43" t="s">
        <v>89</v>
      </c>
      <c r="E3295" s="43" t="s">
        <v>90</v>
      </c>
      <c r="F3295" s="43" t="s">
        <v>91</v>
      </c>
      <c r="G3295" s="40"/>
    </row>
    <row r="3296" spans="1:7" ht="12.75" hidden="1" customHeight="1">
      <c r="A3296" s="39" t="s">
        <v>284</v>
      </c>
      <c r="B3296" s="43"/>
      <c r="C3296" s="44"/>
      <c r="D3296" s="44"/>
      <c r="E3296" s="44"/>
      <c r="F3296" s="44"/>
      <c r="G3296" s="40"/>
    </row>
    <row r="3297" spans="1:7" ht="12.75" hidden="1" customHeight="1">
      <c r="A3297" s="39" t="s">
        <v>285</v>
      </c>
      <c r="B3297" s="43">
        <v>22</v>
      </c>
      <c r="C3297" s="66">
        <f>B3297/B$3363*C$3363</f>
        <v>30473.204921135646</v>
      </c>
      <c r="D3297" s="66">
        <f>B3297/B$3363*D$3363</f>
        <v>33364.22630914826</v>
      </c>
      <c r="E3297" s="66">
        <f>B3297/B$3363*E$3363</f>
        <v>24307.182334384859</v>
      </c>
      <c r="F3297" s="44">
        <f>SUM(C3297:E3297)</f>
        <v>88144.613564668776</v>
      </c>
      <c r="G3297" s="40"/>
    </row>
    <row r="3298" spans="1:7" ht="12.75" hidden="1" customHeight="1">
      <c r="A3298" s="39" t="s">
        <v>286</v>
      </c>
      <c r="B3298" s="43"/>
      <c r="C3298" s="44"/>
      <c r="D3298" s="44"/>
      <c r="E3298" s="44"/>
      <c r="F3298" s="44"/>
      <c r="G3298" s="40"/>
    </row>
    <row r="3299" spans="1:7" ht="12.75" hidden="1" customHeight="1">
      <c r="A3299" s="39" t="s">
        <v>287</v>
      </c>
      <c r="B3299" s="43"/>
      <c r="C3299" s="44"/>
      <c r="D3299" s="44"/>
      <c r="E3299" s="44"/>
      <c r="F3299" s="44"/>
      <c r="G3299" s="40"/>
    </row>
    <row r="3300" spans="1:7" ht="12.75" hidden="1" customHeight="1">
      <c r="A3300" s="39" t="s">
        <v>288</v>
      </c>
      <c r="B3300" s="43">
        <v>6.5</v>
      </c>
      <c r="C3300" s="66">
        <f>B3300/B$3363*C$3363</f>
        <v>9003.4469085173496</v>
      </c>
      <c r="D3300" s="66">
        <f>B3300/B$3363*D$3363</f>
        <v>9857.6123186119876</v>
      </c>
      <c r="E3300" s="66">
        <f>B3300/B$3363*E$3363</f>
        <v>7181.6675078864364</v>
      </c>
      <c r="F3300" s="44">
        <f>SUM(C3300:E3300)</f>
        <v>26042.726735015771</v>
      </c>
      <c r="G3300" s="40"/>
    </row>
    <row r="3301" spans="1:7" ht="12.75" hidden="1" customHeight="1">
      <c r="A3301" s="39" t="s">
        <v>289</v>
      </c>
      <c r="B3301" s="43"/>
      <c r="C3301" s="44"/>
      <c r="D3301" s="44"/>
      <c r="E3301" s="44"/>
      <c r="F3301" s="44"/>
      <c r="G3301" s="40"/>
    </row>
    <row r="3302" spans="1:7" ht="12.75" hidden="1" customHeight="1">
      <c r="A3302" s="39" t="s">
        <v>290</v>
      </c>
      <c r="B3302" s="43"/>
      <c r="C3302" s="44"/>
      <c r="D3302" s="44"/>
      <c r="E3302" s="44"/>
      <c r="F3302" s="44"/>
      <c r="G3302" s="40"/>
    </row>
    <row r="3303" spans="1:7" ht="12.75" hidden="1" customHeight="1">
      <c r="A3303" s="39" t="s">
        <v>291</v>
      </c>
      <c r="B3303" s="43"/>
      <c r="C3303" s="44"/>
      <c r="D3303" s="44"/>
      <c r="E3303" s="44"/>
      <c r="F3303" s="44"/>
      <c r="G3303" s="40"/>
    </row>
    <row r="3304" spans="1:7" ht="12.75" hidden="1" customHeight="1">
      <c r="A3304" s="39" t="s">
        <v>292</v>
      </c>
      <c r="B3304" s="43"/>
      <c r="C3304" s="44"/>
      <c r="D3304" s="44"/>
      <c r="E3304" s="44"/>
      <c r="F3304" s="44"/>
      <c r="G3304" s="40"/>
    </row>
    <row r="3305" spans="1:7" ht="12.75" hidden="1" customHeight="1">
      <c r="A3305" s="39" t="s">
        <v>293</v>
      </c>
      <c r="B3305" s="43"/>
      <c r="C3305" s="44"/>
      <c r="D3305" s="44"/>
      <c r="E3305" s="44"/>
      <c r="F3305" s="44"/>
      <c r="G3305" s="40"/>
    </row>
    <row r="3306" spans="1:7" ht="12.75" hidden="1" customHeight="1">
      <c r="A3306" s="39" t="s">
        <v>30</v>
      </c>
      <c r="B3306" s="45"/>
      <c r="C3306" s="44"/>
      <c r="D3306" s="44"/>
      <c r="E3306" s="44"/>
      <c r="F3306" s="44"/>
      <c r="G3306" s="40"/>
    </row>
    <row r="3307" spans="1:7" ht="12.75" hidden="1" customHeight="1">
      <c r="A3307" s="39" t="s">
        <v>294</v>
      </c>
      <c r="B3307" s="43">
        <v>9.5</v>
      </c>
      <c r="C3307" s="66">
        <f>B3307/B$3363*C$3363</f>
        <v>13158.883943217666</v>
      </c>
      <c r="D3307" s="66">
        <f>B3307/B$3363*D$3363</f>
        <v>14407.279542586752</v>
      </c>
      <c r="E3307" s="66">
        <f>B3307/B$3363*E$3363</f>
        <v>10496.283280757099</v>
      </c>
      <c r="F3307" s="44">
        <f>SUM(C3307:E3307)</f>
        <v>38062.446766561523</v>
      </c>
      <c r="G3307" s="40"/>
    </row>
    <row r="3308" spans="1:7" ht="12.75" hidden="1" customHeight="1">
      <c r="A3308" s="39" t="s">
        <v>31</v>
      </c>
      <c r="B3308" s="43"/>
      <c r="C3308" s="44"/>
      <c r="D3308" s="44"/>
      <c r="E3308" s="44"/>
      <c r="F3308" s="44"/>
      <c r="G3308" s="40"/>
    </row>
    <row r="3309" spans="1:7" ht="12.75" hidden="1" customHeight="1">
      <c r="A3309" s="39" t="s">
        <v>295</v>
      </c>
      <c r="B3309" s="43"/>
      <c r="C3309" s="44"/>
      <c r="D3309" s="44"/>
      <c r="E3309" s="44"/>
      <c r="F3309" s="44"/>
      <c r="G3309" s="40"/>
    </row>
    <row r="3310" spans="1:7" ht="12.75" hidden="1" customHeight="1">
      <c r="A3310" s="39" t="s">
        <v>296</v>
      </c>
      <c r="B3310" s="41">
        <v>21</v>
      </c>
      <c r="C3310" s="66">
        <f>B3310/B$3363*C$3363</f>
        <v>29088.059242902211</v>
      </c>
      <c r="D3310" s="66">
        <f>B3310/B$3363*D$3363</f>
        <v>31847.670567823345</v>
      </c>
      <c r="E3310" s="66">
        <f>B3310/B$3363*E$3363</f>
        <v>23202.31041009464</v>
      </c>
      <c r="F3310" s="44">
        <f>SUM(C3310:E3310)</f>
        <v>84138.040220820199</v>
      </c>
      <c r="G3310" s="40"/>
    </row>
    <row r="3311" spans="1:7" ht="12.75" hidden="1" customHeight="1">
      <c r="A3311" s="39" t="s">
        <v>297</v>
      </c>
      <c r="B3311" s="43"/>
      <c r="C3311" s="44"/>
      <c r="D3311" s="44"/>
      <c r="E3311" s="44"/>
      <c r="F3311" s="44"/>
      <c r="G3311" s="40"/>
    </row>
    <row r="3312" spans="1:7" ht="12.75" hidden="1" customHeight="1">
      <c r="A3312" s="39" t="s">
        <v>492</v>
      </c>
      <c r="B3312" s="43">
        <v>10</v>
      </c>
      <c r="C3312" s="66">
        <f>B3312/B$3363*C$3363</f>
        <v>13851.456782334384</v>
      </c>
      <c r="D3312" s="66">
        <f>B3312/B$3363*D$3363</f>
        <v>15165.557413249209</v>
      </c>
      <c r="E3312" s="66">
        <f>B3312/B$3363*E$3363</f>
        <v>11048.719242902209</v>
      </c>
      <c r="F3312" s="44">
        <f>SUM(C3312:E3312)</f>
        <v>40065.733438485804</v>
      </c>
      <c r="G3312" s="40"/>
    </row>
    <row r="3313" spans="1:7" ht="12.75" hidden="1" customHeight="1">
      <c r="A3313" s="39" t="s">
        <v>299</v>
      </c>
      <c r="B3313" s="43">
        <v>18.5</v>
      </c>
      <c r="C3313" s="66">
        <f>B3313/B$3363*C$3363</f>
        <v>25625.195047318612</v>
      </c>
      <c r="D3313" s="66">
        <f>B3313/B$3363*D$3363</f>
        <v>28056.28121451104</v>
      </c>
      <c r="E3313" s="66">
        <f>B3313/B$3363*E$3363</f>
        <v>20440.130599369088</v>
      </c>
      <c r="F3313" s="44">
        <f>SUM(C3313:E3313)</f>
        <v>74121.606861198743</v>
      </c>
      <c r="G3313" s="40"/>
    </row>
    <row r="3314" spans="1:7" ht="12.75" hidden="1" customHeight="1">
      <c r="A3314" s="39" t="s">
        <v>300</v>
      </c>
      <c r="B3314" s="45"/>
      <c r="C3314" s="44"/>
      <c r="D3314" s="44"/>
      <c r="E3314" s="44"/>
      <c r="F3314" s="44"/>
      <c r="G3314" s="40"/>
    </row>
    <row r="3315" spans="1:7" ht="12.75" hidden="1" customHeight="1">
      <c r="A3315" s="39" t="s">
        <v>301</v>
      </c>
      <c r="B3315" s="43"/>
      <c r="C3315" s="44"/>
      <c r="D3315" s="44"/>
      <c r="E3315" s="44"/>
      <c r="F3315" s="44"/>
      <c r="G3315" s="40"/>
    </row>
    <row r="3316" spans="1:7" ht="12.75" hidden="1" customHeight="1">
      <c r="A3316" s="39" t="s">
        <v>32</v>
      </c>
      <c r="B3316" s="43">
        <v>41</v>
      </c>
      <c r="C3316" s="66">
        <f>B3316/B$3363*C$3363</f>
        <v>56790.972807570979</v>
      </c>
      <c r="D3316" s="66">
        <f>B3316/B$3363*D$3363</f>
        <v>62178.785394321763</v>
      </c>
      <c r="E3316" s="66">
        <f>B3316/B$3363*E$3363</f>
        <v>45299.748895899058</v>
      </c>
      <c r="F3316" s="44">
        <f>SUM(C3316:E3316)</f>
        <v>164269.50709779182</v>
      </c>
      <c r="G3316" s="40"/>
    </row>
    <row r="3317" spans="1:7" ht="12.75" hidden="1" customHeight="1">
      <c r="A3317" s="58" t="s">
        <v>32</v>
      </c>
      <c r="B3317" s="59">
        <v>11</v>
      </c>
      <c r="C3317" s="181">
        <f>B3317/B$3363*C$3363</f>
        <v>15236.602460567823</v>
      </c>
      <c r="D3317" s="181">
        <f>B3317/B$3363*D$3363</f>
        <v>16682.11315457413</v>
      </c>
      <c r="E3317" s="181">
        <f>B3317/B$3363*E$3363</f>
        <v>12153.59116719243</v>
      </c>
      <c r="F3317" s="181">
        <f>SUM(C3317:E3317)</f>
        <v>44072.306782334388</v>
      </c>
      <c r="G3317" s="40"/>
    </row>
    <row r="3318" spans="1:7" ht="12.75" hidden="1" customHeight="1">
      <c r="A3318" s="39" t="s">
        <v>407</v>
      </c>
      <c r="B3318" s="45">
        <v>4.5</v>
      </c>
      <c r="C3318" s="66">
        <f>B3318/B$3363*C$3363</f>
        <v>6233.1555520504735</v>
      </c>
      <c r="D3318" s="66">
        <f>B3318/B$3363*D$3363</f>
        <v>6824.5008359621452</v>
      </c>
      <c r="E3318" s="66">
        <f>B3318/B$3363*E$3363</f>
        <v>4971.9236593059941</v>
      </c>
      <c r="F3318" s="44">
        <f>SUM(C3318:E3318)</f>
        <v>18029.580047318614</v>
      </c>
      <c r="G3318" s="40"/>
    </row>
    <row r="3319" spans="1:7" ht="12.75" hidden="1" customHeight="1">
      <c r="A3319" s="39" t="s">
        <v>489</v>
      </c>
      <c r="B3319" s="45">
        <v>7</v>
      </c>
      <c r="C3319" s="66">
        <f>B3319/B$3363*C$3363</f>
        <v>9696.0197476340691</v>
      </c>
      <c r="D3319" s="66">
        <f>B3319/B$3363*D$3363</f>
        <v>10615.890189274449</v>
      </c>
      <c r="E3319" s="66">
        <f>B3319/B$3363*E$3363</f>
        <v>7734.1034700315467</v>
      </c>
      <c r="F3319" s="44">
        <f>SUM(C3319:E3319)</f>
        <v>28046.013406940063</v>
      </c>
      <c r="G3319" s="40"/>
    </row>
    <row r="3320" spans="1:7" ht="12.75" hidden="1" customHeight="1">
      <c r="A3320" s="39" t="s">
        <v>532</v>
      </c>
      <c r="B3320" s="43"/>
      <c r="C3320" s="44"/>
      <c r="D3320" s="44"/>
      <c r="E3320" s="44"/>
      <c r="F3320" s="44"/>
      <c r="G3320" s="40"/>
    </row>
    <row r="3321" spans="1:7" ht="12.75" hidden="1" customHeight="1">
      <c r="A3321" s="39" t="s">
        <v>304</v>
      </c>
      <c r="B3321" s="43"/>
      <c r="C3321" s="44"/>
      <c r="D3321" s="44"/>
      <c r="E3321" s="44"/>
      <c r="F3321" s="44"/>
      <c r="G3321" s="40"/>
    </row>
    <row r="3322" spans="1:7" ht="12.75" hidden="1" customHeight="1">
      <c r="A3322" s="39" t="s">
        <v>34</v>
      </c>
      <c r="B3322" s="43"/>
      <c r="C3322" s="44"/>
      <c r="D3322" s="44"/>
      <c r="E3322" s="44"/>
      <c r="F3322" s="44"/>
      <c r="G3322" s="40"/>
    </row>
    <row r="3323" spans="1:7" ht="12.75" hidden="1" customHeight="1">
      <c r="A3323" s="39" t="s">
        <v>35</v>
      </c>
      <c r="B3323" s="43"/>
      <c r="C3323" s="44"/>
      <c r="D3323" s="44"/>
      <c r="E3323" s="44"/>
      <c r="F3323" s="44"/>
      <c r="G3323" s="40"/>
    </row>
    <row r="3324" spans="1:7" ht="12.75" hidden="1" customHeight="1">
      <c r="A3324" s="39" t="s">
        <v>305</v>
      </c>
      <c r="B3324" s="43"/>
      <c r="C3324" s="44"/>
      <c r="D3324" s="44"/>
      <c r="E3324" s="44"/>
      <c r="F3324" s="44"/>
      <c r="G3324" s="40"/>
    </row>
    <row r="3325" spans="1:7" ht="12.75" hidden="1" customHeight="1">
      <c r="A3325" s="39" t="s">
        <v>306</v>
      </c>
      <c r="B3325" s="45">
        <v>3.5</v>
      </c>
      <c r="C3325" s="66">
        <f t="shared" ref="C3325:C3330" si="146">B3325/B$3363*C$3363</f>
        <v>4848.0098738170345</v>
      </c>
      <c r="D3325" s="66">
        <f t="shared" ref="D3325:D3330" si="147">B3325/B$3363*D$3363</f>
        <v>5307.9450946372244</v>
      </c>
      <c r="E3325" s="66">
        <f t="shared" ref="E3325:E3330" si="148">B3325/B$3363*E$3363</f>
        <v>3867.0517350157734</v>
      </c>
      <c r="F3325" s="44">
        <f t="shared" ref="F3325:F3330" si="149">SUM(C3325:E3325)</f>
        <v>14023.006703470031</v>
      </c>
      <c r="G3325" s="40"/>
    </row>
    <row r="3326" spans="1:7" ht="12.75" hidden="1" customHeight="1">
      <c r="A3326" s="39" t="s">
        <v>36</v>
      </c>
      <c r="B3326" s="43">
        <v>11.5</v>
      </c>
      <c r="C3326" s="66">
        <f t="shared" si="146"/>
        <v>15929.175299684544</v>
      </c>
      <c r="D3326" s="66">
        <f t="shared" si="147"/>
        <v>17440.391025236593</v>
      </c>
      <c r="E3326" s="66">
        <f t="shared" si="148"/>
        <v>12706.027129337541</v>
      </c>
      <c r="F3326" s="44">
        <f t="shared" si="149"/>
        <v>46075.593454258677</v>
      </c>
      <c r="G3326" s="40"/>
    </row>
    <row r="3327" spans="1:7" ht="12.75" hidden="1" customHeight="1">
      <c r="A3327" s="39" t="s">
        <v>37</v>
      </c>
      <c r="B3327" s="45">
        <v>11.5</v>
      </c>
      <c r="C3327" s="66">
        <f t="shared" si="146"/>
        <v>15929.175299684544</v>
      </c>
      <c r="D3327" s="66">
        <f t="shared" si="147"/>
        <v>17440.391025236593</v>
      </c>
      <c r="E3327" s="66">
        <f t="shared" si="148"/>
        <v>12706.027129337541</v>
      </c>
      <c r="F3327" s="44">
        <f t="shared" si="149"/>
        <v>46075.593454258677</v>
      </c>
      <c r="G3327" s="40"/>
    </row>
    <row r="3328" spans="1:7" ht="12.75" hidden="1" customHeight="1">
      <c r="A3328" s="58" t="s">
        <v>691</v>
      </c>
      <c r="B3328" s="121">
        <v>22.5</v>
      </c>
      <c r="C3328" s="181">
        <f t="shared" si="146"/>
        <v>31165.777760252367</v>
      </c>
      <c r="D3328" s="181">
        <f t="shared" si="147"/>
        <v>34122.504179810727</v>
      </c>
      <c r="E3328" s="181">
        <f t="shared" si="148"/>
        <v>24859.61829652997</v>
      </c>
      <c r="F3328" s="181">
        <f t="shared" si="149"/>
        <v>90147.900236593065</v>
      </c>
      <c r="G3328" s="40"/>
    </row>
    <row r="3329" spans="1:7" ht="12.75" hidden="1" customHeight="1">
      <c r="A3329" s="39" t="s">
        <v>690</v>
      </c>
      <c r="B3329" s="45">
        <v>9.5</v>
      </c>
      <c r="C3329" s="66">
        <f t="shared" si="146"/>
        <v>13158.883943217666</v>
      </c>
      <c r="D3329" s="66">
        <f t="shared" si="147"/>
        <v>14407.279542586752</v>
      </c>
      <c r="E3329" s="66">
        <f t="shared" si="148"/>
        <v>10496.283280757099</v>
      </c>
      <c r="F3329" s="44">
        <f t="shared" si="149"/>
        <v>38062.446766561523</v>
      </c>
      <c r="G3329" s="40"/>
    </row>
    <row r="3330" spans="1:7" ht="12.75" hidden="1" customHeight="1">
      <c r="A3330" s="58" t="s">
        <v>38</v>
      </c>
      <c r="B3330" s="59">
        <v>10.5</v>
      </c>
      <c r="C3330" s="181">
        <f t="shared" si="146"/>
        <v>14544.029621451105</v>
      </c>
      <c r="D3330" s="181">
        <f t="shared" si="147"/>
        <v>15923.835283911672</v>
      </c>
      <c r="E3330" s="181">
        <f t="shared" si="148"/>
        <v>11601.15520504732</v>
      </c>
      <c r="F3330" s="181">
        <f t="shared" si="149"/>
        <v>42069.0201104101</v>
      </c>
      <c r="G3330" s="40"/>
    </row>
    <row r="3331" spans="1:7" ht="12.75" hidden="1" customHeight="1">
      <c r="A3331" s="39" t="s">
        <v>307</v>
      </c>
      <c r="B3331" s="43"/>
      <c r="C3331" s="44"/>
      <c r="D3331" s="44"/>
      <c r="E3331" s="44"/>
      <c r="F3331" s="44"/>
      <c r="G3331" s="40"/>
    </row>
    <row r="3332" spans="1:7" ht="12.75" hidden="1" customHeight="1">
      <c r="A3332" s="39" t="s">
        <v>308</v>
      </c>
      <c r="B3332" s="43"/>
      <c r="C3332" s="44"/>
      <c r="D3332" s="44"/>
      <c r="E3332" s="44"/>
      <c r="F3332" s="44"/>
      <c r="G3332" s="40"/>
    </row>
    <row r="3333" spans="1:7" ht="12.75" hidden="1" customHeight="1">
      <c r="A3333" s="39" t="s">
        <v>39</v>
      </c>
      <c r="B3333" s="45"/>
      <c r="C3333" s="44"/>
      <c r="D3333" s="44"/>
      <c r="E3333" s="44"/>
      <c r="F3333" s="44"/>
      <c r="G3333" s="40"/>
    </row>
    <row r="3334" spans="1:7" ht="12.75" hidden="1" customHeight="1">
      <c r="A3334" s="39" t="s">
        <v>40</v>
      </c>
      <c r="B3334" s="43">
        <v>4.5</v>
      </c>
      <c r="C3334" s="66">
        <f>B3334/B$3363*C$3363</f>
        <v>6233.1555520504735</v>
      </c>
      <c r="D3334" s="66">
        <f>B3334/B$3363*D$3363</f>
        <v>6824.5008359621452</v>
      </c>
      <c r="E3334" s="66">
        <f>B3334/B$3363*E$3363</f>
        <v>4971.9236593059941</v>
      </c>
      <c r="F3334" s="44">
        <f>SUM(C3334:E3334)</f>
        <v>18029.580047318614</v>
      </c>
      <c r="G3334" s="40"/>
    </row>
    <row r="3335" spans="1:7" ht="12.75" hidden="1" customHeight="1">
      <c r="A3335" s="39" t="s">
        <v>41</v>
      </c>
      <c r="B3335" s="43"/>
      <c r="C3335" s="44"/>
      <c r="D3335" s="44"/>
      <c r="E3335" s="44"/>
      <c r="F3335" s="44"/>
      <c r="G3335" s="40"/>
    </row>
    <row r="3336" spans="1:7" ht="12.75" hidden="1" customHeight="1">
      <c r="A3336" s="39" t="s">
        <v>309</v>
      </c>
      <c r="B3336" s="45">
        <v>21</v>
      </c>
      <c r="C3336" s="66">
        <f>B3336/B$3363*C$3363</f>
        <v>29088.059242902211</v>
      </c>
      <c r="D3336" s="66">
        <f>B3336/B$3363*D$3363</f>
        <v>31847.670567823345</v>
      </c>
      <c r="E3336" s="66">
        <f>B3336/B$3363*E$3363</f>
        <v>23202.31041009464</v>
      </c>
      <c r="F3336" s="44">
        <f>SUM(C3336:E3336)</f>
        <v>84138.040220820199</v>
      </c>
      <c r="G3336" s="40"/>
    </row>
    <row r="3337" spans="1:7" ht="12.75" hidden="1" customHeight="1">
      <c r="A3337" s="39" t="s">
        <v>310</v>
      </c>
      <c r="B3337" s="45">
        <v>21</v>
      </c>
      <c r="C3337" s="66">
        <f>B3337/B$3363*C$3363</f>
        <v>29088.059242902211</v>
      </c>
      <c r="D3337" s="66">
        <f>B3337/B$3363*D$3363</f>
        <v>31847.670567823345</v>
      </c>
      <c r="E3337" s="66">
        <f>B3337/B$3363*E$3363</f>
        <v>23202.31041009464</v>
      </c>
      <c r="F3337" s="44">
        <f>SUM(C3337:E3337)</f>
        <v>84138.040220820199</v>
      </c>
      <c r="G3337" s="40"/>
    </row>
    <row r="3338" spans="1:7" ht="12.75" hidden="1" customHeight="1">
      <c r="A3338" s="39" t="s">
        <v>311</v>
      </c>
      <c r="B3338" s="43"/>
      <c r="C3338" s="44"/>
      <c r="D3338" s="44"/>
      <c r="E3338" s="44"/>
      <c r="F3338" s="44"/>
      <c r="G3338" s="40"/>
    </row>
    <row r="3339" spans="1:7" ht="12.75" hidden="1" customHeight="1">
      <c r="A3339" s="39" t="s">
        <v>312</v>
      </c>
      <c r="B3339" s="43">
        <v>9.5</v>
      </c>
      <c r="C3339" s="66">
        <f>B3339/B$3363*C$3363</f>
        <v>13158.883943217666</v>
      </c>
      <c r="D3339" s="66">
        <f>B3339/B$3363*D$3363</f>
        <v>14407.279542586752</v>
      </c>
      <c r="E3339" s="66">
        <f>B3339/B$3363*E$3363</f>
        <v>10496.283280757099</v>
      </c>
      <c r="F3339" s="44">
        <f>SUM(C3339:E3339)</f>
        <v>38062.446766561523</v>
      </c>
      <c r="G3339" s="40"/>
    </row>
    <row r="3340" spans="1:7" ht="12.75" hidden="1" customHeight="1">
      <c r="A3340" s="39" t="s">
        <v>313</v>
      </c>
      <c r="B3340" s="45"/>
      <c r="C3340" s="44"/>
      <c r="D3340" s="44"/>
      <c r="E3340" s="44"/>
      <c r="F3340" s="44"/>
      <c r="G3340" s="40"/>
    </row>
    <row r="3341" spans="1:7" ht="12.75" hidden="1" customHeight="1">
      <c r="A3341" s="39" t="s">
        <v>314</v>
      </c>
      <c r="B3341" s="45">
        <v>10</v>
      </c>
      <c r="C3341" s="66">
        <f>B3341/B$3363*C$3363</f>
        <v>13851.456782334384</v>
      </c>
      <c r="D3341" s="66">
        <f>B3341/B$3363*D$3363</f>
        <v>15165.557413249209</v>
      </c>
      <c r="E3341" s="66">
        <f>B3341/B$3363*E$3363</f>
        <v>11048.719242902209</v>
      </c>
      <c r="F3341" s="44">
        <f>SUM(C3341:E3341)</f>
        <v>40065.733438485804</v>
      </c>
      <c r="G3341" s="40"/>
    </row>
    <row r="3342" spans="1:7" ht="12.75" hidden="1" customHeight="1">
      <c r="A3342" s="39" t="s">
        <v>315</v>
      </c>
      <c r="B3342" s="43"/>
      <c r="C3342" s="44"/>
      <c r="D3342" s="44"/>
      <c r="E3342" s="44"/>
      <c r="F3342" s="44"/>
      <c r="G3342" s="40"/>
    </row>
    <row r="3343" spans="1:7" ht="12.75" hidden="1" customHeight="1">
      <c r="A3343" s="39" t="s">
        <v>316</v>
      </c>
      <c r="B3343" s="45">
        <v>21</v>
      </c>
      <c r="C3343" s="66">
        <f>B3343/B$3363*C$3363</f>
        <v>29088.059242902211</v>
      </c>
      <c r="D3343" s="66">
        <f>B3343/B$3363*D$3363</f>
        <v>31847.670567823345</v>
      </c>
      <c r="E3343" s="66">
        <f>B3343/B$3363*E$3363</f>
        <v>23202.31041009464</v>
      </c>
      <c r="F3343" s="44">
        <f>SUM(C3343:E3343)</f>
        <v>84138.040220820199</v>
      </c>
      <c r="G3343" s="40"/>
    </row>
    <row r="3344" spans="1:7" ht="12.75" hidden="1" customHeight="1">
      <c r="A3344" s="39" t="s">
        <v>317</v>
      </c>
      <c r="B3344" s="45"/>
      <c r="C3344" s="44"/>
      <c r="D3344" s="44"/>
      <c r="E3344" s="44"/>
      <c r="F3344" s="44"/>
      <c r="G3344" s="40"/>
    </row>
    <row r="3345" spans="1:7" ht="12.75" hidden="1" customHeight="1">
      <c r="A3345" s="39" t="s">
        <v>318</v>
      </c>
      <c r="B3345" s="45">
        <v>10</v>
      </c>
      <c r="C3345" s="66">
        <f>B3345/B$3363*C$3363</f>
        <v>13851.456782334384</v>
      </c>
      <c r="D3345" s="66">
        <f>B3345/B$3363*D$3363</f>
        <v>15165.557413249209</v>
      </c>
      <c r="E3345" s="66">
        <f>B3345/B$3363*E$3363</f>
        <v>11048.719242902209</v>
      </c>
      <c r="F3345" s="44">
        <f>SUM(C3345:E3345)</f>
        <v>40065.733438485804</v>
      </c>
      <c r="G3345" s="40"/>
    </row>
    <row r="3346" spans="1:7" ht="12.75" hidden="1" customHeight="1">
      <c r="A3346" s="46" t="s">
        <v>319</v>
      </c>
      <c r="B3346" s="45"/>
      <c r="C3346" s="44"/>
      <c r="D3346" s="44"/>
      <c r="E3346" s="44"/>
      <c r="F3346" s="44"/>
      <c r="G3346" s="40"/>
    </row>
    <row r="3347" spans="1:7" ht="12.75" hidden="1" customHeight="1">
      <c r="A3347" s="46" t="s">
        <v>320</v>
      </c>
      <c r="B3347" s="45"/>
      <c r="C3347" s="44"/>
      <c r="D3347" s="44"/>
      <c r="E3347" s="44"/>
      <c r="F3347" s="44"/>
      <c r="G3347" s="40"/>
    </row>
    <row r="3348" spans="1:7" ht="12.75" hidden="1" customHeight="1">
      <c r="A3348" s="46" t="s">
        <v>321</v>
      </c>
      <c r="B3348" s="45"/>
      <c r="C3348" s="44"/>
      <c r="D3348" s="44"/>
      <c r="E3348" s="44"/>
      <c r="F3348" s="44"/>
      <c r="G3348" s="40"/>
    </row>
    <row r="3349" spans="1:7" ht="12.75" hidden="1" customHeight="1">
      <c r="A3349" s="46" t="s">
        <v>322</v>
      </c>
      <c r="B3349" s="45"/>
      <c r="C3349" s="44"/>
      <c r="D3349" s="44"/>
      <c r="E3349" s="44"/>
      <c r="F3349" s="44"/>
      <c r="G3349" s="40"/>
    </row>
    <row r="3350" spans="1:7" ht="12.75" hidden="1" customHeight="1">
      <c r="A3350" s="46" t="s">
        <v>323</v>
      </c>
      <c r="B3350" s="45"/>
      <c r="C3350" s="44"/>
      <c r="D3350" s="44"/>
      <c r="E3350" s="44"/>
      <c r="F3350" s="44"/>
      <c r="G3350" s="40"/>
    </row>
    <row r="3351" spans="1:7" ht="12.75" hidden="1" customHeight="1">
      <c r="A3351" s="46" t="s">
        <v>324</v>
      </c>
      <c r="B3351" s="45"/>
      <c r="C3351" s="44"/>
      <c r="D3351" s="44"/>
      <c r="E3351" s="44"/>
      <c r="F3351" s="44"/>
      <c r="G3351" s="40"/>
    </row>
    <row r="3352" spans="1:7" ht="12.75" hidden="1" customHeight="1">
      <c r="A3352" s="46" t="s">
        <v>325</v>
      </c>
      <c r="B3352" s="45"/>
      <c r="C3352" s="44"/>
      <c r="D3352" s="44"/>
      <c r="E3352" s="44"/>
      <c r="F3352" s="44"/>
      <c r="G3352" s="40"/>
    </row>
    <row r="3353" spans="1:7" ht="12.75" hidden="1" customHeight="1">
      <c r="A3353" s="46" t="s">
        <v>326</v>
      </c>
      <c r="B3353" s="45"/>
      <c r="C3353" s="44"/>
      <c r="D3353" s="44"/>
      <c r="E3353" s="44"/>
      <c r="F3353" s="44"/>
      <c r="G3353" s="40"/>
    </row>
    <row r="3354" spans="1:7" ht="12.75" hidden="1" customHeight="1">
      <c r="A3354" s="46" t="s">
        <v>327</v>
      </c>
      <c r="B3354" s="45"/>
      <c r="C3354" s="44"/>
      <c r="D3354" s="44"/>
      <c r="E3354" s="44"/>
      <c r="F3354" s="44"/>
      <c r="G3354" s="40"/>
    </row>
    <row r="3355" spans="1:7" ht="12.75" hidden="1" customHeight="1">
      <c r="A3355" s="46" t="s">
        <v>328</v>
      </c>
      <c r="B3355" s="45"/>
      <c r="C3355" s="44"/>
      <c r="D3355" s="44"/>
      <c r="E3355" s="44"/>
      <c r="F3355" s="44"/>
      <c r="G3355" s="40"/>
    </row>
    <row r="3356" spans="1:7" ht="12.75" hidden="1" customHeight="1">
      <c r="A3356" s="46" t="s">
        <v>329</v>
      </c>
      <c r="B3356" s="47"/>
      <c r="C3356" s="44"/>
      <c r="D3356" s="44"/>
      <c r="E3356" s="44"/>
      <c r="F3356" s="44"/>
      <c r="G3356" s="40"/>
    </row>
    <row r="3357" spans="1:7" ht="12.75" hidden="1" customHeight="1">
      <c r="A3357" s="46" t="s">
        <v>490</v>
      </c>
      <c r="B3357" s="176"/>
      <c r="C3357" s="44"/>
      <c r="D3357" s="44"/>
      <c r="E3357" s="44"/>
      <c r="F3357" s="44"/>
      <c r="G3357" s="40"/>
    </row>
    <row r="3358" spans="1:7" ht="12.75" hidden="1" customHeight="1">
      <c r="A3358" s="46" t="s">
        <v>493</v>
      </c>
      <c r="B3358" s="176"/>
      <c r="C3358" s="44"/>
      <c r="D3358" s="44"/>
      <c r="E3358" s="44"/>
      <c r="F3358" s="44"/>
      <c r="G3358" s="40"/>
    </row>
    <row r="3359" spans="1:7" ht="12.75" hidden="1" customHeight="1">
      <c r="A3359" s="46" t="s">
        <v>495</v>
      </c>
      <c r="B3359" s="176"/>
      <c r="C3359" s="44"/>
      <c r="D3359" s="44"/>
      <c r="E3359" s="44"/>
      <c r="F3359" s="44"/>
      <c r="G3359" s="40"/>
    </row>
    <row r="3360" spans="1:7" ht="12.75" hidden="1" customHeight="1">
      <c r="A3360" s="46" t="s">
        <v>496</v>
      </c>
      <c r="B3360" s="176"/>
      <c r="C3360" s="44"/>
      <c r="D3360" s="44"/>
      <c r="E3360" s="44"/>
      <c r="F3360" s="44"/>
      <c r="G3360" s="40"/>
    </row>
    <row r="3361" spans="1:7" ht="12.75" hidden="1" customHeight="1">
      <c r="A3361" s="46" t="s">
        <v>498</v>
      </c>
      <c r="B3361" s="176"/>
      <c r="C3361" s="44"/>
      <c r="D3361" s="44"/>
      <c r="E3361" s="44"/>
      <c r="F3361" s="44"/>
      <c r="G3361" s="40"/>
    </row>
    <row r="3362" spans="1:7" ht="12.75" hidden="1" customHeight="1">
      <c r="A3362" s="46" t="s">
        <v>330</v>
      </c>
      <c r="B3362" s="47"/>
      <c r="C3362" s="44"/>
      <c r="D3362" s="44"/>
      <c r="E3362" s="44"/>
      <c r="F3362" s="44"/>
      <c r="G3362" s="40"/>
    </row>
    <row r="3363" spans="1:7" ht="12.75" hidden="1" customHeight="1">
      <c r="A3363" s="48" t="s">
        <v>150</v>
      </c>
      <c r="B3363" s="48">
        <f>SUM(B3296:B3362)</f>
        <v>317</v>
      </c>
      <c r="C3363" s="49">
        <f>439091.18</f>
        <v>439091.18</v>
      </c>
      <c r="D3363" s="50">
        <f>24924.5+221806.7+68126.37+2590+78879+4612+72273+7536.6</f>
        <v>480748.17</v>
      </c>
      <c r="E3363" s="50">
        <f>350244.4</f>
        <v>350244.4</v>
      </c>
      <c r="F3363" s="50">
        <f>SUM(C3363:E3363)</f>
        <v>1270083.75</v>
      </c>
      <c r="G3363" s="40"/>
    </row>
    <row r="3364" spans="1:7" ht="12.75" hidden="1" customHeight="1"/>
    <row r="3365" spans="1:7" ht="12.75" hidden="1" customHeight="1">
      <c r="A3365" s="269" t="s">
        <v>694</v>
      </c>
      <c r="B3365" s="269"/>
      <c r="C3365" s="269"/>
      <c r="D3365" s="269"/>
      <c r="E3365" s="269"/>
      <c r="F3365" s="269"/>
      <c r="G3365" s="40"/>
    </row>
    <row r="3366" spans="1:7" ht="12.75" hidden="1" customHeight="1">
      <c r="A3366" s="42" t="s">
        <v>86</v>
      </c>
      <c r="B3366" s="43" t="s">
        <v>87</v>
      </c>
      <c r="C3366" s="43" t="s">
        <v>88</v>
      </c>
      <c r="D3366" s="43" t="s">
        <v>89</v>
      </c>
      <c r="E3366" s="43" t="s">
        <v>90</v>
      </c>
      <c r="F3366" s="43" t="s">
        <v>91</v>
      </c>
      <c r="G3366" s="40"/>
    </row>
    <row r="3367" spans="1:7" ht="12.75" hidden="1" customHeight="1">
      <c r="A3367" s="39" t="s">
        <v>1</v>
      </c>
      <c r="B3367" s="43"/>
      <c r="C3367" s="44"/>
      <c r="D3367" s="44"/>
      <c r="E3367" s="44"/>
      <c r="F3367" s="44"/>
      <c r="G3367" s="40"/>
    </row>
    <row r="3368" spans="1:7" ht="12.75" hidden="1" customHeight="1">
      <c r="A3368" s="39" t="s">
        <v>2</v>
      </c>
      <c r="B3368" s="43"/>
      <c r="C3368" s="44"/>
      <c r="D3368" s="44"/>
      <c r="E3368" s="44"/>
      <c r="F3368" s="44"/>
      <c r="G3368" s="40"/>
    </row>
    <row r="3369" spans="1:7" ht="12.75" hidden="1" customHeight="1">
      <c r="A3369" s="39" t="s">
        <v>92</v>
      </c>
      <c r="B3369" s="43"/>
      <c r="C3369" s="44"/>
      <c r="D3369" s="44"/>
      <c r="E3369" s="44"/>
      <c r="F3369" s="44"/>
      <c r="G3369" s="40"/>
    </row>
    <row r="3370" spans="1:7" ht="12.75" hidden="1" customHeight="1">
      <c r="A3370" s="39" t="s">
        <v>642</v>
      </c>
      <c r="B3370" s="43"/>
      <c r="C3370" s="44"/>
      <c r="D3370" s="44"/>
      <c r="E3370" s="44"/>
      <c r="F3370" s="44"/>
      <c r="G3370" s="40"/>
    </row>
    <row r="3371" spans="1:7" ht="12.75" hidden="1" customHeight="1">
      <c r="A3371" s="39" t="s">
        <v>644</v>
      </c>
      <c r="B3371" s="43"/>
      <c r="C3371" s="44"/>
      <c r="D3371" s="44"/>
      <c r="E3371" s="44"/>
      <c r="F3371" s="44"/>
      <c r="G3371" s="40"/>
    </row>
    <row r="3372" spans="1:7" ht="12.75" hidden="1" customHeight="1">
      <c r="A3372" s="39" t="s">
        <v>95</v>
      </c>
      <c r="B3372" s="43"/>
      <c r="C3372" s="44"/>
      <c r="D3372" s="44"/>
      <c r="E3372" s="44"/>
      <c r="F3372" s="44"/>
      <c r="G3372" s="40"/>
    </row>
    <row r="3373" spans="1:7" ht="12.75" hidden="1" customHeight="1">
      <c r="A3373" s="39" t="s">
        <v>96</v>
      </c>
      <c r="B3373" s="43"/>
      <c r="C3373" s="44"/>
      <c r="D3373" s="44"/>
      <c r="E3373" s="44"/>
      <c r="F3373" s="44"/>
      <c r="G3373" s="40"/>
    </row>
    <row r="3374" spans="1:7" ht="12.75" hidden="1" customHeight="1">
      <c r="A3374" s="39" t="s">
        <v>97</v>
      </c>
      <c r="B3374" s="43"/>
      <c r="C3374" s="44"/>
      <c r="D3374" s="44"/>
      <c r="E3374" s="44"/>
      <c r="F3374" s="44"/>
      <c r="G3374" s="40"/>
    </row>
    <row r="3375" spans="1:7" ht="12.75" hidden="1" customHeight="1">
      <c r="A3375" s="39" t="s">
        <v>98</v>
      </c>
      <c r="B3375" s="43"/>
      <c r="C3375" s="44"/>
      <c r="D3375" s="44"/>
      <c r="E3375" s="44"/>
      <c r="F3375" s="44"/>
      <c r="G3375" s="40"/>
    </row>
    <row r="3376" spans="1:7" ht="12.75" hidden="1" customHeight="1">
      <c r="A3376" s="39" t="s">
        <v>99</v>
      </c>
      <c r="B3376" s="43"/>
      <c r="C3376" s="44"/>
      <c r="D3376" s="44"/>
      <c r="E3376" s="44"/>
      <c r="F3376" s="44"/>
      <c r="G3376" s="40"/>
    </row>
    <row r="3377" spans="1:7" ht="12.75" hidden="1" customHeight="1">
      <c r="A3377" s="39" t="s">
        <v>646</v>
      </c>
      <c r="B3377" s="45"/>
      <c r="C3377" s="44"/>
      <c r="D3377" s="44"/>
      <c r="E3377" s="44"/>
      <c r="F3377" s="44"/>
      <c r="G3377" s="40"/>
    </row>
    <row r="3378" spans="1:7" ht="12.75" hidden="1" customHeight="1">
      <c r="A3378" s="39" t="s">
        <v>653</v>
      </c>
      <c r="B3378" s="43"/>
      <c r="C3378" s="44"/>
      <c r="D3378" s="44"/>
      <c r="E3378" s="44"/>
      <c r="F3378" s="44"/>
      <c r="G3378" s="40"/>
    </row>
    <row r="3379" spans="1:7" ht="12.75" hidden="1" customHeight="1">
      <c r="A3379" s="39" t="s">
        <v>102</v>
      </c>
      <c r="B3379" s="43"/>
      <c r="C3379" s="44"/>
      <c r="D3379" s="44"/>
      <c r="E3379" s="44"/>
      <c r="F3379" s="44"/>
      <c r="G3379" s="40"/>
    </row>
    <row r="3380" spans="1:7" ht="12.75" hidden="1" customHeight="1">
      <c r="A3380" s="39" t="s">
        <v>103</v>
      </c>
      <c r="B3380" s="43"/>
      <c r="C3380" s="44"/>
      <c r="D3380" s="44"/>
      <c r="E3380" s="44"/>
      <c r="F3380" s="44"/>
      <c r="G3380" s="40"/>
    </row>
    <row r="3381" spans="1:7" ht="12.75" hidden="1" customHeight="1">
      <c r="A3381" s="39" t="s">
        <v>647</v>
      </c>
      <c r="B3381" s="45"/>
      <c r="C3381" s="44"/>
      <c r="D3381" s="44"/>
      <c r="E3381" s="44"/>
      <c r="F3381" s="44"/>
      <c r="G3381" s="40"/>
    </row>
    <row r="3382" spans="1:7" ht="12.75" hidden="1" customHeight="1">
      <c r="A3382" s="39" t="s">
        <v>104</v>
      </c>
      <c r="B3382" s="45"/>
      <c r="C3382" s="44"/>
      <c r="D3382" s="44"/>
      <c r="E3382" s="44"/>
      <c r="F3382" s="44"/>
      <c r="G3382" s="40"/>
    </row>
    <row r="3383" spans="1:7" ht="12.75" hidden="1" customHeight="1">
      <c r="A3383" s="39" t="s">
        <v>105</v>
      </c>
      <c r="B3383" s="43"/>
      <c r="C3383" s="44"/>
      <c r="D3383" s="44"/>
      <c r="E3383" s="44"/>
      <c r="F3383" s="44"/>
      <c r="G3383" s="40"/>
    </row>
    <row r="3384" spans="1:7" ht="12.75" hidden="1" customHeight="1">
      <c r="A3384" s="39" t="s">
        <v>654</v>
      </c>
      <c r="B3384" s="43"/>
      <c r="C3384" s="44"/>
      <c r="D3384" s="44"/>
      <c r="E3384" s="44"/>
      <c r="F3384" s="44"/>
      <c r="G3384" s="40"/>
    </row>
    <row r="3385" spans="1:7" ht="12.75" hidden="1" customHeight="1">
      <c r="A3385" s="39" t="s">
        <v>655</v>
      </c>
      <c r="B3385" s="43"/>
      <c r="C3385" s="44"/>
      <c r="D3385" s="44"/>
      <c r="E3385" s="44"/>
      <c r="F3385" s="44"/>
      <c r="G3385" s="40"/>
    </row>
    <row r="3386" spans="1:7" ht="12.75" hidden="1" customHeight="1">
      <c r="A3386" s="39" t="s">
        <v>108</v>
      </c>
      <c r="B3386" s="45"/>
      <c r="C3386" s="44"/>
      <c r="D3386" s="44"/>
      <c r="E3386" s="44"/>
      <c r="F3386" s="44"/>
      <c r="G3386" s="40"/>
    </row>
    <row r="3387" spans="1:7" ht="12.75" hidden="1" customHeight="1">
      <c r="A3387" s="39" t="s">
        <v>109</v>
      </c>
      <c r="B3387" s="43"/>
      <c r="C3387" s="44"/>
      <c r="D3387" s="44"/>
      <c r="E3387" s="44"/>
      <c r="F3387" s="44"/>
      <c r="G3387" s="40"/>
    </row>
    <row r="3388" spans="1:7" ht="12.75" hidden="1" customHeight="1">
      <c r="A3388" s="39" t="s">
        <v>110</v>
      </c>
      <c r="B3388" s="43"/>
      <c r="C3388" s="44"/>
      <c r="D3388" s="44"/>
      <c r="E3388" s="44"/>
      <c r="F3388" s="44"/>
      <c r="G3388" s="40"/>
    </row>
    <row r="3389" spans="1:7" ht="12.75" hidden="1" customHeight="1">
      <c r="A3389" s="39" t="s">
        <v>656</v>
      </c>
      <c r="B3389" s="45"/>
      <c r="C3389" s="44"/>
      <c r="D3389" s="44"/>
      <c r="E3389" s="44"/>
      <c r="F3389" s="44"/>
      <c r="G3389" s="40"/>
    </row>
    <row r="3390" spans="1:7" ht="12.75" hidden="1" customHeight="1">
      <c r="A3390" s="39" t="s">
        <v>652</v>
      </c>
      <c r="B3390" s="45"/>
      <c r="C3390" s="44"/>
      <c r="D3390" s="44"/>
      <c r="E3390" s="44"/>
      <c r="F3390" s="44"/>
      <c r="G3390" s="40"/>
    </row>
    <row r="3391" spans="1:7" ht="12.75" hidden="1" customHeight="1">
      <c r="A3391" s="39" t="s">
        <v>409</v>
      </c>
      <c r="B3391" s="43"/>
      <c r="C3391" s="44"/>
      <c r="D3391" s="44"/>
      <c r="E3391" s="44"/>
      <c r="F3391" s="44"/>
      <c r="G3391" s="40"/>
    </row>
    <row r="3392" spans="1:7" ht="12.75" hidden="1" customHeight="1">
      <c r="A3392" s="39" t="s">
        <v>501</v>
      </c>
      <c r="B3392" s="43"/>
      <c r="C3392" s="44"/>
      <c r="D3392" s="44"/>
      <c r="E3392" s="44"/>
      <c r="F3392" s="44"/>
      <c r="G3392" s="40"/>
    </row>
    <row r="3393" spans="1:7" ht="12.75" hidden="1" customHeight="1">
      <c r="A3393" s="39" t="s">
        <v>645</v>
      </c>
      <c r="B3393" s="43"/>
      <c r="C3393" s="44"/>
      <c r="D3393" s="44"/>
      <c r="E3393" s="44"/>
      <c r="F3393" s="44"/>
      <c r="G3393" s="40"/>
    </row>
    <row r="3394" spans="1:7" ht="12.75" hidden="1" customHeight="1">
      <c r="A3394" s="39" t="s">
        <v>116</v>
      </c>
      <c r="B3394" s="43"/>
      <c r="C3394" s="44"/>
      <c r="D3394" s="44"/>
      <c r="E3394" s="44"/>
      <c r="F3394" s="44"/>
      <c r="G3394" s="40"/>
    </row>
    <row r="3395" spans="1:7" ht="12.75" hidden="1" customHeight="1">
      <c r="A3395" s="39" t="s">
        <v>117</v>
      </c>
      <c r="B3395" s="43"/>
      <c r="C3395" s="44"/>
      <c r="D3395" s="44"/>
      <c r="E3395" s="44"/>
      <c r="F3395" s="44"/>
      <c r="G3395" s="40"/>
    </row>
    <row r="3396" spans="1:7" ht="12.75" hidden="1" customHeight="1">
      <c r="A3396" s="39" t="s">
        <v>118</v>
      </c>
      <c r="B3396" s="45"/>
      <c r="C3396" s="44"/>
      <c r="D3396" s="44"/>
      <c r="E3396" s="44"/>
      <c r="F3396" s="44"/>
      <c r="G3396" s="40"/>
    </row>
    <row r="3397" spans="1:7" ht="12.75" hidden="1" customHeight="1">
      <c r="A3397" s="39" t="s">
        <v>643</v>
      </c>
      <c r="B3397" s="43"/>
      <c r="C3397" s="44"/>
      <c r="D3397" s="44"/>
      <c r="E3397" s="44"/>
      <c r="F3397" s="44"/>
      <c r="G3397" s="40"/>
    </row>
    <row r="3398" spans="1:7" ht="12.75" hidden="1" customHeight="1">
      <c r="A3398" s="39" t="s">
        <v>643</v>
      </c>
      <c r="B3398" s="43"/>
      <c r="C3398" s="44"/>
      <c r="D3398" s="44"/>
      <c r="E3398" s="44"/>
      <c r="F3398" s="44"/>
      <c r="G3398" s="40"/>
    </row>
    <row r="3399" spans="1:7" ht="12.75" hidden="1" customHeight="1">
      <c r="A3399" s="39" t="s">
        <v>120</v>
      </c>
      <c r="B3399" s="45"/>
      <c r="C3399" s="44"/>
      <c r="D3399" s="44"/>
      <c r="E3399" s="44"/>
      <c r="F3399" s="44"/>
      <c r="G3399" s="40"/>
    </row>
    <row r="3400" spans="1:7" ht="12.75" hidden="1" customHeight="1">
      <c r="A3400" s="39" t="s">
        <v>121</v>
      </c>
      <c r="B3400" s="45"/>
      <c r="C3400" s="44"/>
      <c r="D3400" s="44"/>
      <c r="E3400" s="44"/>
      <c r="F3400" s="44"/>
      <c r="G3400" s="40"/>
    </row>
    <row r="3401" spans="1:7" ht="12.75" hidden="1" customHeight="1">
      <c r="A3401" s="39" t="s">
        <v>122</v>
      </c>
      <c r="B3401" s="43"/>
      <c r="C3401" s="44"/>
      <c r="D3401" s="44"/>
      <c r="E3401" s="44"/>
      <c r="F3401" s="44"/>
      <c r="G3401" s="40"/>
    </row>
    <row r="3402" spans="1:7" ht="12.75" hidden="1" customHeight="1">
      <c r="A3402" s="39" t="s">
        <v>123</v>
      </c>
      <c r="B3402" s="43"/>
      <c r="C3402" s="44"/>
      <c r="D3402" s="44"/>
      <c r="E3402" s="44"/>
      <c r="F3402" s="44"/>
      <c r="G3402" s="40"/>
    </row>
    <row r="3403" spans="1:7" ht="12.75" hidden="1" customHeight="1">
      <c r="A3403" s="39" t="s">
        <v>124</v>
      </c>
      <c r="B3403" s="43"/>
      <c r="C3403" s="44"/>
      <c r="D3403" s="44"/>
      <c r="E3403" s="44"/>
      <c r="F3403" s="44"/>
      <c r="G3403" s="40"/>
    </row>
    <row r="3404" spans="1:7" ht="12.75" hidden="1" customHeight="1">
      <c r="A3404" s="39" t="s">
        <v>125</v>
      </c>
      <c r="B3404" s="43"/>
      <c r="C3404" s="44"/>
      <c r="D3404" s="44"/>
      <c r="E3404" s="44"/>
      <c r="F3404" s="44"/>
      <c r="G3404" s="40"/>
    </row>
    <row r="3405" spans="1:7" ht="12.75" hidden="1" customHeight="1">
      <c r="A3405" s="39" t="s">
        <v>126</v>
      </c>
      <c r="B3405" s="45"/>
      <c r="C3405" s="44"/>
      <c r="D3405" s="44"/>
      <c r="E3405" s="44"/>
      <c r="F3405" s="44"/>
      <c r="G3405" s="40"/>
    </row>
    <row r="3406" spans="1:7" ht="12.75" hidden="1" customHeight="1">
      <c r="A3406" s="39" t="s">
        <v>127</v>
      </c>
      <c r="B3406" s="43"/>
      <c r="C3406" s="44"/>
      <c r="D3406" s="44"/>
      <c r="E3406" s="44"/>
      <c r="F3406" s="44"/>
      <c r="G3406" s="40"/>
    </row>
    <row r="3407" spans="1:7" ht="12.75" hidden="1" customHeight="1">
      <c r="A3407" s="39" t="s">
        <v>648</v>
      </c>
      <c r="B3407" s="43"/>
      <c r="C3407" s="44"/>
      <c r="D3407" s="44"/>
      <c r="E3407" s="44"/>
      <c r="F3407" s="44"/>
      <c r="G3407" s="40"/>
    </row>
    <row r="3408" spans="1:7" ht="12.75" hidden="1" customHeight="1">
      <c r="A3408" s="39" t="s">
        <v>129</v>
      </c>
      <c r="B3408" s="45"/>
      <c r="C3408" s="44"/>
      <c r="D3408" s="44"/>
      <c r="E3408" s="44"/>
      <c r="F3408" s="44"/>
      <c r="G3408" s="40"/>
    </row>
    <row r="3409" spans="1:7" ht="12.75" hidden="1" customHeight="1">
      <c r="A3409" s="39" t="s">
        <v>651</v>
      </c>
      <c r="B3409" s="45"/>
      <c r="C3409" s="44"/>
      <c r="D3409" s="44"/>
      <c r="E3409" s="44"/>
      <c r="F3409" s="44"/>
      <c r="G3409" s="40"/>
    </row>
    <row r="3410" spans="1:7" ht="12.75" hidden="1" customHeight="1">
      <c r="A3410" s="39" t="s">
        <v>649</v>
      </c>
      <c r="B3410" s="45"/>
      <c r="C3410" s="44"/>
      <c r="D3410" s="44"/>
      <c r="E3410" s="44"/>
      <c r="F3410" s="44"/>
      <c r="G3410" s="40"/>
    </row>
    <row r="3411" spans="1:7" ht="12.75" hidden="1" customHeight="1">
      <c r="A3411" s="39" t="s">
        <v>132</v>
      </c>
      <c r="B3411" s="43"/>
      <c r="C3411" s="44"/>
      <c r="D3411" s="44"/>
      <c r="E3411" s="44"/>
      <c r="F3411" s="44"/>
      <c r="G3411" s="40"/>
    </row>
    <row r="3412" spans="1:7" ht="12.75" hidden="1" customHeight="1">
      <c r="A3412" s="39" t="s">
        <v>133</v>
      </c>
      <c r="B3412" s="43"/>
      <c r="C3412" s="44"/>
      <c r="D3412" s="44"/>
      <c r="E3412" s="44"/>
      <c r="F3412" s="44"/>
      <c r="G3412" s="40"/>
    </row>
    <row r="3413" spans="1:7" ht="12.75" hidden="1" customHeight="1">
      <c r="A3413" s="39" t="s">
        <v>134</v>
      </c>
      <c r="B3413" s="45"/>
      <c r="C3413" s="44"/>
      <c r="D3413" s="44"/>
      <c r="E3413" s="44"/>
      <c r="F3413" s="44"/>
      <c r="G3413" s="40"/>
    </row>
    <row r="3414" spans="1:7" ht="12.75" hidden="1" customHeight="1">
      <c r="A3414" s="39" t="s">
        <v>135</v>
      </c>
      <c r="B3414" s="45"/>
      <c r="C3414" s="44"/>
      <c r="D3414" s="44"/>
      <c r="E3414" s="44"/>
      <c r="F3414" s="44"/>
      <c r="G3414" s="40"/>
    </row>
    <row r="3415" spans="1:7" ht="12.75" hidden="1" customHeight="1">
      <c r="A3415" s="39" t="s">
        <v>136</v>
      </c>
      <c r="B3415" s="43"/>
      <c r="C3415" s="44"/>
      <c r="D3415" s="44"/>
      <c r="E3415" s="44"/>
      <c r="F3415" s="44"/>
      <c r="G3415" s="40"/>
    </row>
    <row r="3416" spans="1:7" ht="12.75" hidden="1" customHeight="1">
      <c r="A3416" s="39" t="s">
        <v>137</v>
      </c>
      <c r="B3416" s="45"/>
      <c r="C3416" s="44"/>
      <c r="D3416" s="44"/>
      <c r="E3416" s="44"/>
      <c r="F3416" s="44"/>
      <c r="G3416" s="40"/>
    </row>
    <row r="3417" spans="1:7" ht="12.75" hidden="1" customHeight="1">
      <c r="A3417" s="39" t="s">
        <v>650</v>
      </c>
      <c r="B3417" s="45"/>
      <c r="C3417" s="44"/>
      <c r="D3417" s="44"/>
      <c r="E3417" s="44"/>
      <c r="F3417" s="44"/>
      <c r="G3417" s="40"/>
    </row>
    <row r="3418" spans="1:7" ht="12.75" hidden="1" customHeight="1">
      <c r="A3418" s="39" t="s">
        <v>138</v>
      </c>
      <c r="B3418" s="45"/>
      <c r="C3418" s="44"/>
      <c r="D3418" s="44"/>
      <c r="E3418" s="44"/>
      <c r="F3418" s="44"/>
      <c r="G3418" s="40"/>
    </row>
    <row r="3419" spans="1:7" ht="12.75" hidden="1" customHeight="1">
      <c r="A3419" s="39" t="s">
        <v>502</v>
      </c>
      <c r="B3419" s="45"/>
      <c r="C3419" s="44"/>
      <c r="D3419" s="44"/>
      <c r="E3419" s="44"/>
      <c r="F3419" s="44"/>
      <c r="G3419" s="40"/>
    </row>
    <row r="3420" spans="1:7" ht="12.75" hidden="1" customHeight="1">
      <c r="A3420" s="39" t="s">
        <v>503</v>
      </c>
      <c r="B3420" s="45"/>
      <c r="C3420" s="44"/>
      <c r="D3420" s="44"/>
      <c r="E3420" s="44"/>
      <c r="F3420" s="44"/>
      <c r="G3420" s="40"/>
    </row>
    <row r="3421" spans="1:7" ht="12.75" hidden="1" customHeight="1">
      <c r="A3421" s="46" t="s">
        <v>140</v>
      </c>
      <c r="B3421" s="45"/>
      <c r="C3421" s="44"/>
      <c r="D3421" s="44"/>
      <c r="E3421" s="44"/>
      <c r="F3421" s="44"/>
      <c r="G3421" s="40"/>
    </row>
    <row r="3422" spans="1:7" ht="12.75" hidden="1" customHeight="1">
      <c r="A3422" s="46" t="s">
        <v>141</v>
      </c>
      <c r="B3422" s="45"/>
      <c r="C3422" s="44"/>
      <c r="D3422" s="44"/>
      <c r="E3422" s="44"/>
      <c r="F3422" s="44"/>
      <c r="G3422" s="40"/>
    </row>
    <row r="3423" spans="1:7" ht="12.75" hidden="1" customHeight="1">
      <c r="A3423" s="46" t="s">
        <v>142</v>
      </c>
      <c r="B3423" s="45"/>
      <c r="C3423" s="44"/>
      <c r="D3423" s="44"/>
      <c r="E3423" s="44"/>
      <c r="F3423" s="44"/>
      <c r="G3423" s="40"/>
    </row>
    <row r="3424" spans="1:7" ht="12.75" hidden="1" customHeight="1">
      <c r="A3424" s="46" t="s">
        <v>143</v>
      </c>
      <c r="B3424" s="45"/>
      <c r="C3424" s="44"/>
      <c r="D3424" s="44"/>
      <c r="E3424" s="44"/>
      <c r="F3424" s="44"/>
      <c r="G3424" s="40"/>
    </row>
    <row r="3425" spans="1:7" ht="12.75" hidden="1" customHeight="1">
      <c r="A3425" s="46" t="s">
        <v>146</v>
      </c>
      <c r="B3425" s="45"/>
      <c r="C3425" s="44"/>
      <c r="D3425" s="44"/>
      <c r="E3425" s="44"/>
      <c r="F3425" s="44"/>
      <c r="G3425" s="40"/>
    </row>
    <row r="3426" spans="1:7" ht="12.75" hidden="1" customHeight="1">
      <c r="A3426" s="46" t="s">
        <v>147</v>
      </c>
      <c r="B3426" s="45"/>
      <c r="C3426" s="44"/>
      <c r="D3426" s="44"/>
      <c r="E3426" s="44"/>
      <c r="F3426" s="44"/>
      <c r="G3426" s="40"/>
    </row>
    <row r="3427" spans="1:7" ht="12.75" hidden="1" customHeight="1">
      <c r="A3427" s="46" t="s">
        <v>148</v>
      </c>
      <c r="B3427" s="45"/>
      <c r="C3427" s="44"/>
      <c r="D3427" s="44"/>
      <c r="E3427" s="44"/>
      <c r="F3427" s="44"/>
      <c r="G3427" s="40"/>
    </row>
    <row r="3428" spans="1:7" ht="12.75" hidden="1" customHeight="1">
      <c r="A3428" s="126" t="s">
        <v>526</v>
      </c>
      <c r="B3428" s="47"/>
      <c r="C3428" s="44"/>
      <c r="D3428" s="44"/>
      <c r="E3428" s="44"/>
      <c r="F3428" s="44"/>
      <c r="G3428" s="40"/>
    </row>
    <row r="3429" spans="1:7" ht="12.75" hidden="1" customHeight="1">
      <c r="A3429" s="126" t="s">
        <v>601</v>
      </c>
      <c r="B3429" s="47"/>
      <c r="C3429" s="44"/>
      <c r="D3429" s="44"/>
      <c r="E3429" s="44"/>
      <c r="F3429" s="44"/>
      <c r="G3429" s="40"/>
    </row>
    <row r="3430" spans="1:7" ht="12.75" hidden="1" customHeight="1">
      <c r="A3430" s="48" t="s">
        <v>150</v>
      </c>
      <c r="B3430" s="48"/>
      <c r="C3430" s="49">
        <v>8911.27</v>
      </c>
      <c r="D3430" s="50">
        <v>0</v>
      </c>
      <c r="E3430" s="50">
        <v>136285.46</v>
      </c>
      <c r="F3430" s="50">
        <f>SUM(C3430:E3430)</f>
        <v>145196.72999999998</v>
      </c>
      <c r="G3430" s="40"/>
    </row>
    <row r="3431" spans="1:7" ht="12.75" hidden="1" customHeight="1"/>
    <row r="3432" spans="1:7" ht="12.75" hidden="1" customHeight="1"/>
    <row r="3433" spans="1:7" ht="12.75" hidden="1" customHeight="1">
      <c r="A3433" s="77" t="s">
        <v>695</v>
      </c>
      <c r="B3433" s="39"/>
      <c r="C3433" s="78"/>
      <c r="D3433" s="78"/>
      <c r="E3433" s="78"/>
      <c r="F3433" s="78"/>
      <c r="G3433" s="40"/>
    </row>
    <row r="3434" spans="1:7" ht="12.75" hidden="1" customHeight="1">
      <c r="A3434" s="206" t="s">
        <v>337</v>
      </c>
      <c r="B3434" s="81" t="s">
        <v>87</v>
      </c>
      <c r="C3434" s="81" t="s">
        <v>338</v>
      </c>
      <c r="D3434" s="78" t="s">
        <v>339</v>
      </c>
      <c r="E3434" s="78" t="s">
        <v>340</v>
      </c>
      <c r="F3434" s="78" t="s">
        <v>341</v>
      </c>
      <c r="G3434" s="40"/>
    </row>
    <row r="3435" spans="1:7" ht="12.75" hidden="1" customHeight="1">
      <c r="A3435" s="206" t="s">
        <v>0</v>
      </c>
      <c r="B3435" s="81"/>
      <c r="C3435" s="81"/>
      <c r="D3435" s="81"/>
      <c r="E3435" s="81"/>
      <c r="F3435" s="81"/>
      <c r="G3435" s="40"/>
    </row>
    <row r="3436" spans="1:7" ht="12.75" hidden="1" customHeight="1">
      <c r="A3436" s="206" t="s">
        <v>342</v>
      </c>
      <c r="B3436" s="81"/>
      <c r="C3436" s="81"/>
      <c r="D3436" s="81"/>
      <c r="E3436" s="81"/>
      <c r="F3436" s="81"/>
      <c r="G3436" s="40"/>
    </row>
    <row r="3437" spans="1:7" ht="12.75" hidden="1" customHeight="1">
      <c r="A3437" s="206" t="s">
        <v>343</v>
      </c>
      <c r="B3437" s="81"/>
      <c r="C3437" s="81"/>
      <c r="D3437" s="81"/>
      <c r="E3437" s="81"/>
      <c r="F3437" s="81"/>
      <c r="G3437" s="40"/>
    </row>
    <row r="3438" spans="1:7" ht="12.75" hidden="1" customHeight="1">
      <c r="A3438" s="206" t="s">
        <v>344</v>
      </c>
      <c r="B3438" s="81"/>
      <c r="C3438" s="81"/>
      <c r="D3438" s="81"/>
      <c r="E3438" s="81"/>
      <c r="F3438" s="81"/>
      <c r="G3438" s="40"/>
    </row>
    <row r="3439" spans="1:7" ht="12.75" hidden="1" customHeight="1">
      <c r="A3439" s="206" t="s">
        <v>345</v>
      </c>
      <c r="B3439" s="81"/>
      <c r="C3439" s="81"/>
      <c r="D3439" s="81"/>
      <c r="E3439" s="81"/>
      <c r="F3439" s="81"/>
      <c r="G3439" s="40"/>
    </row>
    <row r="3440" spans="1:7" ht="12.75" hidden="1" customHeight="1">
      <c r="A3440" s="229" t="s">
        <v>641</v>
      </c>
      <c r="B3440" s="81"/>
      <c r="C3440" s="81"/>
      <c r="D3440" s="81"/>
      <c r="E3440" s="81"/>
      <c r="F3440" s="81"/>
      <c r="G3440" s="40"/>
    </row>
    <row r="3441" spans="1:7" ht="12.75" hidden="1" customHeight="1">
      <c r="A3441" s="206" t="s">
        <v>346</v>
      </c>
      <c r="B3441" s="205"/>
      <c r="C3441" s="205">
        <v>12050.78</v>
      </c>
      <c r="D3441" s="82">
        <v>0</v>
      </c>
      <c r="E3441" s="82">
        <v>93462.92</v>
      </c>
      <c r="F3441" s="82">
        <f>SUM(C3441:E3441)</f>
        <v>105513.7</v>
      </c>
      <c r="G3441" s="40"/>
    </row>
    <row r="3442" spans="1:7" ht="12.75" hidden="1" customHeight="1">
      <c r="A3442" s="270" t="s">
        <v>710</v>
      </c>
      <c r="B3442" s="271"/>
      <c r="C3442" s="271"/>
      <c r="D3442" s="271"/>
      <c r="E3442" s="271"/>
      <c r="F3442" s="271"/>
      <c r="G3442" s="40"/>
    </row>
    <row r="3443" spans="1:7" ht="12.75" hidden="1" customHeight="1">
      <c r="A3443" s="280"/>
      <c r="B3443" s="281"/>
      <c r="C3443" s="281"/>
      <c r="D3443" s="281"/>
      <c r="E3443" s="281"/>
      <c r="F3443" s="281"/>
      <c r="G3443" s="40"/>
    </row>
    <row r="3444" spans="1:7" ht="12.75" hidden="1" customHeight="1">
      <c r="A3444" s="83"/>
      <c r="B3444" s="84"/>
      <c r="C3444" s="40"/>
      <c r="D3444" s="40"/>
      <c r="E3444" s="41"/>
      <c r="F3444" s="40"/>
      <c r="G3444" s="40"/>
    </row>
    <row r="3445" spans="1:7" ht="12.75" hidden="1" customHeight="1">
      <c r="A3445" s="85"/>
      <c r="B3445" s="84"/>
      <c r="C3445" s="40"/>
      <c r="D3445" s="40"/>
      <c r="E3445" s="41"/>
      <c r="F3445" s="40"/>
      <c r="G3445" s="40"/>
    </row>
    <row r="3446" spans="1:7" ht="12.75" hidden="1" customHeight="1">
      <c r="A3446" s="77"/>
      <c r="B3446" s="82"/>
      <c r="C3446" s="82"/>
      <c r="D3446" s="82"/>
      <c r="E3446" s="82"/>
      <c r="F3446" s="82"/>
      <c r="G3446" s="40"/>
    </row>
    <row r="3447" spans="1:7" ht="12.75" hidden="1" customHeight="1">
      <c r="A3447" s="77" t="s">
        <v>696</v>
      </c>
      <c r="B3447" s="43" t="s">
        <v>87</v>
      </c>
      <c r="C3447" s="86" t="s">
        <v>88</v>
      </c>
      <c r="D3447" s="86" t="s">
        <v>89</v>
      </c>
      <c r="E3447" s="86" t="s">
        <v>90</v>
      </c>
      <c r="F3447" s="86" t="s">
        <v>91</v>
      </c>
      <c r="G3447" s="40"/>
    </row>
    <row r="3448" spans="1:7" ht="12.75" hidden="1" customHeight="1">
      <c r="A3448" s="87" t="s">
        <v>349</v>
      </c>
      <c r="B3448" s="88"/>
      <c r="C3448" s="88"/>
      <c r="D3448" s="88"/>
      <c r="E3448" s="88"/>
      <c r="F3448" s="88"/>
      <c r="G3448" s="40"/>
    </row>
    <row r="3449" spans="1:7" ht="12.75" hidden="1" customHeight="1">
      <c r="A3449" s="87" t="s">
        <v>350</v>
      </c>
      <c r="B3449" s="88">
        <f>46*48</f>
        <v>2208</v>
      </c>
      <c r="C3449" s="88">
        <f t="shared" ref="C3449:E3451" si="150">B3449/B$3459*C$3459</f>
        <v>428792.96166048927</v>
      </c>
      <c r="D3449" s="88">
        <f t="shared" si="150"/>
        <v>170980.95656041513</v>
      </c>
      <c r="E3449" s="88">
        <f t="shared" si="150"/>
        <v>319043.372335063</v>
      </c>
      <c r="F3449" s="88">
        <f>SUM(C3449:E3449)</f>
        <v>918817.29055596748</v>
      </c>
      <c r="G3449" s="40"/>
    </row>
    <row r="3450" spans="1:7" ht="12.75" hidden="1" customHeight="1">
      <c r="A3450" s="87" t="s">
        <v>351</v>
      </c>
      <c r="B3450" s="88"/>
      <c r="C3450" s="88">
        <f t="shared" si="150"/>
        <v>0</v>
      </c>
      <c r="D3450" s="88">
        <f t="shared" si="150"/>
        <v>0</v>
      </c>
      <c r="E3450" s="88">
        <f t="shared" si="150"/>
        <v>0</v>
      </c>
      <c r="F3450" s="88">
        <f>SUM(C3450:E3450)</f>
        <v>0</v>
      </c>
      <c r="G3450" s="40"/>
    </row>
    <row r="3451" spans="1:7" ht="12.75" hidden="1" customHeight="1">
      <c r="A3451" s="87" t="s">
        <v>352</v>
      </c>
      <c r="B3451" s="57">
        <f>7*70</f>
        <v>490</v>
      </c>
      <c r="C3451" s="88">
        <f t="shared" si="150"/>
        <v>95157.858339510742</v>
      </c>
      <c r="D3451" s="88">
        <f t="shared" si="150"/>
        <v>37944.143439584877</v>
      </c>
      <c r="E3451" s="88">
        <f t="shared" si="150"/>
        <v>70802.19766493699</v>
      </c>
      <c r="F3451" s="88">
        <f>SUM(C3451:E3451)</f>
        <v>203904.19944403262</v>
      </c>
      <c r="G3451" s="40"/>
    </row>
    <row r="3452" spans="1:7" ht="12.75" hidden="1" customHeight="1">
      <c r="A3452" s="87" t="s">
        <v>556</v>
      </c>
      <c r="B3452" s="88"/>
      <c r="C3452" s="88"/>
      <c r="D3452" s="88"/>
      <c r="E3452" s="88"/>
      <c r="F3452" s="88"/>
      <c r="G3452" s="40"/>
    </row>
    <row r="3453" spans="1:7" ht="12.75" hidden="1" customHeight="1">
      <c r="A3453" s="87" t="s">
        <v>354</v>
      </c>
      <c r="B3453" s="88"/>
      <c r="C3453" s="88"/>
      <c r="D3453" s="88"/>
      <c r="E3453" s="88"/>
      <c r="F3453" s="88"/>
      <c r="G3453" s="40"/>
    </row>
    <row r="3454" spans="1:7" ht="12.75" hidden="1" customHeight="1">
      <c r="A3454" s="87" t="s">
        <v>355</v>
      </c>
      <c r="B3454" s="88"/>
      <c r="C3454" s="88"/>
      <c r="D3454" s="88"/>
      <c r="E3454" s="88"/>
      <c r="F3454" s="88"/>
      <c r="G3454" s="40"/>
    </row>
    <row r="3455" spans="1:7" ht="12.75" hidden="1" customHeight="1">
      <c r="A3455" s="87" t="s">
        <v>356</v>
      </c>
      <c r="B3455" s="88"/>
      <c r="C3455" s="88"/>
      <c r="D3455" s="88"/>
      <c r="E3455" s="88"/>
      <c r="F3455" s="88"/>
      <c r="G3455" s="40"/>
    </row>
    <row r="3456" spans="1:7" ht="12.75" hidden="1" customHeight="1">
      <c r="A3456" s="87" t="s">
        <v>357</v>
      </c>
      <c r="B3456" s="57"/>
      <c r="C3456" s="88"/>
      <c r="D3456" s="88"/>
      <c r="E3456" s="88"/>
      <c r="F3456" s="88"/>
      <c r="G3456" s="40"/>
    </row>
    <row r="3457" spans="1:7" ht="12.75" hidden="1" customHeight="1">
      <c r="A3457" s="227" t="s">
        <v>639</v>
      </c>
      <c r="B3457" s="57"/>
      <c r="C3457" s="88"/>
      <c r="D3457" s="88"/>
      <c r="E3457" s="88"/>
      <c r="F3457" s="88"/>
      <c r="G3457" s="40"/>
    </row>
    <row r="3458" spans="1:7" ht="12.75" hidden="1" customHeight="1">
      <c r="A3458" s="227" t="s">
        <v>686</v>
      </c>
      <c r="B3458" s="57"/>
      <c r="C3458" s="88"/>
      <c r="D3458" s="88"/>
      <c r="E3458" s="88"/>
      <c r="F3458" s="88"/>
      <c r="G3458" s="40"/>
    </row>
    <row r="3459" spans="1:7" ht="12.75" hidden="1" customHeight="1">
      <c r="A3459" s="77" t="s">
        <v>346</v>
      </c>
      <c r="B3459" s="82">
        <f>SUM(B3449:B3451)</f>
        <v>2698</v>
      </c>
      <c r="C3459" s="82">
        <f>523950.82</f>
        <v>523950.82</v>
      </c>
      <c r="D3459" s="82">
        <f>9044.6+65599.2+17064.1+86539+30678.2</f>
        <v>208925.1</v>
      </c>
      <c r="E3459" s="82">
        <f>389845.57</f>
        <v>389845.57</v>
      </c>
      <c r="F3459" s="82">
        <f>SUM(C3459:E3459)</f>
        <v>1122721.49</v>
      </c>
      <c r="G3459" s="40"/>
    </row>
    <row r="3460" spans="1:7" ht="12.75" hidden="1" customHeight="1">
      <c r="A3460" s="151" t="s">
        <v>707</v>
      </c>
      <c r="B3460" s="84"/>
      <c r="C3460" s="84"/>
      <c r="D3460" s="84"/>
      <c r="E3460" s="84"/>
      <c r="F3460" s="84"/>
      <c r="G3460" s="90"/>
    </row>
    <row r="3461" spans="1:7" ht="12.75" hidden="1" customHeight="1">
      <c r="A3461" s="85"/>
      <c r="B3461" s="84"/>
      <c r="C3461" s="84"/>
      <c r="D3461" s="84"/>
      <c r="E3461" s="84"/>
      <c r="F3461" s="84"/>
      <c r="G3461" s="90"/>
    </row>
    <row r="3462" spans="1:7" ht="12.75" hidden="1" customHeight="1">
      <c r="A3462" s="91"/>
      <c r="B3462" s="84"/>
      <c r="C3462" s="84"/>
      <c r="D3462" s="84"/>
      <c r="E3462" s="84"/>
      <c r="F3462" s="84"/>
      <c r="G3462" s="90"/>
    </row>
    <row r="3463" spans="1:7" ht="12.75" hidden="1" customHeight="1">
      <c r="A3463" s="91"/>
      <c r="B3463" s="84"/>
      <c r="C3463" s="84"/>
      <c r="D3463" s="84"/>
      <c r="E3463" s="84"/>
      <c r="F3463" s="84"/>
      <c r="G3463" s="40"/>
    </row>
    <row r="3464" spans="1:7" ht="12.75" hidden="1" customHeight="1">
      <c r="A3464" s="83"/>
      <c r="B3464" s="92"/>
      <c r="C3464" s="92"/>
      <c r="D3464" s="92"/>
      <c r="E3464" s="92"/>
      <c r="F3464" s="92"/>
      <c r="G3464" s="40"/>
    </row>
    <row r="3465" spans="1:7" ht="12.75" hidden="1" customHeight="1">
      <c r="A3465" s="77" t="s">
        <v>697</v>
      </c>
      <c r="B3465" s="43" t="s">
        <v>87</v>
      </c>
      <c r="C3465" s="78" t="s">
        <v>338</v>
      </c>
      <c r="D3465" s="78" t="s">
        <v>339</v>
      </c>
      <c r="E3465" s="78" t="s">
        <v>340</v>
      </c>
      <c r="F3465" s="78" t="s">
        <v>341</v>
      </c>
      <c r="G3465" s="40"/>
    </row>
    <row r="3466" spans="1:7" ht="12.75" hidden="1" customHeight="1">
      <c r="A3466" s="80" t="s">
        <v>361</v>
      </c>
      <c r="B3466" s="93"/>
      <c r="C3466" s="94"/>
      <c r="D3466" s="94"/>
      <c r="E3466" s="94"/>
      <c r="F3466" s="94"/>
      <c r="G3466" s="40"/>
    </row>
    <row r="3467" spans="1:7" ht="12.75" hidden="1" customHeight="1">
      <c r="A3467" s="80" t="s">
        <v>362</v>
      </c>
      <c r="B3467" s="93">
        <f>22*48</f>
        <v>1056</v>
      </c>
      <c r="C3467" s="94">
        <f t="shared" ref="C3467:E3476" si="151">B3467/B$3477*C$3477</f>
        <v>40077.487005649717</v>
      </c>
      <c r="D3467" s="94">
        <f t="shared" si="151"/>
        <v>13988.857853107345</v>
      </c>
      <c r="E3467" s="94">
        <f t="shared" si="151"/>
        <v>33045.302598870054</v>
      </c>
      <c r="F3467" s="94">
        <f>SUM(C3467:E3467)</f>
        <v>87111.647457627114</v>
      </c>
      <c r="G3467" s="40"/>
    </row>
    <row r="3468" spans="1:7" ht="12.75" hidden="1" customHeight="1">
      <c r="A3468" s="80" t="s">
        <v>363</v>
      </c>
      <c r="B3468" s="93">
        <f>22*48</f>
        <v>1056</v>
      </c>
      <c r="C3468" s="94">
        <f t="shared" si="151"/>
        <v>40077.487005649717</v>
      </c>
      <c r="D3468" s="94">
        <f t="shared" si="151"/>
        <v>13988.857853107345</v>
      </c>
      <c r="E3468" s="94">
        <f t="shared" si="151"/>
        <v>33045.302598870054</v>
      </c>
      <c r="F3468" s="94">
        <f t="shared" ref="F3468:F3475" si="152">SUM(C3468:E3468)</f>
        <v>87111.647457627114</v>
      </c>
      <c r="G3468" s="40"/>
    </row>
    <row r="3469" spans="1:7" ht="12.75" hidden="1" customHeight="1">
      <c r="A3469" s="80" t="s">
        <v>364</v>
      </c>
      <c r="B3469" s="93"/>
      <c r="C3469" s="94">
        <f t="shared" si="151"/>
        <v>0</v>
      </c>
      <c r="D3469" s="94">
        <f t="shared" si="151"/>
        <v>0</v>
      </c>
      <c r="E3469" s="94">
        <f t="shared" si="151"/>
        <v>0</v>
      </c>
      <c r="F3469" s="94">
        <f t="shared" si="152"/>
        <v>0</v>
      </c>
      <c r="G3469" s="40"/>
    </row>
    <row r="3470" spans="1:7" ht="12.75" hidden="1" customHeight="1">
      <c r="A3470" s="80" t="s">
        <v>365</v>
      </c>
      <c r="B3470" s="93"/>
      <c r="C3470" s="94">
        <f t="shared" si="151"/>
        <v>0</v>
      </c>
      <c r="D3470" s="94">
        <f t="shared" si="151"/>
        <v>0</v>
      </c>
      <c r="E3470" s="94">
        <f t="shared" si="151"/>
        <v>0</v>
      </c>
      <c r="F3470" s="94">
        <f t="shared" si="152"/>
        <v>0</v>
      </c>
      <c r="G3470" s="40"/>
    </row>
    <row r="3471" spans="1:7" ht="12.75" hidden="1" customHeight="1">
      <c r="A3471" s="80" t="s">
        <v>366</v>
      </c>
      <c r="B3471" s="93"/>
      <c r="C3471" s="94">
        <f t="shared" si="151"/>
        <v>0</v>
      </c>
      <c r="D3471" s="94">
        <f t="shared" si="151"/>
        <v>0</v>
      </c>
      <c r="E3471" s="94">
        <f t="shared" si="151"/>
        <v>0</v>
      </c>
      <c r="F3471" s="94">
        <f t="shared" si="152"/>
        <v>0</v>
      </c>
      <c r="G3471" s="40"/>
    </row>
    <row r="3472" spans="1:7" ht="12.75" hidden="1" customHeight="1">
      <c r="A3472" s="203" t="s">
        <v>571</v>
      </c>
      <c r="B3472" s="93"/>
      <c r="C3472" s="94">
        <f t="shared" si="151"/>
        <v>0</v>
      </c>
      <c r="D3472" s="94">
        <f t="shared" si="151"/>
        <v>0</v>
      </c>
      <c r="E3472" s="94">
        <f t="shared" si="151"/>
        <v>0</v>
      </c>
      <c r="F3472" s="94">
        <f t="shared" si="152"/>
        <v>0</v>
      </c>
      <c r="G3472" s="40"/>
    </row>
    <row r="3473" spans="1:7" ht="12.75" hidden="1" customHeight="1">
      <c r="A3473" s="80" t="s">
        <v>368</v>
      </c>
      <c r="B3473" s="40"/>
      <c r="C3473" s="94">
        <f t="shared" si="151"/>
        <v>0</v>
      </c>
      <c r="D3473" s="94">
        <f t="shared" si="151"/>
        <v>0</v>
      </c>
      <c r="E3473" s="94">
        <f t="shared" si="151"/>
        <v>0</v>
      </c>
      <c r="F3473" s="94">
        <f t="shared" si="152"/>
        <v>0</v>
      </c>
      <c r="G3473" s="40"/>
    </row>
    <row r="3474" spans="1:7" ht="12.75" hidden="1" customHeight="1">
      <c r="A3474" s="80" t="s">
        <v>369</v>
      </c>
      <c r="B3474" s="93"/>
      <c r="C3474" s="94">
        <f t="shared" si="151"/>
        <v>0</v>
      </c>
      <c r="D3474" s="94">
        <f t="shared" si="151"/>
        <v>0</v>
      </c>
      <c r="E3474" s="94">
        <f t="shared" si="151"/>
        <v>0</v>
      </c>
      <c r="F3474" s="94">
        <f t="shared" si="152"/>
        <v>0</v>
      </c>
      <c r="G3474" s="40"/>
    </row>
    <row r="3475" spans="1:7" ht="12.75" hidden="1" customHeight="1">
      <c r="A3475" s="80" t="s">
        <v>370</v>
      </c>
      <c r="B3475" s="93">
        <f>1*12</f>
        <v>12</v>
      </c>
      <c r="C3475" s="94">
        <f t="shared" si="151"/>
        <v>455.42598870056491</v>
      </c>
      <c r="D3475" s="94">
        <f t="shared" si="151"/>
        <v>158.96429378531073</v>
      </c>
      <c r="E3475" s="94">
        <f t="shared" si="151"/>
        <v>375.51480225988701</v>
      </c>
      <c r="F3475" s="94">
        <f t="shared" si="152"/>
        <v>989.90508474576268</v>
      </c>
      <c r="G3475" s="40"/>
    </row>
    <row r="3476" spans="1:7" ht="12.75" hidden="1" customHeight="1">
      <c r="A3476" s="80" t="s">
        <v>524</v>
      </c>
      <c r="B3476" s="93"/>
      <c r="C3476" s="94">
        <f t="shared" si="151"/>
        <v>0</v>
      </c>
      <c r="D3476" s="94">
        <f t="shared" si="151"/>
        <v>0</v>
      </c>
      <c r="E3476" s="94">
        <f t="shared" si="151"/>
        <v>0</v>
      </c>
      <c r="F3476" s="94"/>
      <c r="G3476" s="40"/>
    </row>
    <row r="3477" spans="1:7" ht="12.75" hidden="1" customHeight="1">
      <c r="A3477" s="77" t="s">
        <v>346</v>
      </c>
      <c r="B3477" s="95">
        <f>SUM(B3467:B3475)</f>
        <v>2124</v>
      </c>
      <c r="C3477" s="96">
        <f>80610.4</f>
        <v>80610.399999999994</v>
      </c>
      <c r="D3477" s="96">
        <f>9123.4+2228.08+12901.2+3884</f>
        <v>28136.68</v>
      </c>
      <c r="E3477" s="96">
        <f>66466.12</f>
        <v>66466.12</v>
      </c>
      <c r="F3477" s="97">
        <f>SUM(C3477:E3477)</f>
        <v>175213.19999999998</v>
      </c>
      <c r="G3477" s="40"/>
    </row>
    <row r="3478" spans="1:7" ht="12.75" hidden="1" customHeight="1">
      <c r="A3478" s="140" t="s">
        <v>706</v>
      </c>
      <c r="B3478" s="99"/>
      <c r="C3478" s="100"/>
      <c r="D3478" s="100"/>
      <c r="E3478" s="100"/>
      <c r="F3478" s="100"/>
      <c r="G3478" s="40"/>
    </row>
    <row r="3479" spans="1:7" ht="12.75" hidden="1" customHeight="1">
      <c r="A3479" s="98"/>
      <c r="B3479" s="99"/>
      <c r="C3479" s="100"/>
      <c r="D3479" s="100"/>
      <c r="E3479" s="100"/>
      <c r="F3479" s="100"/>
      <c r="G3479" s="40"/>
    </row>
    <row r="3480" spans="1:7" ht="12.75" hidden="1" customHeight="1">
      <c r="A3480" s="98"/>
      <c r="B3480" s="99"/>
      <c r="C3480" s="100"/>
      <c r="D3480" s="115"/>
      <c r="E3480" s="115"/>
      <c r="F3480" s="100"/>
      <c r="G3480" s="40"/>
    </row>
    <row r="3481" spans="1:7" ht="12.75" hidden="1" customHeight="1">
      <c r="A3481" s="101"/>
      <c r="B3481" s="92"/>
      <c r="C3481" s="92"/>
      <c r="D3481" s="115"/>
      <c r="E3481" s="116"/>
      <c r="F3481" s="92"/>
      <c r="G3481" s="40"/>
    </row>
    <row r="3482" spans="1:7" ht="12.75" hidden="1" customHeight="1">
      <c r="A3482" s="101"/>
      <c r="B3482" s="92"/>
      <c r="C3482" s="92"/>
      <c r="D3482" s="92"/>
      <c r="E3482" s="92"/>
      <c r="F3482" s="92"/>
      <c r="G3482" s="40"/>
    </row>
    <row r="3483" spans="1:7" ht="12.75" hidden="1" customHeight="1">
      <c r="A3483" s="101"/>
      <c r="B3483" s="92"/>
      <c r="C3483" s="92"/>
      <c r="D3483" s="92"/>
      <c r="E3483" s="92"/>
      <c r="F3483" s="92"/>
      <c r="G3483" s="40"/>
    </row>
    <row r="3484" spans="1:7" ht="12.75" hidden="1" customHeight="1">
      <c r="A3484" s="77" t="s">
        <v>698</v>
      </c>
      <c r="B3484" s="43" t="s">
        <v>87</v>
      </c>
      <c r="C3484" s="78" t="s">
        <v>338</v>
      </c>
      <c r="D3484" s="78" t="s">
        <v>339</v>
      </c>
      <c r="E3484" s="78" t="s">
        <v>340</v>
      </c>
      <c r="F3484" s="78" t="s">
        <v>341</v>
      </c>
      <c r="G3484" s="40"/>
    </row>
    <row r="3485" spans="1:7" ht="12.75" hidden="1" customHeight="1">
      <c r="A3485" s="87" t="s">
        <v>481</v>
      </c>
      <c r="B3485" s="42"/>
      <c r="C3485" s="112"/>
      <c r="D3485" s="112"/>
      <c r="E3485" s="112"/>
      <c r="F3485" s="112"/>
      <c r="G3485" s="40"/>
    </row>
    <row r="3486" spans="1:7" ht="12.75" hidden="1" customHeight="1">
      <c r="A3486" s="87" t="s">
        <v>482</v>
      </c>
      <c r="B3486" s="42"/>
      <c r="C3486" s="112"/>
      <c r="D3486" s="112"/>
      <c r="E3486" s="112"/>
      <c r="F3486" s="112"/>
      <c r="G3486" s="40"/>
    </row>
    <row r="3487" spans="1:7" ht="12.75" hidden="1" customHeight="1">
      <c r="A3487" s="87" t="s">
        <v>451</v>
      </c>
      <c r="B3487" s="42"/>
      <c r="C3487" s="112"/>
      <c r="D3487" s="112"/>
      <c r="E3487" s="112"/>
      <c r="F3487" s="112"/>
      <c r="G3487" s="40"/>
    </row>
    <row r="3488" spans="1:7" ht="12.75" hidden="1" customHeight="1">
      <c r="A3488" s="87" t="s">
        <v>452</v>
      </c>
      <c r="B3488" s="42"/>
      <c r="C3488" s="112"/>
      <c r="D3488" s="112"/>
      <c r="E3488" s="112"/>
      <c r="F3488" s="112"/>
      <c r="G3488" s="40"/>
    </row>
    <row r="3489" spans="1:7" ht="12.75" hidden="1" customHeight="1">
      <c r="A3489" s="87" t="s">
        <v>453</v>
      </c>
      <c r="B3489" s="42"/>
      <c r="C3489" s="112"/>
      <c r="D3489" s="112"/>
      <c r="E3489" s="112"/>
      <c r="F3489" s="112"/>
      <c r="G3489" s="40"/>
    </row>
    <row r="3490" spans="1:7" ht="12.75" hidden="1" customHeight="1">
      <c r="A3490" s="87" t="s">
        <v>454</v>
      </c>
      <c r="B3490" s="42"/>
      <c r="C3490" s="112"/>
      <c r="D3490" s="112"/>
      <c r="E3490" s="112"/>
      <c r="F3490" s="112"/>
      <c r="G3490" s="40"/>
    </row>
    <row r="3491" spans="1:7" ht="12.75" hidden="1" customHeight="1">
      <c r="A3491" s="87" t="s">
        <v>455</v>
      </c>
      <c r="B3491" s="42">
        <v>29</v>
      </c>
      <c r="C3491" s="112">
        <f>B3491/B$3497*C$3497</f>
        <v>39967.332258064511</v>
      </c>
      <c r="D3491" s="112">
        <f t="shared" ref="D3491:E3491" si="153">C3491/C$3497*D$3497</f>
        <v>78949.964838709668</v>
      </c>
      <c r="E3491" s="112">
        <f t="shared" si="153"/>
        <v>67032.88258064515</v>
      </c>
      <c r="F3491" s="112">
        <f>SUM(C3491:E3491)-0.01</f>
        <v>185950.16967741933</v>
      </c>
      <c r="G3491" s="40"/>
    </row>
    <row r="3492" spans="1:7" ht="12.75" hidden="1" customHeight="1">
      <c r="A3492" s="87" t="s">
        <v>456</v>
      </c>
      <c r="B3492" s="93"/>
      <c r="C3492" s="112">
        <f t="shared" ref="C3492:E3492" si="154">B3492/B$3497*C$3497</f>
        <v>0</v>
      </c>
      <c r="D3492" s="112">
        <f t="shared" si="154"/>
        <v>0</v>
      </c>
      <c r="E3492" s="112">
        <f t="shared" si="154"/>
        <v>0</v>
      </c>
      <c r="F3492" s="112">
        <f t="shared" ref="F3492:F3495" si="155">SUM(C3492:E3492)</f>
        <v>0</v>
      </c>
      <c r="G3492" s="40"/>
    </row>
    <row r="3493" spans="1:7" ht="12.75" hidden="1" customHeight="1">
      <c r="A3493" s="87" t="s">
        <v>457</v>
      </c>
      <c r="B3493" s="93"/>
      <c r="C3493" s="112">
        <f t="shared" ref="C3493:E3493" si="156">B3493/B$3497*C$3497</f>
        <v>0</v>
      </c>
      <c r="D3493" s="112">
        <f t="shared" si="156"/>
        <v>0</v>
      </c>
      <c r="E3493" s="112">
        <f t="shared" si="156"/>
        <v>0</v>
      </c>
      <c r="F3493" s="112">
        <f t="shared" si="155"/>
        <v>0</v>
      </c>
      <c r="G3493" s="40"/>
    </row>
    <row r="3494" spans="1:7" ht="12.75" hidden="1" customHeight="1">
      <c r="A3494" s="87" t="s">
        <v>458</v>
      </c>
      <c r="B3494" s="93"/>
      <c r="C3494" s="112">
        <f t="shared" ref="C3494:E3494" si="157">B3494/B$3497*C$3497</f>
        <v>0</v>
      </c>
      <c r="D3494" s="112">
        <f t="shared" si="157"/>
        <v>0</v>
      </c>
      <c r="E3494" s="112">
        <f t="shared" si="157"/>
        <v>0</v>
      </c>
      <c r="F3494" s="112">
        <f t="shared" si="155"/>
        <v>0</v>
      </c>
      <c r="G3494" s="40"/>
    </row>
    <row r="3495" spans="1:7" ht="12.75" hidden="1" customHeight="1">
      <c r="A3495" s="111" t="s">
        <v>480</v>
      </c>
      <c r="B3495" s="93"/>
      <c r="C3495" s="112">
        <f t="shared" ref="C3495:E3495" si="158">B3495/B$3497*C$3497</f>
        <v>0</v>
      </c>
      <c r="D3495" s="112">
        <f t="shared" si="158"/>
        <v>0</v>
      </c>
      <c r="E3495" s="112">
        <f t="shared" si="158"/>
        <v>0</v>
      </c>
      <c r="F3495" s="112">
        <f t="shared" si="155"/>
        <v>0</v>
      </c>
      <c r="G3495" s="40"/>
    </row>
    <row r="3496" spans="1:7" ht="12.75" hidden="1" customHeight="1">
      <c r="A3496" s="111" t="s">
        <v>713</v>
      </c>
      <c r="B3496" s="93">
        <v>2</v>
      </c>
      <c r="C3496" s="112">
        <f t="shared" ref="C3496:E3496" si="159">B3496/B$3497*C$3497</f>
        <v>2756.3677419354835</v>
      </c>
      <c r="D3496" s="112">
        <f t="shared" si="159"/>
        <v>5444.8251612903223</v>
      </c>
      <c r="E3496" s="112">
        <f t="shared" si="159"/>
        <v>4622.9574193548387</v>
      </c>
      <c r="F3496" s="112">
        <f>SUM(C3496:E3496)+0.01</f>
        <v>12824.160322580645</v>
      </c>
      <c r="G3496" s="40"/>
    </row>
    <row r="3497" spans="1:7" ht="12.75" hidden="1" customHeight="1">
      <c r="A3497" s="77" t="s">
        <v>346</v>
      </c>
      <c r="B3497" s="95">
        <f>SUM(B3491:B3496)</f>
        <v>31</v>
      </c>
      <c r="C3497" s="108">
        <f>42723.7</f>
        <v>42723.7</v>
      </c>
      <c r="D3497" s="108">
        <f>8104.8+2174.19+34605.2+39510.6</f>
        <v>84394.79</v>
      </c>
      <c r="E3497" s="108">
        <f>71655.84</f>
        <v>71655.839999999997</v>
      </c>
      <c r="F3497" s="207">
        <f>SUM(C3497:E3497)</f>
        <v>198774.33</v>
      </c>
      <c r="G3497" s="40"/>
    </row>
    <row r="3498" spans="1:7" s="116" customFormat="1" ht="12.75" hidden="1" customHeight="1">
      <c r="A3498" s="151" t="s">
        <v>712</v>
      </c>
      <c r="B3498" s="235"/>
      <c r="C3498" s="236"/>
      <c r="D3498" s="236"/>
      <c r="E3498" s="236"/>
      <c r="F3498" s="236"/>
      <c r="G3498" s="90"/>
    </row>
    <row r="3499" spans="1:7" s="116" customFormat="1" ht="12.75" hidden="1" customHeight="1">
      <c r="A3499" s="151"/>
      <c r="B3499" s="235"/>
      <c r="C3499" s="236"/>
      <c r="D3499" s="236"/>
      <c r="E3499" s="236"/>
      <c r="F3499" s="236"/>
      <c r="G3499" s="90"/>
    </row>
    <row r="3500" spans="1:7" s="116" customFormat="1" ht="12.75" hidden="1" customHeight="1">
      <c r="A3500" s="151"/>
      <c r="B3500" s="235"/>
      <c r="C3500" s="236"/>
      <c r="D3500" s="236"/>
      <c r="E3500" s="236"/>
      <c r="F3500" s="236"/>
      <c r="G3500" s="90"/>
    </row>
    <row r="3501" spans="1:7" s="116" customFormat="1" ht="12.75" hidden="1" customHeight="1">
      <c r="A3501" s="269" t="s">
        <v>699</v>
      </c>
      <c r="B3501" s="269"/>
      <c r="C3501" s="269"/>
      <c r="D3501" s="269"/>
      <c r="E3501" s="269"/>
      <c r="F3501" s="269"/>
      <c r="G3501" s="90"/>
    </row>
    <row r="3502" spans="1:7" s="116" customFormat="1" ht="12.75" hidden="1" customHeight="1">
      <c r="A3502" s="42" t="s">
        <v>86</v>
      </c>
      <c r="B3502" s="43" t="s">
        <v>87</v>
      </c>
      <c r="C3502" s="43" t="s">
        <v>88</v>
      </c>
      <c r="D3502" s="43" t="s">
        <v>89</v>
      </c>
      <c r="E3502" s="43" t="s">
        <v>90</v>
      </c>
      <c r="F3502" s="43" t="s">
        <v>91</v>
      </c>
      <c r="G3502" s="90"/>
    </row>
    <row r="3503" spans="1:7" s="116" customFormat="1" ht="12.75" hidden="1" customHeight="1">
      <c r="A3503" s="39" t="s">
        <v>284</v>
      </c>
      <c r="B3503" s="43"/>
      <c r="C3503" s="44"/>
      <c r="D3503" s="44"/>
      <c r="E3503" s="44"/>
      <c r="F3503" s="44"/>
    </row>
    <row r="3504" spans="1:7" ht="12.75" hidden="1" customHeight="1">
      <c r="A3504" s="39" t="s">
        <v>285</v>
      </c>
      <c r="B3504" s="43"/>
      <c r="C3504" s="44"/>
      <c r="D3504" s="44"/>
      <c r="E3504" s="44"/>
      <c r="F3504" s="44"/>
    </row>
    <row r="3505" spans="1:6" ht="12.75" hidden="1" customHeight="1">
      <c r="A3505" s="39" t="s">
        <v>286</v>
      </c>
      <c r="B3505" s="43"/>
      <c r="C3505" s="44"/>
      <c r="D3505" s="44"/>
      <c r="E3505" s="44"/>
      <c r="F3505" s="44"/>
    </row>
    <row r="3506" spans="1:6" ht="12.75" hidden="1" customHeight="1">
      <c r="A3506" s="39" t="s">
        <v>287</v>
      </c>
      <c r="B3506" s="43"/>
      <c r="C3506" s="44"/>
      <c r="D3506" s="44"/>
      <c r="E3506" s="44"/>
      <c r="F3506" s="44"/>
    </row>
    <row r="3507" spans="1:6" ht="12.75" hidden="1" customHeight="1">
      <c r="A3507" s="39" t="s">
        <v>288</v>
      </c>
      <c r="B3507" s="43"/>
      <c r="C3507" s="44"/>
      <c r="D3507" s="44"/>
      <c r="E3507" s="44"/>
      <c r="F3507" s="44"/>
    </row>
    <row r="3508" spans="1:6" ht="12.75" hidden="1" customHeight="1">
      <c r="A3508" s="39" t="s">
        <v>289</v>
      </c>
      <c r="B3508" s="43"/>
      <c r="C3508" s="44"/>
      <c r="D3508" s="44"/>
      <c r="E3508" s="44"/>
      <c r="F3508" s="44"/>
    </row>
    <row r="3509" spans="1:6" ht="12.75" hidden="1" customHeight="1">
      <c r="A3509" s="39" t="s">
        <v>290</v>
      </c>
      <c r="B3509" s="43"/>
      <c r="C3509" s="44"/>
      <c r="D3509" s="44"/>
      <c r="E3509" s="44"/>
      <c r="F3509" s="44"/>
    </row>
    <row r="3510" spans="1:6" ht="12.75" hidden="1" customHeight="1">
      <c r="A3510" s="39" t="s">
        <v>291</v>
      </c>
      <c r="B3510" s="43"/>
      <c r="C3510" s="44"/>
      <c r="D3510" s="44"/>
      <c r="E3510" s="44"/>
      <c r="F3510" s="44"/>
    </row>
    <row r="3511" spans="1:6" ht="12.75" hidden="1" customHeight="1">
      <c r="A3511" s="39" t="s">
        <v>292</v>
      </c>
      <c r="B3511" s="43"/>
      <c r="C3511" s="44"/>
      <c r="D3511" s="44"/>
      <c r="E3511" s="44"/>
      <c r="F3511" s="44"/>
    </row>
    <row r="3512" spans="1:6" ht="12.75" hidden="1" customHeight="1">
      <c r="A3512" s="39" t="s">
        <v>293</v>
      </c>
      <c r="B3512" s="43"/>
      <c r="C3512" s="44"/>
      <c r="D3512" s="44"/>
      <c r="E3512" s="44"/>
      <c r="F3512" s="44"/>
    </row>
    <row r="3513" spans="1:6" ht="12.75" hidden="1" customHeight="1">
      <c r="A3513" s="39" t="s">
        <v>30</v>
      </c>
      <c r="B3513" s="45"/>
      <c r="C3513" s="44"/>
      <c r="D3513" s="44"/>
      <c r="E3513" s="44"/>
      <c r="F3513" s="44"/>
    </row>
    <row r="3514" spans="1:6" ht="12.75" hidden="1" customHeight="1">
      <c r="A3514" s="39" t="s">
        <v>294</v>
      </c>
      <c r="B3514" s="43">
        <v>18.5</v>
      </c>
      <c r="C3514" s="66">
        <f>B3514/B$3570*C$3570</f>
        <v>29317.845872340426</v>
      </c>
      <c r="D3514" s="66">
        <f t="shared" ref="D3514:E3514" si="160">C3514/C$3570*D$3570</f>
        <v>40928.661574468089</v>
      </c>
      <c r="E3514" s="66">
        <f t="shared" si="160"/>
        <v>20443.586382978723</v>
      </c>
      <c r="F3514" s="44">
        <f>SUM(C3514:E3514)</f>
        <v>90690.093829787234</v>
      </c>
    </row>
    <row r="3515" spans="1:6" ht="12.75" hidden="1" customHeight="1">
      <c r="A3515" s="39" t="s">
        <v>31</v>
      </c>
      <c r="B3515" s="43"/>
      <c r="C3515" s="44">
        <f t="shared" ref="C3515:E3515" si="161">B3515/B$3570*C$3570</f>
        <v>0</v>
      </c>
      <c r="D3515" s="44">
        <f t="shared" si="161"/>
        <v>0</v>
      </c>
      <c r="E3515" s="44">
        <f t="shared" si="161"/>
        <v>0</v>
      </c>
      <c r="F3515" s="44">
        <f t="shared" ref="F3515:F3552" si="162">SUM(C3515:E3515)</f>
        <v>0</v>
      </c>
    </row>
    <row r="3516" spans="1:6" ht="12.75" hidden="1" customHeight="1">
      <c r="A3516" s="39" t="s">
        <v>295</v>
      </c>
      <c r="B3516" s="43"/>
      <c r="C3516" s="44">
        <f t="shared" ref="C3516:E3516" si="163">B3516/B$3570*C$3570</f>
        <v>0</v>
      </c>
      <c r="D3516" s="44">
        <f t="shared" si="163"/>
        <v>0</v>
      </c>
      <c r="E3516" s="44">
        <f t="shared" si="163"/>
        <v>0</v>
      </c>
      <c r="F3516" s="44">
        <f t="shared" si="162"/>
        <v>0</v>
      </c>
    </row>
    <row r="3517" spans="1:6" ht="12.75" hidden="1" customHeight="1">
      <c r="A3517" s="39" t="s">
        <v>296</v>
      </c>
      <c r="B3517" s="41"/>
      <c r="C3517" s="44">
        <f t="shared" ref="C3517:E3517" si="164">B3517/B$3570*C$3570</f>
        <v>0</v>
      </c>
      <c r="D3517" s="44">
        <f t="shared" si="164"/>
        <v>0</v>
      </c>
      <c r="E3517" s="44">
        <f t="shared" si="164"/>
        <v>0</v>
      </c>
      <c r="F3517" s="44">
        <f t="shared" si="162"/>
        <v>0</v>
      </c>
    </row>
    <row r="3518" spans="1:6" ht="12.75" hidden="1" customHeight="1">
      <c r="A3518" s="39" t="s">
        <v>297</v>
      </c>
      <c r="B3518" s="43"/>
      <c r="C3518" s="44">
        <f t="shared" ref="C3518:E3518" si="165">B3518/B$3570*C$3570</f>
        <v>0</v>
      </c>
      <c r="D3518" s="44">
        <f t="shared" si="165"/>
        <v>0</v>
      </c>
      <c r="E3518" s="44">
        <f t="shared" si="165"/>
        <v>0</v>
      </c>
      <c r="F3518" s="44">
        <f t="shared" si="162"/>
        <v>0</v>
      </c>
    </row>
    <row r="3519" spans="1:6" ht="12.75" hidden="1" customHeight="1">
      <c r="A3519" s="39" t="s">
        <v>492</v>
      </c>
      <c r="B3519" s="43"/>
      <c r="C3519" s="44">
        <f t="shared" ref="C3519:E3519" si="166">B3519/B$3570*C$3570</f>
        <v>0</v>
      </c>
      <c r="D3519" s="44">
        <f t="shared" si="166"/>
        <v>0</v>
      </c>
      <c r="E3519" s="44">
        <f t="shared" si="166"/>
        <v>0</v>
      </c>
      <c r="F3519" s="44">
        <f t="shared" si="162"/>
        <v>0</v>
      </c>
    </row>
    <row r="3520" spans="1:6" ht="12.75" hidden="1" customHeight="1">
      <c r="A3520" s="39" t="s">
        <v>299</v>
      </c>
      <c r="B3520" s="43"/>
      <c r="C3520" s="44">
        <f t="shared" ref="C3520:E3520" si="167">B3520/B$3570*C$3570</f>
        <v>0</v>
      </c>
      <c r="D3520" s="44">
        <f t="shared" si="167"/>
        <v>0</v>
      </c>
      <c r="E3520" s="44">
        <f t="shared" si="167"/>
        <v>0</v>
      </c>
      <c r="F3520" s="44">
        <f t="shared" si="162"/>
        <v>0</v>
      </c>
    </row>
    <row r="3521" spans="1:6" ht="12.75" hidden="1" customHeight="1">
      <c r="A3521" s="39" t="s">
        <v>300</v>
      </c>
      <c r="B3521" s="45"/>
      <c r="C3521" s="44">
        <f t="shared" ref="C3521:E3521" si="168">B3521/B$3570*C$3570</f>
        <v>0</v>
      </c>
      <c r="D3521" s="44">
        <f t="shared" si="168"/>
        <v>0</v>
      </c>
      <c r="E3521" s="44">
        <f t="shared" si="168"/>
        <v>0</v>
      </c>
      <c r="F3521" s="44">
        <f t="shared" si="162"/>
        <v>0</v>
      </c>
    </row>
    <row r="3522" spans="1:6" ht="12.75" hidden="1" customHeight="1">
      <c r="A3522" s="39" t="s">
        <v>301</v>
      </c>
      <c r="B3522" s="43">
        <v>20.5</v>
      </c>
      <c r="C3522" s="66">
        <f t="shared" ref="C3522:E3522" si="169">B3522/B$3570*C$3570</f>
        <v>32487.342723404257</v>
      </c>
      <c r="D3522" s="66">
        <f t="shared" si="169"/>
        <v>45353.381744680853</v>
      </c>
      <c r="E3522" s="66">
        <f t="shared" si="169"/>
        <v>22653.703829787235</v>
      </c>
      <c r="F3522" s="44">
        <f t="shared" si="162"/>
        <v>100494.42829787235</v>
      </c>
    </row>
    <row r="3523" spans="1:6" ht="12.75" hidden="1" customHeight="1">
      <c r="A3523" s="39" t="s">
        <v>32</v>
      </c>
      <c r="B3523" s="43"/>
      <c r="C3523" s="44">
        <f t="shared" ref="C3523:E3523" si="170">B3523/B$3570*C$3570</f>
        <v>0</v>
      </c>
      <c r="D3523" s="44">
        <f t="shared" si="170"/>
        <v>0</v>
      </c>
      <c r="E3523" s="44">
        <f t="shared" si="170"/>
        <v>0</v>
      </c>
      <c r="F3523" s="44">
        <f t="shared" si="162"/>
        <v>0</v>
      </c>
    </row>
    <row r="3524" spans="1:6" ht="12.75" hidden="1" customHeight="1">
      <c r="A3524" s="58" t="s">
        <v>32</v>
      </c>
      <c r="B3524" s="43">
        <v>104</v>
      </c>
      <c r="C3524" s="181">
        <f t="shared" ref="C3524:E3524" si="171">B3524/B$3570*C$3570</f>
        <v>164813.83625531915</v>
      </c>
      <c r="D3524" s="181">
        <f t="shared" si="171"/>
        <v>230085.44885106385</v>
      </c>
      <c r="E3524" s="181">
        <f t="shared" si="171"/>
        <v>114926.10723404256</v>
      </c>
      <c r="F3524" s="44">
        <f t="shared" si="162"/>
        <v>509825.39234042558</v>
      </c>
    </row>
    <row r="3525" spans="1:6" ht="12.75" hidden="1" customHeight="1">
      <c r="A3525" s="39" t="s">
        <v>407</v>
      </c>
      <c r="B3525" s="45"/>
      <c r="C3525" s="44">
        <f t="shared" ref="C3525:E3525" si="172">B3525/B$3570*C$3570</f>
        <v>0</v>
      </c>
      <c r="D3525" s="44">
        <f t="shared" si="172"/>
        <v>0</v>
      </c>
      <c r="E3525" s="44">
        <f t="shared" si="172"/>
        <v>0</v>
      </c>
      <c r="F3525" s="44">
        <f t="shared" si="162"/>
        <v>0</v>
      </c>
    </row>
    <row r="3526" spans="1:6" ht="12.75" hidden="1" customHeight="1">
      <c r="A3526" s="39" t="s">
        <v>489</v>
      </c>
      <c r="B3526" s="45"/>
      <c r="C3526" s="44">
        <f t="shared" ref="C3526:E3526" si="173">B3526/B$3570*C$3570</f>
        <v>0</v>
      </c>
      <c r="D3526" s="44">
        <f t="shared" si="173"/>
        <v>0</v>
      </c>
      <c r="E3526" s="44">
        <f t="shared" si="173"/>
        <v>0</v>
      </c>
      <c r="F3526" s="44">
        <f t="shared" si="162"/>
        <v>0</v>
      </c>
    </row>
    <row r="3527" spans="1:6" ht="12.75" hidden="1" customHeight="1">
      <c r="A3527" s="39" t="s">
        <v>532</v>
      </c>
      <c r="B3527" s="43"/>
      <c r="C3527" s="44">
        <f t="shared" ref="C3527:E3527" si="174">B3527/B$3570*C$3570</f>
        <v>0</v>
      </c>
      <c r="D3527" s="44">
        <f t="shared" si="174"/>
        <v>0</v>
      </c>
      <c r="E3527" s="44">
        <f t="shared" si="174"/>
        <v>0</v>
      </c>
      <c r="F3527" s="44">
        <f t="shared" si="162"/>
        <v>0</v>
      </c>
    </row>
    <row r="3528" spans="1:6" ht="12.75" hidden="1" customHeight="1">
      <c r="A3528" s="39" t="s">
        <v>304</v>
      </c>
      <c r="B3528" s="43"/>
      <c r="C3528" s="44">
        <f t="shared" ref="C3528:E3528" si="175">B3528/B$3570*C$3570</f>
        <v>0</v>
      </c>
      <c r="D3528" s="44">
        <f t="shared" si="175"/>
        <v>0</v>
      </c>
      <c r="E3528" s="44">
        <f t="shared" si="175"/>
        <v>0</v>
      </c>
      <c r="F3528" s="44">
        <f t="shared" si="162"/>
        <v>0</v>
      </c>
    </row>
    <row r="3529" spans="1:6" ht="12.75" hidden="1" customHeight="1">
      <c r="A3529" s="39" t="s">
        <v>34</v>
      </c>
      <c r="B3529" s="43"/>
      <c r="C3529" s="44">
        <f t="shared" ref="C3529:E3529" si="176">B3529/B$3570*C$3570</f>
        <v>0</v>
      </c>
      <c r="D3529" s="44">
        <f t="shared" si="176"/>
        <v>0</v>
      </c>
      <c r="E3529" s="44">
        <f t="shared" si="176"/>
        <v>0</v>
      </c>
      <c r="F3529" s="44">
        <f t="shared" si="162"/>
        <v>0</v>
      </c>
    </row>
    <row r="3530" spans="1:6" ht="12.75" hidden="1" customHeight="1">
      <c r="A3530" s="39" t="s">
        <v>35</v>
      </c>
      <c r="B3530" s="43"/>
      <c r="C3530" s="44">
        <f t="shared" ref="C3530:E3530" si="177">B3530/B$3570*C$3570</f>
        <v>0</v>
      </c>
      <c r="D3530" s="44">
        <f t="shared" si="177"/>
        <v>0</v>
      </c>
      <c r="E3530" s="44">
        <f t="shared" si="177"/>
        <v>0</v>
      </c>
      <c r="F3530" s="44">
        <f t="shared" si="162"/>
        <v>0</v>
      </c>
    </row>
    <row r="3531" spans="1:6" ht="12.75" hidden="1" customHeight="1">
      <c r="A3531" s="39" t="s">
        <v>305</v>
      </c>
      <c r="B3531" s="43"/>
      <c r="C3531" s="44">
        <f t="shared" ref="C3531:E3531" si="178">B3531/B$3570*C$3570</f>
        <v>0</v>
      </c>
      <c r="D3531" s="44">
        <f t="shared" si="178"/>
        <v>0</v>
      </c>
      <c r="E3531" s="44">
        <f t="shared" si="178"/>
        <v>0</v>
      </c>
      <c r="F3531" s="44">
        <f t="shared" si="162"/>
        <v>0</v>
      </c>
    </row>
    <row r="3532" spans="1:6" ht="12.75" hidden="1" customHeight="1">
      <c r="A3532" s="39" t="s">
        <v>306</v>
      </c>
      <c r="B3532" s="45"/>
      <c r="C3532" s="44">
        <f t="shared" ref="C3532:E3532" si="179">B3532/B$3570*C$3570</f>
        <v>0</v>
      </c>
      <c r="D3532" s="44">
        <f t="shared" si="179"/>
        <v>0</v>
      </c>
      <c r="E3532" s="44">
        <f t="shared" si="179"/>
        <v>0</v>
      </c>
      <c r="F3532" s="44">
        <f t="shared" si="162"/>
        <v>0</v>
      </c>
    </row>
    <row r="3533" spans="1:6" ht="12.75" hidden="1" customHeight="1">
      <c r="A3533" s="39" t="s">
        <v>36</v>
      </c>
      <c r="B3533" s="43">
        <v>49.5</v>
      </c>
      <c r="C3533" s="66">
        <f t="shared" ref="C3533:E3533" si="180">B3533/B$3570*C$3570</f>
        <v>78445.047063829785</v>
      </c>
      <c r="D3533" s="66">
        <f t="shared" si="180"/>
        <v>109511.82421276596</v>
      </c>
      <c r="E3533" s="66">
        <f t="shared" si="180"/>
        <v>54700.406808510634</v>
      </c>
      <c r="F3533" s="44">
        <f t="shared" si="162"/>
        <v>242657.27808510637</v>
      </c>
    </row>
    <row r="3534" spans="1:6" ht="12.75" hidden="1" customHeight="1">
      <c r="A3534" s="39" t="s">
        <v>37</v>
      </c>
      <c r="B3534" s="45"/>
      <c r="C3534" s="44">
        <f t="shared" ref="C3534:E3534" si="181">B3534/B$3570*C$3570</f>
        <v>0</v>
      </c>
      <c r="D3534" s="44">
        <f t="shared" si="181"/>
        <v>0</v>
      </c>
      <c r="E3534" s="44">
        <f t="shared" si="181"/>
        <v>0</v>
      </c>
      <c r="F3534" s="44">
        <f t="shared" si="162"/>
        <v>0</v>
      </c>
    </row>
    <row r="3535" spans="1:6" ht="12.75" hidden="1" customHeight="1">
      <c r="A3535" s="58" t="s">
        <v>691</v>
      </c>
      <c r="B3535" s="45">
        <v>22</v>
      </c>
      <c r="C3535" s="181">
        <f t="shared" ref="C3535:E3535" si="182">B3535/B$3570*C$3570</f>
        <v>34864.465361702125</v>
      </c>
      <c r="D3535" s="181">
        <f t="shared" si="182"/>
        <v>48671.921872340426</v>
      </c>
      <c r="E3535" s="181">
        <f t="shared" si="182"/>
        <v>24311.291914893616</v>
      </c>
      <c r="F3535" s="44">
        <f t="shared" si="162"/>
        <v>107847.67914893616</v>
      </c>
    </row>
    <row r="3536" spans="1:6" ht="12.75" hidden="1" customHeight="1">
      <c r="A3536" s="39" t="s">
        <v>690</v>
      </c>
      <c r="B3536" s="45"/>
      <c r="C3536" s="44">
        <f t="shared" ref="C3536:E3536" si="183">B3536/B$3570*C$3570</f>
        <v>0</v>
      </c>
      <c r="D3536" s="44">
        <f t="shared" si="183"/>
        <v>0</v>
      </c>
      <c r="E3536" s="44">
        <f t="shared" si="183"/>
        <v>0</v>
      </c>
      <c r="F3536" s="44">
        <f t="shared" si="162"/>
        <v>0</v>
      </c>
    </row>
    <row r="3537" spans="1:6" ht="12.75" hidden="1" customHeight="1">
      <c r="A3537" s="58" t="s">
        <v>38</v>
      </c>
      <c r="B3537" s="43">
        <v>10.5</v>
      </c>
      <c r="C3537" s="181">
        <f t="shared" ref="C3537:E3537" si="184">B3537/B$3570*C$3570</f>
        <v>16639.858468085109</v>
      </c>
      <c r="D3537" s="181">
        <f t="shared" si="184"/>
        <v>23229.780893617026</v>
      </c>
      <c r="E3537" s="181">
        <f t="shared" si="184"/>
        <v>11603.116595744683</v>
      </c>
      <c r="F3537" s="44">
        <f t="shared" si="162"/>
        <v>51472.755957446818</v>
      </c>
    </row>
    <row r="3538" spans="1:6" ht="12.75" hidden="1" customHeight="1">
      <c r="A3538" s="39" t="s">
        <v>307</v>
      </c>
      <c r="B3538" s="43"/>
      <c r="C3538" s="44">
        <f t="shared" ref="C3538:E3538" si="185">B3538/B$3570*C$3570</f>
        <v>0</v>
      </c>
      <c r="D3538" s="44">
        <f t="shared" si="185"/>
        <v>0</v>
      </c>
      <c r="E3538" s="44">
        <f t="shared" si="185"/>
        <v>0</v>
      </c>
      <c r="F3538" s="44">
        <f t="shared" si="162"/>
        <v>0</v>
      </c>
    </row>
    <row r="3539" spans="1:6" ht="12.75" hidden="1" customHeight="1">
      <c r="A3539" s="39" t="s">
        <v>308</v>
      </c>
      <c r="B3539" s="43"/>
      <c r="C3539" s="44">
        <f t="shared" ref="C3539:E3539" si="186">B3539/B$3570*C$3570</f>
        <v>0</v>
      </c>
      <c r="D3539" s="44">
        <f t="shared" si="186"/>
        <v>0</v>
      </c>
      <c r="E3539" s="44">
        <f t="shared" si="186"/>
        <v>0</v>
      </c>
      <c r="F3539" s="44">
        <f t="shared" si="162"/>
        <v>0</v>
      </c>
    </row>
    <row r="3540" spans="1:6" ht="12.75" hidden="1" customHeight="1">
      <c r="A3540" s="39" t="s">
        <v>39</v>
      </c>
      <c r="B3540" s="45"/>
      <c r="C3540" s="44">
        <f t="shared" ref="C3540:E3540" si="187">B3540/B$3570*C$3570</f>
        <v>0</v>
      </c>
      <c r="D3540" s="44">
        <f t="shared" si="187"/>
        <v>0</v>
      </c>
      <c r="E3540" s="44">
        <f t="shared" si="187"/>
        <v>0</v>
      </c>
      <c r="F3540" s="44">
        <f t="shared" si="162"/>
        <v>0</v>
      </c>
    </row>
    <row r="3541" spans="1:6" ht="12.75" hidden="1" customHeight="1">
      <c r="A3541" s="39" t="s">
        <v>40</v>
      </c>
      <c r="B3541" s="43"/>
      <c r="C3541" s="44">
        <f t="shared" ref="C3541:E3541" si="188">B3541/B$3570*C$3570</f>
        <v>0</v>
      </c>
      <c r="D3541" s="44">
        <f t="shared" si="188"/>
        <v>0</v>
      </c>
      <c r="E3541" s="44">
        <f t="shared" si="188"/>
        <v>0</v>
      </c>
      <c r="F3541" s="44">
        <f t="shared" si="162"/>
        <v>0</v>
      </c>
    </row>
    <row r="3542" spans="1:6" ht="12.75" hidden="1" customHeight="1">
      <c r="A3542" s="39" t="s">
        <v>41</v>
      </c>
      <c r="B3542" s="43"/>
      <c r="C3542" s="44">
        <f t="shared" ref="C3542:E3542" si="189">B3542/B$3570*C$3570</f>
        <v>0</v>
      </c>
      <c r="D3542" s="44">
        <f t="shared" si="189"/>
        <v>0</v>
      </c>
      <c r="E3542" s="44">
        <f t="shared" si="189"/>
        <v>0</v>
      </c>
      <c r="F3542" s="44">
        <f t="shared" si="162"/>
        <v>0</v>
      </c>
    </row>
    <row r="3543" spans="1:6" ht="12.75" hidden="1" customHeight="1">
      <c r="A3543" s="39" t="s">
        <v>309</v>
      </c>
      <c r="B3543" s="45"/>
      <c r="C3543" s="44">
        <f t="shared" ref="C3543:E3543" si="190">B3543/B$3570*C$3570</f>
        <v>0</v>
      </c>
      <c r="D3543" s="44">
        <f t="shared" si="190"/>
        <v>0</v>
      </c>
      <c r="E3543" s="44">
        <f t="shared" si="190"/>
        <v>0</v>
      </c>
      <c r="F3543" s="44">
        <f t="shared" si="162"/>
        <v>0</v>
      </c>
    </row>
    <row r="3544" spans="1:6" ht="12.75" hidden="1" customHeight="1">
      <c r="A3544" s="39" t="s">
        <v>310</v>
      </c>
      <c r="B3544" s="45"/>
      <c r="C3544" s="44">
        <f t="shared" ref="C3544:E3544" si="191">B3544/B$3570*C$3570</f>
        <v>0</v>
      </c>
      <c r="D3544" s="44">
        <f t="shared" si="191"/>
        <v>0</v>
      </c>
      <c r="E3544" s="44">
        <f t="shared" si="191"/>
        <v>0</v>
      </c>
      <c r="F3544" s="44">
        <f t="shared" si="162"/>
        <v>0</v>
      </c>
    </row>
    <row r="3545" spans="1:6" ht="12.75" hidden="1" customHeight="1">
      <c r="A3545" s="39" t="s">
        <v>311</v>
      </c>
      <c r="B3545" s="43"/>
      <c r="C3545" s="44">
        <f t="shared" ref="C3545:E3545" si="192">B3545/B$3570*C$3570</f>
        <v>0</v>
      </c>
      <c r="D3545" s="44">
        <f t="shared" si="192"/>
        <v>0</v>
      </c>
      <c r="E3545" s="44">
        <f t="shared" si="192"/>
        <v>0</v>
      </c>
      <c r="F3545" s="44">
        <f t="shared" si="162"/>
        <v>0</v>
      </c>
    </row>
    <row r="3546" spans="1:6" ht="12.75" hidden="1" customHeight="1">
      <c r="A3546" s="39" t="s">
        <v>312</v>
      </c>
      <c r="B3546" s="43"/>
      <c r="C3546" s="44">
        <f t="shared" ref="C3546:E3546" si="193">B3546/B$3570*C$3570</f>
        <v>0</v>
      </c>
      <c r="D3546" s="44">
        <f t="shared" si="193"/>
        <v>0</v>
      </c>
      <c r="E3546" s="44">
        <f t="shared" si="193"/>
        <v>0</v>
      </c>
      <c r="F3546" s="44">
        <f t="shared" si="162"/>
        <v>0</v>
      </c>
    </row>
    <row r="3547" spans="1:6" ht="12.75" hidden="1" customHeight="1">
      <c r="A3547" s="39" t="s">
        <v>313</v>
      </c>
      <c r="B3547" s="45"/>
      <c r="C3547" s="44">
        <f t="shared" ref="C3547:E3547" si="194">B3547/B$3570*C$3570</f>
        <v>0</v>
      </c>
      <c r="D3547" s="44">
        <f t="shared" si="194"/>
        <v>0</v>
      </c>
      <c r="E3547" s="44">
        <f t="shared" si="194"/>
        <v>0</v>
      </c>
      <c r="F3547" s="44">
        <f t="shared" si="162"/>
        <v>0</v>
      </c>
    </row>
    <row r="3548" spans="1:6" ht="12.75" hidden="1" customHeight="1">
      <c r="A3548" s="39" t="s">
        <v>314</v>
      </c>
      <c r="B3548" s="45"/>
      <c r="C3548" s="44">
        <f t="shared" ref="C3548:E3548" si="195">B3548/B$3570*C$3570</f>
        <v>0</v>
      </c>
      <c r="D3548" s="44">
        <f t="shared" si="195"/>
        <v>0</v>
      </c>
      <c r="E3548" s="44">
        <f t="shared" si="195"/>
        <v>0</v>
      </c>
      <c r="F3548" s="44">
        <f t="shared" si="162"/>
        <v>0</v>
      </c>
    </row>
    <row r="3549" spans="1:6" ht="12.75" hidden="1" customHeight="1">
      <c r="A3549" s="39" t="s">
        <v>315</v>
      </c>
      <c r="B3549" s="43"/>
      <c r="C3549" s="44">
        <f t="shared" ref="C3549:E3549" si="196">B3549/B$3570*C$3570</f>
        <v>0</v>
      </c>
      <c r="D3549" s="44">
        <f t="shared" si="196"/>
        <v>0</v>
      </c>
      <c r="E3549" s="44">
        <f t="shared" si="196"/>
        <v>0</v>
      </c>
      <c r="F3549" s="44">
        <f t="shared" si="162"/>
        <v>0</v>
      </c>
    </row>
    <row r="3550" spans="1:6" ht="12.75" hidden="1" customHeight="1">
      <c r="A3550" s="39" t="s">
        <v>316</v>
      </c>
      <c r="B3550" s="45"/>
      <c r="C3550" s="44">
        <f t="shared" ref="C3550:E3550" si="197">B3550/B$3570*C$3570</f>
        <v>0</v>
      </c>
      <c r="D3550" s="44">
        <f t="shared" si="197"/>
        <v>0</v>
      </c>
      <c r="E3550" s="44">
        <f t="shared" si="197"/>
        <v>0</v>
      </c>
      <c r="F3550" s="44">
        <f t="shared" si="162"/>
        <v>0</v>
      </c>
    </row>
    <row r="3551" spans="1:6" ht="12.75" hidden="1" customHeight="1">
      <c r="A3551" s="39" t="s">
        <v>317</v>
      </c>
      <c r="B3551" s="45"/>
      <c r="C3551" s="44">
        <f t="shared" ref="C3551:E3551" si="198">B3551/B$3570*C$3570</f>
        <v>0</v>
      </c>
      <c r="D3551" s="44">
        <f t="shared" si="198"/>
        <v>0</v>
      </c>
      <c r="E3551" s="44">
        <f t="shared" si="198"/>
        <v>0</v>
      </c>
      <c r="F3551" s="44">
        <f t="shared" si="162"/>
        <v>0</v>
      </c>
    </row>
    <row r="3552" spans="1:6" ht="12.75" hidden="1" customHeight="1">
      <c r="A3552" s="39" t="s">
        <v>318</v>
      </c>
      <c r="B3552" s="45">
        <v>10</v>
      </c>
      <c r="C3552" s="66">
        <f t="shared" ref="C3552:E3552" si="199">B3552/B$3570*C$3570</f>
        <v>15847.484255319148</v>
      </c>
      <c r="D3552" s="66">
        <f t="shared" si="199"/>
        <v>22123.600851063828</v>
      </c>
      <c r="E3552" s="66">
        <f t="shared" si="199"/>
        <v>11050.587234042552</v>
      </c>
      <c r="F3552" s="44">
        <f t="shared" si="162"/>
        <v>49021.672340425532</v>
      </c>
    </row>
    <row r="3553" spans="1:6" ht="12.75" hidden="1" customHeight="1">
      <c r="A3553" s="46" t="s">
        <v>319</v>
      </c>
      <c r="B3553" s="45"/>
      <c r="C3553" s="44"/>
      <c r="D3553" s="44"/>
      <c r="E3553" s="44"/>
      <c r="F3553" s="44"/>
    </row>
    <row r="3554" spans="1:6" ht="12.75" hidden="1" customHeight="1">
      <c r="A3554" s="46" t="s">
        <v>320</v>
      </c>
      <c r="B3554" s="45"/>
      <c r="C3554" s="44"/>
      <c r="D3554" s="44"/>
      <c r="E3554" s="44"/>
      <c r="F3554" s="44"/>
    </row>
    <row r="3555" spans="1:6" ht="12.75" hidden="1" customHeight="1">
      <c r="A3555" s="46" t="s">
        <v>321</v>
      </c>
      <c r="B3555" s="45"/>
      <c r="C3555" s="44"/>
      <c r="D3555" s="44"/>
      <c r="E3555" s="44"/>
      <c r="F3555" s="44"/>
    </row>
    <row r="3556" spans="1:6" ht="12.75" hidden="1" customHeight="1">
      <c r="A3556" s="46" t="s">
        <v>322</v>
      </c>
      <c r="B3556" s="45"/>
      <c r="C3556" s="44"/>
      <c r="D3556" s="44"/>
      <c r="E3556" s="44"/>
      <c r="F3556" s="44"/>
    </row>
    <row r="3557" spans="1:6" ht="12.75" hidden="1" customHeight="1">
      <c r="A3557" s="46" t="s">
        <v>323</v>
      </c>
      <c r="B3557" s="45"/>
      <c r="C3557" s="44"/>
      <c r="D3557" s="44"/>
      <c r="E3557" s="44"/>
      <c r="F3557" s="44"/>
    </row>
    <row r="3558" spans="1:6" ht="12.75" hidden="1" customHeight="1">
      <c r="A3558" s="46" t="s">
        <v>324</v>
      </c>
      <c r="B3558" s="45"/>
      <c r="C3558" s="44"/>
      <c r="D3558" s="44"/>
      <c r="E3558" s="44"/>
      <c r="F3558" s="44"/>
    </row>
    <row r="3559" spans="1:6" ht="12.75" hidden="1" customHeight="1">
      <c r="A3559" s="46" t="s">
        <v>325</v>
      </c>
      <c r="B3559" s="45"/>
      <c r="C3559" s="44"/>
      <c r="D3559" s="44"/>
      <c r="E3559" s="44"/>
      <c r="F3559" s="44"/>
    </row>
    <row r="3560" spans="1:6" ht="12.75" hidden="1" customHeight="1">
      <c r="A3560" s="46" t="s">
        <v>326</v>
      </c>
      <c r="B3560" s="45"/>
      <c r="C3560" s="44"/>
      <c r="D3560" s="44"/>
      <c r="E3560" s="44"/>
      <c r="F3560" s="44"/>
    </row>
    <row r="3561" spans="1:6" ht="12.75" hidden="1" customHeight="1">
      <c r="A3561" s="46" t="s">
        <v>327</v>
      </c>
      <c r="B3561" s="45"/>
      <c r="C3561" s="44"/>
      <c r="D3561" s="44"/>
      <c r="E3561" s="44"/>
      <c r="F3561" s="44"/>
    </row>
    <row r="3562" spans="1:6" ht="12.75" hidden="1" customHeight="1">
      <c r="A3562" s="46" t="s">
        <v>328</v>
      </c>
      <c r="B3562" s="45"/>
      <c r="C3562" s="44"/>
      <c r="D3562" s="44"/>
      <c r="E3562" s="44"/>
      <c r="F3562" s="44"/>
    </row>
    <row r="3563" spans="1:6" ht="12.75" hidden="1" customHeight="1">
      <c r="A3563" s="46" t="s">
        <v>329</v>
      </c>
      <c r="B3563" s="47"/>
      <c r="C3563" s="44"/>
      <c r="D3563" s="44"/>
      <c r="E3563" s="44"/>
      <c r="F3563" s="44"/>
    </row>
    <row r="3564" spans="1:6" ht="12.75" hidden="1" customHeight="1">
      <c r="A3564" s="46" t="s">
        <v>490</v>
      </c>
      <c r="B3564" s="176"/>
      <c r="C3564" s="44"/>
      <c r="D3564" s="44"/>
      <c r="E3564" s="44"/>
      <c r="F3564" s="44"/>
    </row>
    <row r="3565" spans="1:6" ht="12.75" hidden="1" customHeight="1">
      <c r="A3565" s="46" t="s">
        <v>493</v>
      </c>
      <c r="B3565" s="176"/>
      <c r="C3565" s="44"/>
      <c r="D3565" s="44"/>
      <c r="E3565" s="44"/>
      <c r="F3565" s="44"/>
    </row>
    <row r="3566" spans="1:6" ht="12.75" hidden="1" customHeight="1">
      <c r="A3566" s="46" t="s">
        <v>495</v>
      </c>
      <c r="B3566" s="176"/>
      <c r="C3566" s="44"/>
      <c r="D3566" s="44"/>
      <c r="E3566" s="44"/>
      <c r="F3566" s="44"/>
    </row>
    <row r="3567" spans="1:6" ht="12.75" hidden="1" customHeight="1">
      <c r="A3567" s="46" t="s">
        <v>496</v>
      </c>
      <c r="B3567" s="176"/>
      <c r="C3567" s="44"/>
      <c r="D3567" s="44"/>
      <c r="E3567" s="44"/>
      <c r="F3567" s="44"/>
    </row>
    <row r="3568" spans="1:6" ht="12.75" hidden="1" customHeight="1">
      <c r="A3568" s="46" t="s">
        <v>498</v>
      </c>
      <c r="B3568" s="176"/>
      <c r="C3568" s="44"/>
      <c r="D3568" s="44"/>
      <c r="E3568" s="44"/>
      <c r="F3568" s="44"/>
    </row>
    <row r="3569" spans="1:7" ht="12.75" hidden="1" customHeight="1">
      <c r="A3569" s="46" t="s">
        <v>330</v>
      </c>
      <c r="B3569" s="47"/>
      <c r="C3569" s="44"/>
      <c r="D3569" s="44"/>
      <c r="E3569" s="44"/>
      <c r="F3569" s="44"/>
      <c r="G3569" s="107"/>
    </row>
    <row r="3570" spans="1:7" ht="12.75" hidden="1" customHeight="1">
      <c r="A3570" s="48" t="s">
        <v>150</v>
      </c>
      <c r="B3570" s="48">
        <f>SUM(B3503:B3569)</f>
        <v>235</v>
      </c>
      <c r="C3570" s="49">
        <v>372415.88</v>
      </c>
      <c r="D3570" s="240">
        <f>33988.3+321958.6+74301.22+78681.3+10975.2</f>
        <v>519904.62</v>
      </c>
      <c r="E3570" s="50">
        <f>259688.8</f>
        <v>259688.8</v>
      </c>
      <c r="F3570" s="50">
        <f>SUM(C3570:E3570)</f>
        <v>1152009.3</v>
      </c>
      <c r="G3570" s="40"/>
    </row>
    <row r="3571" spans="1:7" ht="12.75" hidden="1" customHeight="1">
      <c r="A3571" s="51"/>
      <c r="B3571" s="52"/>
      <c r="C3571" s="51"/>
      <c r="D3571" s="51"/>
      <c r="E3571" s="52"/>
      <c r="F3571" s="51"/>
      <c r="G3571" s="40"/>
    </row>
    <row r="3572" spans="1:7" ht="12.75" hidden="1" customHeight="1">
      <c r="A3572" s="51"/>
      <c r="B3572" s="52"/>
      <c r="C3572" s="51"/>
      <c r="D3572" s="51"/>
      <c r="E3572" s="52"/>
      <c r="F3572" s="51"/>
      <c r="G3572" s="40"/>
    </row>
    <row r="3573" spans="1:7" ht="12.75" hidden="1" customHeight="1">
      <c r="A3573" s="269" t="s">
        <v>700</v>
      </c>
      <c r="B3573" s="269"/>
      <c r="C3573" s="269"/>
      <c r="D3573" s="269"/>
      <c r="E3573" s="269"/>
      <c r="F3573" s="269"/>
      <c r="G3573" s="40"/>
    </row>
    <row r="3574" spans="1:7" ht="12.75" hidden="1" customHeight="1">
      <c r="A3574" s="43" t="s">
        <v>86</v>
      </c>
      <c r="B3574" s="43" t="s">
        <v>87</v>
      </c>
      <c r="C3574" s="43" t="s">
        <v>88</v>
      </c>
      <c r="D3574" s="43" t="s">
        <v>89</v>
      </c>
      <c r="E3574" s="43" t="s">
        <v>90</v>
      </c>
      <c r="F3574" s="45" t="s">
        <v>152</v>
      </c>
      <c r="G3574" s="43" t="s">
        <v>91</v>
      </c>
    </row>
    <row r="3575" spans="1:7" ht="12.75" hidden="1" customHeight="1">
      <c r="A3575" s="39" t="s">
        <v>153</v>
      </c>
      <c r="B3575" s="43"/>
      <c r="C3575" s="42"/>
      <c r="D3575" s="42"/>
      <c r="E3575" s="42"/>
      <c r="F3575" s="45"/>
      <c r="G3575" s="42"/>
    </row>
    <row r="3576" spans="1:7" ht="12.75" hidden="1" customHeight="1">
      <c r="A3576" s="39" t="s">
        <v>714</v>
      </c>
      <c r="B3576" s="43">
        <v>6</v>
      </c>
      <c r="C3576" s="53">
        <f>B3576/B$3658*C$3658</f>
        <v>7162.4193364928915</v>
      </c>
      <c r="D3576" s="53">
        <f t="shared" ref="D3576:E3576" si="200">C3576/C$3658*D$3658</f>
        <v>9559.5063507109007</v>
      </c>
      <c r="E3576" s="53">
        <f t="shared" si="200"/>
        <v>3346.6665402843605</v>
      </c>
      <c r="F3576" s="45"/>
      <c r="G3576" s="42">
        <f>SUM(C3576:F3576)</f>
        <v>20068.592227488152</v>
      </c>
    </row>
    <row r="3577" spans="1:7" ht="12.75" hidden="1" customHeight="1">
      <c r="A3577" s="39" t="s">
        <v>155</v>
      </c>
      <c r="B3577" s="43"/>
      <c r="C3577" s="42">
        <f t="shared" ref="C3577:E3577" si="201">B3577/B$3658*C$3658</f>
        <v>0</v>
      </c>
      <c r="D3577" s="42">
        <f t="shared" si="201"/>
        <v>0</v>
      </c>
      <c r="E3577" s="42">
        <f t="shared" si="201"/>
        <v>0</v>
      </c>
      <c r="F3577" s="45"/>
      <c r="G3577" s="42">
        <f t="shared" ref="G3577:G3640" si="202">SUM(C3577:F3577)</f>
        <v>0</v>
      </c>
    </row>
    <row r="3578" spans="1:7" ht="12.75" hidden="1" customHeight="1">
      <c r="A3578" s="39" t="s">
        <v>156</v>
      </c>
      <c r="B3578" s="43"/>
      <c r="C3578" s="42">
        <f t="shared" ref="C3578:E3578" si="203">B3578/B$3658*C$3658</f>
        <v>0</v>
      </c>
      <c r="D3578" s="42">
        <f t="shared" si="203"/>
        <v>0</v>
      </c>
      <c r="E3578" s="42">
        <f t="shared" si="203"/>
        <v>0</v>
      </c>
      <c r="F3578" s="45"/>
      <c r="G3578" s="42">
        <f t="shared" si="202"/>
        <v>0</v>
      </c>
    </row>
    <row r="3579" spans="1:7" ht="12.75" hidden="1" customHeight="1">
      <c r="A3579" s="39" t="s">
        <v>3</v>
      </c>
      <c r="B3579" s="43"/>
      <c r="C3579" s="42">
        <f t="shared" ref="C3579:E3579" si="204">B3579/B$3658*C$3658</f>
        <v>0</v>
      </c>
      <c r="D3579" s="42">
        <f t="shared" si="204"/>
        <v>0</v>
      </c>
      <c r="E3579" s="42">
        <f t="shared" si="204"/>
        <v>0</v>
      </c>
      <c r="F3579" s="45"/>
      <c r="G3579" s="42">
        <f t="shared" si="202"/>
        <v>0</v>
      </c>
    </row>
    <row r="3580" spans="1:7" ht="12.75" hidden="1" customHeight="1">
      <c r="A3580" s="39" t="s">
        <v>4</v>
      </c>
      <c r="B3580" s="43"/>
      <c r="C3580" s="42">
        <f t="shared" ref="C3580:E3580" si="205">B3580/B$3658*C$3658</f>
        <v>0</v>
      </c>
      <c r="D3580" s="42">
        <f t="shared" si="205"/>
        <v>0</v>
      </c>
      <c r="E3580" s="42">
        <f t="shared" si="205"/>
        <v>0</v>
      </c>
      <c r="F3580" s="45"/>
      <c r="G3580" s="42">
        <f t="shared" si="202"/>
        <v>0</v>
      </c>
    </row>
    <row r="3581" spans="1:7" ht="12.75" hidden="1" customHeight="1">
      <c r="A3581" s="39" t="s">
        <v>5</v>
      </c>
      <c r="B3581" s="43"/>
      <c r="C3581" s="42">
        <f t="shared" ref="C3581:E3581" si="206">B3581/B$3658*C$3658</f>
        <v>0</v>
      </c>
      <c r="D3581" s="42">
        <f t="shared" si="206"/>
        <v>0</v>
      </c>
      <c r="E3581" s="42">
        <f t="shared" si="206"/>
        <v>0</v>
      </c>
      <c r="F3581" s="45"/>
      <c r="G3581" s="42">
        <f t="shared" si="202"/>
        <v>0</v>
      </c>
    </row>
    <row r="3582" spans="1:7" ht="12.75" hidden="1" customHeight="1">
      <c r="A3582" s="39" t="s">
        <v>157</v>
      </c>
      <c r="B3582" s="43"/>
      <c r="C3582" s="42">
        <f t="shared" ref="C3582:E3582" si="207">B3582/B$3658*C$3658</f>
        <v>0</v>
      </c>
      <c r="D3582" s="42">
        <f t="shared" si="207"/>
        <v>0</v>
      </c>
      <c r="E3582" s="42">
        <f t="shared" si="207"/>
        <v>0</v>
      </c>
      <c r="F3582" s="57"/>
      <c r="G3582" s="42">
        <f t="shared" si="202"/>
        <v>0</v>
      </c>
    </row>
    <row r="3583" spans="1:7" ht="12.75" hidden="1" customHeight="1">
      <c r="A3583" s="39" t="s">
        <v>669</v>
      </c>
      <c r="B3583" s="43"/>
      <c r="C3583" s="42">
        <f t="shared" ref="C3583:E3583" si="208">B3583/B$3658*C$3658</f>
        <v>0</v>
      </c>
      <c r="D3583" s="42">
        <f t="shared" si="208"/>
        <v>0</v>
      </c>
      <c r="E3583" s="42">
        <f t="shared" si="208"/>
        <v>0</v>
      </c>
      <c r="F3583" s="57"/>
      <c r="G3583" s="42">
        <f t="shared" si="202"/>
        <v>0</v>
      </c>
    </row>
    <row r="3584" spans="1:7" ht="12.75" hidden="1" customHeight="1">
      <c r="A3584" s="39" t="s">
        <v>159</v>
      </c>
      <c r="B3584" s="43"/>
      <c r="C3584" s="42">
        <f t="shared" ref="C3584:E3584" si="209">B3584/B$3658*C$3658</f>
        <v>0</v>
      </c>
      <c r="D3584" s="42">
        <f t="shared" si="209"/>
        <v>0</v>
      </c>
      <c r="E3584" s="42">
        <f t="shared" si="209"/>
        <v>0</v>
      </c>
      <c r="F3584" s="57"/>
      <c r="G3584" s="42">
        <f t="shared" si="202"/>
        <v>0</v>
      </c>
    </row>
    <row r="3585" spans="1:7" ht="12.75" hidden="1" customHeight="1">
      <c r="A3585" s="143" t="s">
        <v>680</v>
      </c>
      <c r="B3585" s="43">
        <v>21</v>
      </c>
      <c r="C3585" s="53">
        <f t="shared" ref="C3585:E3585" si="210">B3585/B$3658*C$3658</f>
        <v>25068.467677725119</v>
      </c>
      <c r="D3585" s="53">
        <f t="shared" si="210"/>
        <v>33458.272227488153</v>
      </c>
      <c r="E3585" s="53">
        <f t="shared" si="210"/>
        <v>11713.332890995262</v>
      </c>
      <c r="F3585" s="57">
        <f>B3585/39.5*F3658</f>
        <v>14554.32911392405</v>
      </c>
      <c r="G3585" s="42">
        <f t="shared" si="202"/>
        <v>84794.401910132568</v>
      </c>
    </row>
    <row r="3586" spans="1:7" ht="12.75" hidden="1" customHeight="1">
      <c r="A3586" s="39" t="s">
        <v>616</v>
      </c>
      <c r="B3586" s="43">
        <v>10.5</v>
      </c>
      <c r="C3586" s="53">
        <f t="shared" ref="C3586:E3586" si="211">B3586/B$3658*C$3658</f>
        <v>12534.233838862559</v>
      </c>
      <c r="D3586" s="53">
        <f t="shared" si="211"/>
        <v>16729.136113744076</v>
      </c>
      <c r="E3586" s="53">
        <f t="shared" si="211"/>
        <v>5856.6664454976308</v>
      </c>
      <c r="F3586" s="57"/>
      <c r="G3586" s="42">
        <f t="shared" si="202"/>
        <v>35120.036398104261</v>
      </c>
    </row>
    <row r="3587" spans="1:7" ht="12.75" hidden="1" customHeight="1">
      <c r="A3587" s="39" t="s">
        <v>616</v>
      </c>
      <c r="B3587" s="43"/>
      <c r="C3587" s="42">
        <f t="shared" ref="C3587:E3587" si="212">B3587/B$3658*C$3658</f>
        <v>0</v>
      </c>
      <c r="D3587" s="42">
        <f t="shared" si="212"/>
        <v>0</v>
      </c>
      <c r="E3587" s="42">
        <f t="shared" si="212"/>
        <v>0</v>
      </c>
      <c r="F3587" s="57"/>
      <c r="G3587" s="42">
        <f t="shared" si="202"/>
        <v>0</v>
      </c>
    </row>
    <row r="3588" spans="1:7" ht="12.75" hidden="1" customHeight="1">
      <c r="A3588" s="39" t="s">
        <v>6</v>
      </c>
      <c r="B3588" s="43"/>
      <c r="C3588" s="42">
        <f t="shared" ref="C3588:E3588" si="213">B3588/B$3658*C$3658</f>
        <v>0</v>
      </c>
      <c r="D3588" s="42">
        <f t="shared" si="213"/>
        <v>0</v>
      </c>
      <c r="E3588" s="42">
        <f t="shared" si="213"/>
        <v>0</v>
      </c>
      <c r="F3588" s="57"/>
      <c r="G3588" s="42">
        <f t="shared" si="202"/>
        <v>0</v>
      </c>
    </row>
    <row r="3589" spans="1:7" ht="12.75" hidden="1" customHeight="1">
      <c r="A3589" s="39" t="s">
        <v>7</v>
      </c>
      <c r="B3589" s="43"/>
      <c r="C3589" s="42">
        <f t="shared" ref="C3589:E3589" si="214">B3589/B$3658*C$3658</f>
        <v>0</v>
      </c>
      <c r="D3589" s="42">
        <f t="shared" si="214"/>
        <v>0</v>
      </c>
      <c r="E3589" s="42">
        <f t="shared" si="214"/>
        <v>0</v>
      </c>
      <c r="F3589" s="57"/>
      <c r="G3589" s="42">
        <f t="shared" si="202"/>
        <v>0</v>
      </c>
    </row>
    <row r="3590" spans="1:7" ht="12.75" hidden="1" customHeight="1">
      <c r="A3590" s="39" t="s">
        <v>162</v>
      </c>
      <c r="B3590" s="43"/>
      <c r="C3590" s="42">
        <f t="shared" ref="C3590:E3590" si="215">B3590/B$3658*C$3658</f>
        <v>0</v>
      </c>
      <c r="D3590" s="42">
        <f t="shared" si="215"/>
        <v>0</v>
      </c>
      <c r="E3590" s="42">
        <f t="shared" si="215"/>
        <v>0</v>
      </c>
      <c r="F3590" s="57"/>
      <c r="G3590" s="42">
        <f t="shared" si="202"/>
        <v>0</v>
      </c>
    </row>
    <row r="3591" spans="1:7" ht="12.75" hidden="1" customHeight="1">
      <c r="A3591" s="39" t="s">
        <v>401</v>
      </c>
      <c r="B3591" s="45"/>
      <c r="C3591" s="42">
        <f t="shared" ref="C3591:E3591" si="216">B3591/B$3658*C$3658</f>
        <v>0</v>
      </c>
      <c r="D3591" s="42">
        <f t="shared" si="216"/>
        <v>0</v>
      </c>
      <c r="E3591" s="42">
        <f t="shared" si="216"/>
        <v>0</v>
      </c>
      <c r="F3591" s="57"/>
      <c r="G3591" s="42">
        <f t="shared" si="202"/>
        <v>0</v>
      </c>
    </row>
    <row r="3592" spans="1:7" ht="12.75" hidden="1" customHeight="1">
      <c r="A3592" s="39" t="s">
        <v>402</v>
      </c>
      <c r="B3592" s="45"/>
      <c r="C3592" s="42">
        <f t="shared" ref="C3592:E3592" si="217">B3592/B$3658*C$3658</f>
        <v>0</v>
      </c>
      <c r="D3592" s="42">
        <f t="shared" si="217"/>
        <v>0</v>
      </c>
      <c r="E3592" s="42">
        <f t="shared" si="217"/>
        <v>0</v>
      </c>
      <c r="F3592" s="57"/>
      <c r="G3592" s="42">
        <f t="shared" si="202"/>
        <v>0</v>
      </c>
    </row>
    <row r="3593" spans="1:7" ht="12.75" hidden="1" customHeight="1">
      <c r="A3593" s="39" t="s">
        <v>604</v>
      </c>
      <c r="B3593" s="43">
        <v>22.5</v>
      </c>
      <c r="C3593" s="53">
        <f t="shared" ref="C3593:E3593" si="218">B3593/B$3658*C$3658</f>
        <v>26859.072511848339</v>
      </c>
      <c r="D3593" s="53">
        <f t="shared" si="218"/>
        <v>35848.14881516587</v>
      </c>
      <c r="E3593" s="53">
        <f t="shared" si="218"/>
        <v>12549.999526066351</v>
      </c>
      <c r="F3593" s="57"/>
      <c r="G3593" s="42">
        <f t="shared" si="202"/>
        <v>75257.220853080566</v>
      </c>
    </row>
    <row r="3594" spans="1:7" ht="12.75" hidden="1" customHeight="1">
      <c r="A3594" s="39" t="s">
        <v>605</v>
      </c>
      <c r="B3594" s="43"/>
      <c r="C3594" s="42">
        <f t="shared" ref="C3594:E3594" si="219">B3594/B$3658*C$3658</f>
        <v>0</v>
      </c>
      <c r="D3594" s="42">
        <f t="shared" si="219"/>
        <v>0</v>
      </c>
      <c r="E3594" s="42">
        <f t="shared" si="219"/>
        <v>0</v>
      </c>
      <c r="F3594" s="57"/>
      <c r="G3594" s="42">
        <f t="shared" si="202"/>
        <v>0</v>
      </c>
    </row>
    <row r="3595" spans="1:7" ht="12.75" hidden="1" customHeight="1">
      <c r="A3595" s="39" t="s">
        <v>605</v>
      </c>
      <c r="B3595" s="43"/>
      <c r="C3595" s="42">
        <f t="shared" ref="C3595:E3595" si="220">B3595/B$3658*C$3658</f>
        <v>0</v>
      </c>
      <c r="D3595" s="42">
        <f t="shared" si="220"/>
        <v>0</v>
      </c>
      <c r="E3595" s="42">
        <f t="shared" si="220"/>
        <v>0</v>
      </c>
      <c r="F3595" s="57"/>
      <c r="G3595" s="42">
        <f t="shared" si="202"/>
        <v>0</v>
      </c>
    </row>
    <row r="3596" spans="1:7" ht="12.75" hidden="1" customHeight="1">
      <c r="A3596" s="39" t="s">
        <v>617</v>
      </c>
      <c r="B3596" s="43"/>
      <c r="C3596" s="42">
        <f t="shared" ref="C3596:E3596" si="221">B3596/B$3658*C$3658</f>
        <v>0</v>
      </c>
      <c r="D3596" s="42">
        <f t="shared" si="221"/>
        <v>0</v>
      </c>
      <c r="E3596" s="42">
        <f t="shared" si="221"/>
        <v>0</v>
      </c>
      <c r="F3596" s="57"/>
      <c r="G3596" s="42">
        <f t="shared" si="202"/>
        <v>0</v>
      </c>
    </row>
    <row r="3597" spans="1:7" ht="12.75" hidden="1" customHeight="1">
      <c r="A3597" s="39" t="s">
        <v>11</v>
      </c>
      <c r="B3597" s="43"/>
      <c r="C3597" s="42">
        <f t="shared" ref="C3597:E3597" si="222">B3597/B$3658*C$3658</f>
        <v>0</v>
      </c>
      <c r="D3597" s="42">
        <f t="shared" si="222"/>
        <v>0</v>
      </c>
      <c r="E3597" s="42">
        <f t="shared" si="222"/>
        <v>0</v>
      </c>
      <c r="F3597" s="57"/>
      <c r="G3597" s="42">
        <f t="shared" si="202"/>
        <v>0</v>
      </c>
    </row>
    <row r="3598" spans="1:7" ht="12.75" hidden="1" customHeight="1">
      <c r="A3598" s="39" t="s">
        <v>164</v>
      </c>
      <c r="B3598" s="43"/>
      <c r="C3598" s="42">
        <f t="shared" ref="C3598:E3598" si="223">B3598/B$3658*C$3658</f>
        <v>0</v>
      </c>
      <c r="D3598" s="42">
        <f t="shared" si="223"/>
        <v>0</v>
      </c>
      <c r="E3598" s="42">
        <f t="shared" si="223"/>
        <v>0</v>
      </c>
      <c r="F3598" s="57"/>
      <c r="G3598" s="42">
        <f t="shared" si="202"/>
        <v>0</v>
      </c>
    </row>
    <row r="3599" spans="1:7" ht="12.75" hidden="1" customHeight="1">
      <c r="A3599" s="39" t="s">
        <v>606</v>
      </c>
      <c r="B3599" s="43">
        <v>33.5</v>
      </c>
      <c r="C3599" s="53">
        <f t="shared" ref="C3599:E3599" si="224">B3599/B$3658*C$3658</f>
        <v>39990.174628751978</v>
      </c>
      <c r="D3599" s="53">
        <f t="shared" si="224"/>
        <v>53373.910458135862</v>
      </c>
      <c r="E3599" s="53">
        <f t="shared" si="224"/>
        <v>18685.554849921013</v>
      </c>
      <c r="F3599" s="57"/>
      <c r="G3599" s="42">
        <f t="shared" si="202"/>
        <v>112049.63993680886</v>
      </c>
    </row>
    <row r="3600" spans="1:7" ht="12.75" hidden="1" customHeight="1">
      <c r="A3600" s="39" t="s">
        <v>505</v>
      </c>
      <c r="B3600" s="43"/>
      <c r="C3600" s="42">
        <f t="shared" ref="C3600:E3600" si="225">B3600/B$3658*C$3658</f>
        <v>0</v>
      </c>
      <c r="D3600" s="42">
        <f t="shared" si="225"/>
        <v>0</v>
      </c>
      <c r="E3600" s="42">
        <f t="shared" si="225"/>
        <v>0</v>
      </c>
      <c r="F3600" s="57"/>
      <c r="G3600" s="42">
        <f t="shared" si="202"/>
        <v>0</v>
      </c>
    </row>
    <row r="3601" spans="1:7" ht="12.75" hidden="1" customHeight="1">
      <c r="A3601" s="39" t="s">
        <v>166</v>
      </c>
      <c r="B3601" s="43"/>
      <c r="C3601" s="42">
        <f t="shared" ref="C3601:E3601" si="226">B3601/B$3658*C$3658</f>
        <v>0</v>
      </c>
      <c r="D3601" s="42">
        <f t="shared" si="226"/>
        <v>0</v>
      </c>
      <c r="E3601" s="42">
        <f t="shared" si="226"/>
        <v>0</v>
      </c>
      <c r="F3601" s="57"/>
      <c r="G3601" s="42">
        <f t="shared" si="202"/>
        <v>0</v>
      </c>
    </row>
    <row r="3602" spans="1:7" ht="12.75" hidden="1" customHeight="1">
      <c r="A3602" s="39" t="s">
        <v>679</v>
      </c>
      <c r="B3602" s="43">
        <v>10.5</v>
      </c>
      <c r="C3602" s="53">
        <f t="shared" ref="C3602:E3602" si="227">B3602/B$3658*C$3658</f>
        <v>12534.233838862559</v>
      </c>
      <c r="D3602" s="53">
        <f t="shared" si="227"/>
        <v>16729.136113744076</v>
      </c>
      <c r="E3602" s="53">
        <f t="shared" si="227"/>
        <v>5856.6664454976308</v>
      </c>
      <c r="F3602" s="57"/>
      <c r="G3602" s="42">
        <f t="shared" si="202"/>
        <v>35120.036398104261</v>
      </c>
    </row>
    <row r="3603" spans="1:7" ht="12.75" hidden="1" customHeight="1">
      <c r="A3603" s="39" t="s">
        <v>168</v>
      </c>
      <c r="B3603" s="43"/>
      <c r="C3603" s="42">
        <f t="shared" ref="C3603:E3603" si="228">B3603/B$3658*C$3658</f>
        <v>0</v>
      </c>
      <c r="D3603" s="42">
        <f t="shared" si="228"/>
        <v>0</v>
      </c>
      <c r="E3603" s="42">
        <f t="shared" si="228"/>
        <v>0</v>
      </c>
      <c r="F3603" s="57"/>
      <c r="G3603" s="42">
        <f t="shared" si="202"/>
        <v>0</v>
      </c>
    </row>
    <row r="3604" spans="1:7" ht="12.75" hidden="1" customHeight="1">
      <c r="A3604" s="39" t="s">
        <v>169</v>
      </c>
      <c r="B3604" s="43"/>
      <c r="C3604" s="42">
        <f t="shared" ref="C3604:E3604" si="229">B3604/B$3658*C$3658</f>
        <v>0</v>
      </c>
      <c r="D3604" s="42">
        <f t="shared" si="229"/>
        <v>0</v>
      </c>
      <c r="E3604" s="42">
        <f t="shared" si="229"/>
        <v>0</v>
      </c>
      <c r="F3604" s="57"/>
      <c r="G3604" s="42">
        <f t="shared" si="202"/>
        <v>0</v>
      </c>
    </row>
    <row r="3605" spans="1:7" ht="12.75" hidden="1" customHeight="1">
      <c r="A3605" s="39" t="s">
        <v>170</v>
      </c>
      <c r="B3605" s="43"/>
      <c r="C3605" s="42">
        <f t="shared" ref="C3605:E3605" si="230">B3605/B$3658*C$3658</f>
        <v>0</v>
      </c>
      <c r="D3605" s="42">
        <f t="shared" si="230"/>
        <v>0</v>
      </c>
      <c r="E3605" s="42">
        <f t="shared" si="230"/>
        <v>0</v>
      </c>
      <c r="F3605" s="57"/>
      <c r="G3605" s="42">
        <f t="shared" si="202"/>
        <v>0</v>
      </c>
    </row>
    <row r="3606" spans="1:7" ht="12.75" hidden="1" customHeight="1">
      <c r="A3606" s="39" t="s">
        <v>171</v>
      </c>
      <c r="B3606" s="43"/>
      <c r="C3606" s="42">
        <f t="shared" ref="C3606:E3606" si="231">B3606/B$3658*C$3658</f>
        <v>0</v>
      </c>
      <c r="D3606" s="42">
        <f t="shared" si="231"/>
        <v>0</v>
      </c>
      <c r="E3606" s="42">
        <f t="shared" si="231"/>
        <v>0</v>
      </c>
      <c r="F3606" s="57"/>
      <c r="G3606" s="42">
        <f t="shared" si="202"/>
        <v>0</v>
      </c>
    </row>
    <row r="3607" spans="1:7" ht="12.75" hidden="1" customHeight="1">
      <c r="A3607" s="39" t="s">
        <v>607</v>
      </c>
      <c r="B3607" s="45"/>
      <c r="C3607" s="42">
        <f t="shared" ref="C3607:E3607" si="232">B3607/B$3658*C$3658</f>
        <v>0</v>
      </c>
      <c r="D3607" s="42">
        <f t="shared" si="232"/>
        <v>0</v>
      </c>
      <c r="E3607" s="42">
        <f t="shared" si="232"/>
        <v>0</v>
      </c>
      <c r="F3607" s="57"/>
      <c r="G3607" s="42">
        <f t="shared" si="202"/>
        <v>0</v>
      </c>
    </row>
    <row r="3608" spans="1:7" ht="12.75" hidden="1" customHeight="1">
      <c r="A3608" s="39" t="s">
        <v>670</v>
      </c>
      <c r="B3608" s="43"/>
      <c r="C3608" s="42">
        <f t="shared" ref="C3608:E3608" si="233">B3608/B$3658*C$3658</f>
        <v>0</v>
      </c>
      <c r="D3608" s="42">
        <f t="shared" si="233"/>
        <v>0</v>
      </c>
      <c r="E3608" s="42">
        <f t="shared" si="233"/>
        <v>0</v>
      </c>
      <c r="F3608" s="57"/>
      <c r="G3608" s="42">
        <f t="shared" si="202"/>
        <v>0</v>
      </c>
    </row>
    <row r="3609" spans="1:7" ht="12.75" hidden="1" customHeight="1">
      <c r="A3609" s="39" t="s">
        <v>716</v>
      </c>
      <c r="B3609" s="43">
        <v>10.5</v>
      </c>
      <c r="C3609" s="53">
        <f t="shared" ref="C3609:E3609" si="234">B3609/B$3658*C$3658</f>
        <v>12534.233838862559</v>
      </c>
      <c r="D3609" s="53">
        <f t="shared" si="234"/>
        <v>16729.136113744076</v>
      </c>
      <c r="E3609" s="53">
        <f t="shared" si="234"/>
        <v>5856.6664454976308</v>
      </c>
      <c r="F3609" s="57"/>
      <c r="G3609" s="42">
        <f t="shared" si="202"/>
        <v>35120.036398104261</v>
      </c>
    </row>
    <row r="3610" spans="1:7" ht="12.75" hidden="1" customHeight="1">
      <c r="A3610" s="39" t="s">
        <v>610</v>
      </c>
      <c r="B3610" s="43"/>
      <c r="C3610" s="42">
        <f t="shared" ref="C3610:E3610" si="235">B3610/B$3658*C$3658</f>
        <v>0</v>
      </c>
      <c r="D3610" s="42">
        <f t="shared" si="235"/>
        <v>0</v>
      </c>
      <c r="E3610" s="42">
        <f t="shared" si="235"/>
        <v>0</v>
      </c>
      <c r="F3610" s="57"/>
      <c r="G3610" s="42">
        <f t="shared" si="202"/>
        <v>0</v>
      </c>
    </row>
    <row r="3611" spans="1:7" ht="12.75" hidden="1" customHeight="1">
      <c r="A3611" s="39" t="s">
        <v>610</v>
      </c>
      <c r="B3611" s="43">
        <v>22</v>
      </c>
      <c r="C3611" s="53">
        <f t="shared" ref="C3611:E3611" si="236">B3611/B$3658*C$3658</f>
        <v>26262.204233807268</v>
      </c>
      <c r="D3611" s="53">
        <f t="shared" si="236"/>
        <v>35051.523285939969</v>
      </c>
      <c r="E3611" s="53">
        <f t="shared" si="236"/>
        <v>12271.110647709322</v>
      </c>
      <c r="F3611" s="57"/>
      <c r="G3611" s="42">
        <f t="shared" si="202"/>
        <v>73584.838167456561</v>
      </c>
    </row>
    <row r="3612" spans="1:7" ht="12.75" hidden="1" customHeight="1">
      <c r="A3612" s="39" t="s">
        <v>609</v>
      </c>
      <c r="B3612" s="43"/>
      <c r="C3612" s="42">
        <f t="shared" ref="C3612:E3612" si="237">B3612/B$3658*C$3658</f>
        <v>0</v>
      </c>
      <c r="D3612" s="42">
        <f t="shared" si="237"/>
        <v>0</v>
      </c>
      <c r="E3612" s="42">
        <f t="shared" si="237"/>
        <v>0</v>
      </c>
      <c r="F3612" s="57"/>
      <c r="G3612" s="42">
        <f t="shared" si="202"/>
        <v>0</v>
      </c>
    </row>
    <row r="3613" spans="1:7" ht="12.75" hidden="1" customHeight="1">
      <c r="A3613" s="39" t="s">
        <v>609</v>
      </c>
      <c r="B3613" s="43"/>
      <c r="C3613" s="42">
        <f t="shared" ref="C3613:E3613" si="238">B3613/B$3658*C$3658</f>
        <v>0</v>
      </c>
      <c r="D3613" s="42">
        <f t="shared" si="238"/>
        <v>0</v>
      </c>
      <c r="E3613" s="42">
        <f t="shared" si="238"/>
        <v>0</v>
      </c>
      <c r="F3613" s="57"/>
      <c r="G3613" s="42">
        <f t="shared" si="202"/>
        <v>0</v>
      </c>
    </row>
    <row r="3614" spans="1:7" ht="12.75" hidden="1" customHeight="1">
      <c r="A3614" s="39" t="s">
        <v>16</v>
      </c>
      <c r="B3614" s="43"/>
      <c r="C3614" s="42">
        <f t="shared" ref="C3614:E3614" si="239">B3614/B$3658*C$3658</f>
        <v>0</v>
      </c>
      <c r="D3614" s="42">
        <f t="shared" si="239"/>
        <v>0</v>
      </c>
      <c r="E3614" s="42">
        <f t="shared" si="239"/>
        <v>0</v>
      </c>
      <c r="F3614" s="57"/>
      <c r="G3614" s="42">
        <f t="shared" si="202"/>
        <v>0</v>
      </c>
    </row>
    <row r="3615" spans="1:7" ht="12.75" hidden="1" customHeight="1">
      <c r="A3615" s="39" t="s">
        <v>173</v>
      </c>
      <c r="B3615" s="43"/>
      <c r="C3615" s="42">
        <f t="shared" ref="C3615:E3615" si="240">B3615/B$3658*C$3658</f>
        <v>0</v>
      </c>
      <c r="D3615" s="42">
        <f t="shared" si="240"/>
        <v>0</v>
      </c>
      <c r="E3615" s="42">
        <f t="shared" si="240"/>
        <v>0</v>
      </c>
      <c r="F3615" s="57"/>
      <c r="G3615" s="42">
        <f t="shared" si="202"/>
        <v>0</v>
      </c>
    </row>
    <row r="3616" spans="1:7" ht="12.75" hidden="1" customHeight="1">
      <c r="A3616" s="39" t="s">
        <v>672</v>
      </c>
      <c r="B3616" s="45">
        <v>10.5</v>
      </c>
      <c r="C3616" s="53">
        <f t="shared" ref="C3616:E3616" si="241">B3616/B$3658*C$3658</f>
        <v>12534.233838862559</v>
      </c>
      <c r="D3616" s="53">
        <f t="shared" si="241"/>
        <v>16729.136113744076</v>
      </c>
      <c r="E3616" s="53">
        <f t="shared" si="241"/>
        <v>5856.6664454976308</v>
      </c>
      <c r="F3616" s="57"/>
      <c r="G3616" s="42">
        <f t="shared" si="202"/>
        <v>35120.036398104261</v>
      </c>
    </row>
    <row r="3617" spans="1:7" ht="12.75" hidden="1" customHeight="1">
      <c r="A3617" s="143" t="s">
        <v>677</v>
      </c>
      <c r="B3617" s="45">
        <v>2.5</v>
      </c>
      <c r="C3617" s="53">
        <f t="shared" ref="C3617:E3617" si="242">B3617/B$3658*C$3658</f>
        <v>2984.3413902053712</v>
      </c>
      <c r="D3617" s="53">
        <f t="shared" si="242"/>
        <v>3983.1276461295415</v>
      </c>
      <c r="E3617" s="53">
        <f t="shared" si="242"/>
        <v>1394.4443917851499</v>
      </c>
      <c r="F3617" s="57">
        <f>B3617/39.5*F3658</f>
        <v>1732.6582278481014</v>
      </c>
      <c r="G3617" s="42">
        <f t="shared" si="202"/>
        <v>10094.571655968164</v>
      </c>
    </row>
    <row r="3618" spans="1:7" ht="12.75" hidden="1" customHeight="1">
      <c r="A3618" s="39" t="s">
        <v>611</v>
      </c>
      <c r="B3618" s="43"/>
      <c r="C3618" s="42">
        <f t="shared" ref="C3618:E3618" si="243">B3618/B$3658*C$3658</f>
        <v>0</v>
      </c>
      <c r="D3618" s="42">
        <f t="shared" si="243"/>
        <v>0</v>
      </c>
      <c r="E3618" s="42">
        <f t="shared" si="243"/>
        <v>0</v>
      </c>
      <c r="F3618" s="57"/>
      <c r="G3618" s="42">
        <f t="shared" si="202"/>
        <v>0</v>
      </c>
    </row>
    <row r="3619" spans="1:7" ht="12.75" hidden="1" customHeight="1">
      <c r="A3619" s="58" t="s">
        <v>611</v>
      </c>
      <c r="B3619" s="59">
        <v>10</v>
      </c>
      <c r="C3619" s="60">
        <f t="shared" ref="C3619:E3619" si="244">B3619/B$3658*C$3658</f>
        <v>11937.365560821485</v>
      </c>
      <c r="D3619" s="60">
        <f t="shared" si="244"/>
        <v>15932.510584518166</v>
      </c>
      <c r="E3619" s="60">
        <f t="shared" si="244"/>
        <v>5577.7775671405998</v>
      </c>
      <c r="F3619" s="61"/>
      <c r="G3619" s="60">
        <f t="shared" si="202"/>
        <v>33447.653712480249</v>
      </c>
    </row>
    <row r="3620" spans="1:7" ht="12.75" hidden="1" customHeight="1">
      <c r="A3620" s="39" t="s">
        <v>673</v>
      </c>
      <c r="B3620" s="43"/>
      <c r="C3620" s="42">
        <f t="shared" ref="C3620:E3620" si="245">B3620/B$3658*C$3658</f>
        <v>0</v>
      </c>
      <c r="D3620" s="42">
        <f t="shared" si="245"/>
        <v>0</v>
      </c>
      <c r="E3620" s="42">
        <f t="shared" si="245"/>
        <v>0</v>
      </c>
      <c r="F3620" s="57"/>
      <c r="G3620" s="42">
        <f t="shared" si="202"/>
        <v>0</v>
      </c>
    </row>
    <row r="3621" spans="1:7" ht="12.75" hidden="1" customHeight="1">
      <c r="A3621" s="49" t="s">
        <v>618</v>
      </c>
      <c r="B3621" s="43"/>
      <c r="C3621" s="42">
        <f t="shared" ref="C3621:E3621" si="246">B3621/B$3658*C$3658</f>
        <v>0</v>
      </c>
      <c r="D3621" s="42">
        <f t="shared" si="246"/>
        <v>0</v>
      </c>
      <c r="E3621" s="42">
        <f t="shared" si="246"/>
        <v>0</v>
      </c>
      <c r="F3621" s="57"/>
      <c r="G3621" s="42">
        <f t="shared" si="202"/>
        <v>0</v>
      </c>
    </row>
    <row r="3622" spans="1:7" ht="12.75" hidden="1" customHeight="1">
      <c r="A3622" s="39" t="s">
        <v>608</v>
      </c>
      <c r="B3622" s="43">
        <v>28</v>
      </c>
      <c r="C3622" s="53">
        <f t="shared" ref="C3622:E3622" si="247">B3622/B$3658*C$3658</f>
        <v>33424.623570300158</v>
      </c>
      <c r="D3622" s="53">
        <f t="shared" si="247"/>
        <v>44611.02963665087</v>
      </c>
      <c r="E3622" s="53">
        <f t="shared" si="247"/>
        <v>15617.777187993681</v>
      </c>
      <c r="F3622" s="57"/>
      <c r="G3622" s="42">
        <f t="shared" si="202"/>
        <v>93653.430394944706</v>
      </c>
    </row>
    <row r="3623" spans="1:7" ht="12.75" hidden="1" customHeight="1">
      <c r="A3623" s="58" t="s">
        <v>608</v>
      </c>
      <c r="B3623" s="59">
        <v>20</v>
      </c>
      <c r="C3623" s="60">
        <f t="shared" ref="C3623:E3623" si="248">B3623/B$3658*C$3658</f>
        <v>23874.73112164297</v>
      </c>
      <c r="D3623" s="60">
        <f t="shared" si="248"/>
        <v>31865.021169036332</v>
      </c>
      <c r="E3623" s="60">
        <f t="shared" si="248"/>
        <v>11155.5551342812</v>
      </c>
      <c r="F3623" s="61"/>
      <c r="G3623" s="60">
        <f t="shared" si="202"/>
        <v>66895.307424960498</v>
      </c>
    </row>
    <row r="3624" spans="1:7" ht="12.75" hidden="1" customHeight="1">
      <c r="A3624" s="39" t="s">
        <v>671</v>
      </c>
      <c r="B3624" s="43"/>
      <c r="C3624" s="42">
        <f t="shared" ref="C3624:E3624" si="249">B3624/B$3658*C$3658</f>
        <v>0</v>
      </c>
      <c r="D3624" s="42">
        <f t="shared" si="249"/>
        <v>0</v>
      </c>
      <c r="E3624" s="42">
        <f t="shared" si="249"/>
        <v>0</v>
      </c>
      <c r="F3624" s="57"/>
      <c r="G3624" s="42">
        <f t="shared" si="202"/>
        <v>0</v>
      </c>
    </row>
    <row r="3625" spans="1:7" ht="12.75" hidden="1" customHeight="1">
      <c r="A3625" s="49" t="s">
        <v>620</v>
      </c>
      <c r="B3625" s="43"/>
      <c r="C3625" s="42">
        <f t="shared" ref="C3625:E3625" si="250">B3625/B$3658*C$3658</f>
        <v>0</v>
      </c>
      <c r="D3625" s="42">
        <f t="shared" si="250"/>
        <v>0</v>
      </c>
      <c r="E3625" s="42">
        <f t="shared" si="250"/>
        <v>0</v>
      </c>
      <c r="F3625" s="57"/>
      <c r="G3625" s="42">
        <f t="shared" si="202"/>
        <v>0</v>
      </c>
    </row>
    <row r="3626" spans="1:7" ht="12.75" hidden="1" customHeight="1">
      <c r="A3626" s="39" t="s">
        <v>715</v>
      </c>
      <c r="B3626" s="45">
        <v>14.5</v>
      </c>
      <c r="C3626" s="53">
        <f t="shared" ref="C3626:E3626" si="251">B3626/B$3658*C$3658</f>
        <v>17309.180063191154</v>
      </c>
      <c r="D3626" s="53">
        <f t="shared" si="251"/>
        <v>23102.14034755134</v>
      </c>
      <c r="E3626" s="53">
        <f t="shared" si="251"/>
        <v>8087.7774723538705</v>
      </c>
      <c r="F3626" s="57"/>
      <c r="G3626" s="42">
        <f t="shared" si="202"/>
        <v>48499.097883096365</v>
      </c>
    </row>
    <row r="3627" spans="1:7" ht="12.75" hidden="1" customHeight="1">
      <c r="A3627" s="49" t="s">
        <v>619</v>
      </c>
      <c r="B3627" s="43"/>
      <c r="C3627" s="42">
        <f t="shared" ref="C3627:E3627" si="252">B3627/B$3658*C$3658</f>
        <v>0</v>
      </c>
      <c r="D3627" s="42">
        <f t="shared" si="252"/>
        <v>0</v>
      </c>
      <c r="E3627" s="42">
        <f t="shared" si="252"/>
        <v>0</v>
      </c>
      <c r="F3627" s="57"/>
      <c r="G3627" s="42">
        <f t="shared" si="202"/>
        <v>0</v>
      </c>
    </row>
    <row r="3628" spans="1:7" ht="12.75" hidden="1" customHeight="1">
      <c r="A3628" s="39" t="s">
        <v>615</v>
      </c>
      <c r="B3628" s="43">
        <v>6.5</v>
      </c>
      <c r="C3628" s="53">
        <f t="shared" ref="C3628:E3628" si="253">B3628/B$3658*C$3658</f>
        <v>7759.2876145339651</v>
      </c>
      <c r="D3628" s="53">
        <f t="shared" si="253"/>
        <v>10356.131879936807</v>
      </c>
      <c r="E3628" s="53">
        <f t="shared" si="253"/>
        <v>3625.5554186413901</v>
      </c>
      <c r="F3628" s="57"/>
      <c r="G3628" s="42">
        <f t="shared" si="202"/>
        <v>21740.974913112161</v>
      </c>
    </row>
    <row r="3629" spans="1:7" ht="12.75" hidden="1" customHeight="1">
      <c r="A3629" s="39" t="s">
        <v>612</v>
      </c>
      <c r="B3629" s="43">
        <v>21.5</v>
      </c>
      <c r="C3629" s="53">
        <f t="shared" ref="C3629:E3629" si="254">B3629/B$3658*C$3658</f>
        <v>25665.335955766193</v>
      </c>
      <c r="D3629" s="53">
        <f t="shared" si="254"/>
        <v>34254.897756714061</v>
      </c>
      <c r="E3629" s="53">
        <f t="shared" si="254"/>
        <v>11992.221769352291</v>
      </c>
      <c r="F3629" s="57"/>
      <c r="G3629" s="42">
        <f t="shared" si="202"/>
        <v>71912.455481832556</v>
      </c>
    </row>
    <row r="3630" spans="1:7" ht="12.75" hidden="1" customHeight="1">
      <c r="A3630" s="39" t="s">
        <v>613</v>
      </c>
      <c r="B3630" s="43">
        <v>30.5</v>
      </c>
      <c r="C3630" s="53">
        <f t="shared" ref="C3630:E3630" si="255">B3630/B$3658*C$3658</f>
        <v>36408.964960505531</v>
      </c>
      <c r="D3630" s="53">
        <f t="shared" si="255"/>
        <v>48594.157282780412</v>
      </c>
      <c r="E3630" s="53">
        <f t="shared" si="255"/>
        <v>17012.221579778834</v>
      </c>
      <c r="F3630" s="57"/>
      <c r="G3630" s="42">
        <f t="shared" si="202"/>
        <v>102015.34382306477</v>
      </c>
    </row>
    <row r="3631" spans="1:7" ht="12.75" hidden="1" customHeight="1">
      <c r="A3631" s="58" t="s">
        <v>613</v>
      </c>
      <c r="B3631" s="59">
        <v>10</v>
      </c>
      <c r="C3631" s="60">
        <f t="shared" ref="C3631:E3631" si="256">B3631/B$3658*C$3658</f>
        <v>11937.365560821485</v>
      </c>
      <c r="D3631" s="60">
        <f t="shared" si="256"/>
        <v>15932.510584518166</v>
      </c>
      <c r="E3631" s="60">
        <f t="shared" si="256"/>
        <v>5577.7775671405998</v>
      </c>
      <c r="F3631" s="61"/>
      <c r="G3631" s="60">
        <f t="shared" si="202"/>
        <v>33447.653712480249</v>
      </c>
    </row>
    <row r="3632" spans="1:7" ht="12.75" hidden="1" customHeight="1">
      <c r="A3632" s="39" t="s">
        <v>678</v>
      </c>
      <c r="B3632" s="43">
        <v>4</v>
      </c>
      <c r="C3632" s="53">
        <f t="shared" ref="C3632:E3632" si="257">B3632/B$3658*C$3658</f>
        <v>4774.9462243285934</v>
      </c>
      <c r="D3632" s="53">
        <f t="shared" si="257"/>
        <v>6373.0042338072653</v>
      </c>
      <c r="E3632" s="53">
        <f t="shared" si="257"/>
        <v>2231.1110268562397</v>
      </c>
      <c r="F3632" s="57"/>
      <c r="G3632" s="42">
        <f t="shared" si="202"/>
        <v>13379.0614849921</v>
      </c>
    </row>
    <row r="3633" spans="1:7" ht="12.75" hidden="1" customHeight="1">
      <c r="A3633" s="143" t="s">
        <v>676</v>
      </c>
      <c r="B3633" s="43">
        <v>5</v>
      </c>
      <c r="C3633" s="53">
        <f t="shared" ref="C3633:E3633" si="258">B3633/B$3658*C$3658</f>
        <v>5968.6827804107425</v>
      </c>
      <c r="D3633" s="53">
        <f t="shared" si="258"/>
        <v>7966.255292259083</v>
      </c>
      <c r="E3633" s="53">
        <f t="shared" si="258"/>
        <v>2788.8887835702999</v>
      </c>
      <c r="F3633" s="57">
        <f>B3633/39.5*F3658</f>
        <v>3465.3164556962029</v>
      </c>
      <c r="G3633" s="42">
        <f t="shared" si="202"/>
        <v>20189.143311936328</v>
      </c>
    </row>
    <row r="3634" spans="1:7" ht="12.75" hidden="1" customHeight="1">
      <c r="A3634" s="39" t="s">
        <v>674</v>
      </c>
      <c r="B3634" s="43">
        <v>6</v>
      </c>
      <c r="C3634" s="53">
        <f t="shared" ref="C3634:E3634" si="259">B3634/B$3658*C$3658</f>
        <v>7162.4193364928915</v>
      </c>
      <c r="D3634" s="53">
        <f t="shared" si="259"/>
        <v>9559.5063507109007</v>
      </c>
      <c r="E3634" s="53">
        <f t="shared" si="259"/>
        <v>3346.6665402843605</v>
      </c>
      <c r="F3634" s="57"/>
      <c r="G3634" s="42">
        <f t="shared" si="202"/>
        <v>20068.592227488152</v>
      </c>
    </row>
    <row r="3635" spans="1:7" ht="12.75" hidden="1" customHeight="1">
      <c r="A3635" s="143" t="s">
        <v>614</v>
      </c>
      <c r="B3635" s="43">
        <v>11</v>
      </c>
      <c r="C3635" s="53">
        <f t="shared" ref="C3635:E3635" si="260">B3635/B$3658*C$3658</f>
        <v>13131.102116903634</v>
      </c>
      <c r="D3635" s="53">
        <f t="shared" si="260"/>
        <v>17525.761642969985</v>
      </c>
      <c r="E3635" s="53">
        <f t="shared" si="260"/>
        <v>6135.5553238546609</v>
      </c>
      <c r="F3635" s="57">
        <f>B3635/39.5*F3658</f>
        <v>7623.6962025316452</v>
      </c>
      <c r="G3635" s="42">
        <f t="shared" si="202"/>
        <v>44416.115286259927</v>
      </c>
    </row>
    <row r="3636" spans="1:7" ht="12.75" hidden="1" customHeight="1">
      <c r="A3636" s="39" t="s">
        <v>614</v>
      </c>
      <c r="B3636" s="43"/>
      <c r="C3636" s="42"/>
      <c r="D3636" s="42"/>
      <c r="E3636" s="42"/>
      <c r="F3636" s="57"/>
      <c r="G3636" s="42">
        <f t="shared" si="202"/>
        <v>0</v>
      </c>
    </row>
    <row r="3637" spans="1:7" ht="12.75" hidden="1" customHeight="1">
      <c r="A3637" s="39" t="s">
        <v>675</v>
      </c>
      <c r="B3637" s="45"/>
      <c r="C3637" s="42"/>
      <c r="D3637" s="42"/>
      <c r="E3637" s="42"/>
      <c r="F3637" s="57"/>
      <c r="G3637" s="42">
        <f t="shared" si="202"/>
        <v>0</v>
      </c>
    </row>
    <row r="3638" spans="1:7" ht="12.75" hidden="1" customHeight="1">
      <c r="A3638" s="39" t="s">
        <v>603</v>
      </c>
      <c r="B3638" s="45"/>
      <c r="C3638" s="42"/>
      <c r="D3638" s="42"/>
      <c r="E3638" s="42"/>
      <c r="F3638" s="45"/>
      <c r="G3638" s="42">
        <f t="shared" si="202"/>
        <v>0</v>
      </c>
    </row>
    <row r="3639" spans="1:7" ht="12.75" hidden="1" customHeight="1">
      <c r="A3639" s="39" t="s">
        <v>603</v>
      </c>
      <c r="B3639" s="45"/>
      <c r="C3639" s="42"/>
      <c r="D3639" s="42"/>
      <c r="E3639" s="42"/>
      <c r="F3639" s="45"/>
      <c r="G3639" s="42">
        <f t="shared" si="202"/>
        <v>0</v>
      </c>
    </row>
    <row r="3640" spans="1:7" ht="12.75" hidden="1" customHeight="1">
      <c r="A3640" s="39" t="s">
        <v>18</v>
      </c>
      <c r="B3640" s="43"/>
      <c r="C3640" s="42"/>
      <c r="D3640" s="42"/>
      <c r="E3640" s="42"/>
      <c r="F3640" s="45"/>
      <c r="G3640" s="42">
        <f t="shared" si="202"/>
        <v>0</v>
      </c>
    </row>
    <row r="3641" spans="1:7" ht="12.75" hidden="1" customHeight="1">
      <c r="A3641" s="39" t="s">
        <v>192</v>
      </c>
      <c r="B3641" s="43"/>
      <c r="C3641" s="42"/>
      <c r="D3641" s="42"/>
      <c r="E3641" s="42"/>
      <c r="F3641" s="45"/>
      <c r="G3641" s="42">
        <f t="shared" ref="G3641:G3657" si="261">SUM(C3641:F3641)</f>
        <v>0</v>
      </c>
    </row>
    <row r="3642" spans="1:7" ht="12.75" hidden="1" customHeight="1">
      <c r="A3642" s="39" t="s">
        <v>19</v>
      </c>
      <c r="B3642" s="43"/>
      <c r="C3642" s="42"/>
      <c r="D3642" s="42"/>
      <c r="E3642" s="42"/>
      <c r="F3642" s="45"/>
      <c r="G3642" s="42">
        <f t="shared" si="261"/>
        <v>0</v>
      </c>
    </row>
    <row r="3643" spans="1:7" ht="12.75" hidden="1" customHeight="1">
      <c r="A3643" s="39" t="s">
        <v>193</v>
      </c>
      <c r="B3643" s="43"/>
      <c r="C3643" s="42"/>
      <c r="D3643" s="42"/>
      <c r="E3643" s="42"/>
      <c r="F3643" s="45"/>
      <c r="G3643" s="42">
        <f t="shared" si="261"/>
        <v>0</v>
      </c>
    </row>
    <row r="3644" spans="1:7" ht="12.75" hidden="1" customHeight="1">
      <c r="A3644" s="39" t="s">
        <v>194</v>
      </c>
      <c r="B3644" s="43"/>
      <c r="C3644" s="42"/>
      <c r="D3644" s="42"/>
      <c r="E3644" s="42"/>
      <c r="F3644" s="45"/>
      <c r="G3644" s="42">
        <f t="shared" si="261"/>
        <v>0</v>
      </c>
    </row>
    <row r="3645" spans="1:7" ht="12.75" hidden="1" customHeight="1">
      <c r="A3645" s="39" t="s">
        <v>195</v>
      </c>
      <c r="B3645" s="43"/>
      <c r="C3645" s="42"/>
      <c r="D3645" s="42"/>
      <c r="E3645" s="42"/>
      <c r="F3645" s="45"/>
      <c r="G3645" s="42">
        <f t="shared" si="261"/>
        <v>0</v>
      </c>
    </row>
    <row r="3646" spans="1:7" ht="12.75" hidden="1" customHeight="1">
      <c r="A3646" s="39" t="s">
        <v>196</v>
      </c>
      <c r="B3646" s="43"/>
      <c r="C3646" s="42"/>
      <c r="D3646" s="42"/>
      <c r="E3646" s="42"/>
      <c r="F3646" s="45"/>
      <c r="G3646" s="42">
        <f t="shared" si="261"/>
        <v>0</v>
      </c>
    </row>
    <row r="3647" spans="1:7" ht="12.75" hidden="1" customHeight="1">
      <c r="A3647" s="39" t="s">
        <v>197</v>
      </c>
      <c r="B3647" s="43"/>
      <c r="C3647" s="42"/>
      <c r="D3647" s="42"/>
      <c r="E3647" s="42"/>
      <c r="F3647" s="45"/>
      <c r="G3647" s="42">
        <f t="shared" si="261"/>
        <v>0</v>
      </c>
    </row>
    <row r="3648" spans="1:7" ht="12.75" hidden="1" customHeight="1">
      <c r="A3648" s="39" t="s">
        <v>198</v>
      </c>
      <c r="B3648" s="43"/>
      <c r="C3648" s="42"/>
      <c r="D3648" s="42"/>
      <c r="E3648" s="42"/>
      <c r="F3648" s="45"/>
      <c r="G3648" s="42">
        <f t="shared" si="261"/>
        <v>0</v>
      </c>
    </row>
    <row r="3649" spans="1:7" ht="12.75" hidden="1" customHeight="1">
      <c r="A3649" s="39" t="s">
        <v>199</v>
      </c>
      <c r="B3649" s="43"/>
      <c r="C3649" s="42"/>
      <c r="D3649" s="42"/>
      <c r="E3649" s="42"/>
      <c r="F3649" s="45"/>
      <c r="G3649" s="42">
        <f t="shared" si="261"/>
        <v>0</v>
      </c>
    </row>
    <row r="3650" spans="1:7" ht="12.75" hidden="1" customHeight="1">
      <c r="A3650" s="39" t="s">
        <v>200</v>
      </c>
      <c r="B3650" s="43"/>
      <c r="C3650" s="42"/>
      <c r="D3650" s="42"/>
      <c r="E3650" s="42"/>
      <c r="F3650" s="45"/>
      <c r="G3650" s="42">
        <f t="shared" si="261"/>
        <v>0</v>
      </c>
    </row>
    <row r="3651" spans="1:7" ht="12.75" hidden="1" customHeight="1">
      <c r="A3651" s="39" t="s">
        <v>201</v>
      </c>
      <c r="B3651" s="43"/>
      <c r="C3651" s="42"/>
      <c r="D3651" s="42"/>
      <c r="E3651" s="42"/>
      <c r="F3651" s="45"/>
      <c r="G3651" s="42">
        <f t="shared" si="261"/>
        <v>0</v>
      </c>
    </row>
    <row r="3652" spans="1:7" ht="12.75" hidden="1" customHeight="1">
      <c r="A3652" s="49" t="s">
        <v>207</v>
      </c>
      <c r="B3652" s="43"/>
      <c r="C3652" s="42"/>
      <c r="D3652" s="42"/>
      <c r="E3652" s="42"/>
      <c r="F3652" s="42"/>
      <c r="G3652" s="42">
        <f t="shared" si="261"/>
        <v>0</v>
      </c>
    </row>
    <row r="3653" spans="1:7" ht="12.75" hidden="1" customHeight="1">
      <c r="A3653" s="46" t="s">
        <v>203</v>
      </c>
      <c r="B3653" s="43"/>
      <c r="C3653" s="42"/>
      <c r="D3653" s="42"/>
      <c r="E3653" s="42"/>
      <c r="F3653" s="45"/>
      <c r="G3653" s="42">
        <f t="shared" si="261"/>
        <v>0</v>
      </c>
    </row>
    <row r="3654" spans="1:7" ht="12.75" hidden="1" customHeight="1">
      <c r="A3654" s="46" t="s">
        <v>204</v>
      </c>
      <c r="B3654" s="43"/>
      <c r="C3654" s="42"/>
      <c r="D3654" s="42"/>
      <c r="E3654" s="42"/>
      <c r="F3654" s="45"/>
      <c r="G3654" s="42">
        <f t="shared" si="261"/>
        <v>0</v>
      </c>
    </row>
    <row r="3655" spans="1:7" ht="12.75" hidden="1" customHeight="1">
      <c r="A3655" s="46" t="s">
        <v>205</v>
      </c>
      <c r="B3655" s="43"/>
      <c r="C3655" s="42"/>
      <c r="D3655" s="42"/>
      <c r="E3655" s="42"/>
      <c r="F3655" s="45"/>
      <c r="G3655" s="42">
        <f t="shared" si="261"/>
        <v>0</v>
      </c>
    </row>
    <row r="3656" spans="1:7" ht="12.75" hidden="1" customHeight="1">
      <c r="A3656" s="224" t="s">
        <v>622</v>
      </c>
      <c r="B3656" s="48"/>
      <c r="C3656" s="200"/>
      <c r="D3656" s="200"/>
      <c r="E3656" s="200"/>
      <c r="F3656" s="49"/>
      <c r="G3656" s="42">
        <f t="shared" si="261"/>
        <v>0</v>
      </c>
    </row>
    <row r="3657" spans="1:7" ht="12.75" hidden="1" customHeight="1">
      <c r="A3657" s="239" t="s">
        <v>621</v>
      </c>
      <c r="B3657" s="43"/>
      <c r="C3657" s="42"/>
      <c r="D3657" s="42"/>
      <c r="E3657" s="43"/>
      <c r="F3657" s="42"/>
      <c r="G3657" s="42">
        <f t="shared" si="261"/>
        <v>0</v>
      </c>
    </row>
    <row r="3658" spans="1:7" ht="12.75" hidden="1" customHeight="1">
      <c r="A3658" s="48" t="s">
        <v>209</v>
      </c>
      <c r="B3658" s="48">
        <f>SUM(B3575:B3657)</f>
        <v>316.5</v>
      </c>
      <c r="C3658" s="200">
        <v>377817.62</v>
      </c>
      <c r="D3658" s="200">
        <f>45437+334455+75666.26+58399.2+17682.5-27376</f>
        <v>504263.95999999996</v>
      </c>
      <c r="E3658" s="48">
        <v>176536.66</v>
      </c>
      <c r="F3658" s="200">
        <v>27376</v>
      </c>
      <c r="G3658" s="49">
        <f>SUM(C3658:F3658)</f>
        <v>1085994.24</v>
      </c>
    </row>
    <row r="3659" spans="1:7" ht="12.75" hidden="1" customHeight="1">
      <c r="A3659" s="63"/>
      <c r="B3659" s="52"/>
      <c r="C3659" s="51"/>
      <c r="D3659" s="51"/>
      <c r="E3659" s="64"/>
      <c r="F3659" s="65"/>
      <c r="G3659" s="40"/>
    </row>
    <row r="3660" spans="1:7" ht="12.75" hidden="1" customHeight="1">
      <c r="A3660" s="63"/>
      <c r="B3660" s="52"/>
      <c r="C3660" s="51"/>
      <c r="D3660" s="51"/>
      <c r="E3660" s="51"/>
      <c r="F3660" s="65"/>
      <c r="G3660" s="40"/>
    </row>
    <row r="3661" spans="1:7" ht="12.75" hidden="1" customHeight="1">
      <c r="A3661" s="51"/>
      <c r="B3661" s="52"/>
      <c r="C3661" s="51"/>
      <c r="D3661" s="51"/>
      <c r="E3661" s="51"/>
      <c r="F3661" s="65"/>
      <c r="G3661" s="40"/>
    </row>
    <row r="3662" spans="1:7" ht="12.75" hidden="1" customHeight="1">
      <c r="A3662" s="269" t="s">
        <v>701</v>
      </c>
      <c r="B3662" s="269"/>
      <c r="C3662" s="269"/>
      <c r="D3662" s="269"/>
      <c r="E3662" s="269"/>
      <c r="F3662" s="269"/>
      <c r="G3662" s="40"/>
    </row>
    <row r="3663" spans="1:7" ht="12.75" hidden="1" customHeight="1">
      <c r="A3663" s="42" t="s">
        <v>86</v>
      </c>
      <c r="B3663" s="43" t="s">
        <v>211</v>
      </c>
      <c r="C3663" s="43" t="s">
        <v>212</v>
      </c>
      <c r="D3663" s="43" t="s">
        <v>88</v>
      </c>
      <c r="E3663" s="43" t="s">
        <v>89</v>
      </c>
      <c r="F3663" s="43" t="s">
        <v>90</v>
      </c>
      <c r="G3663" s="45" t="s">
        <v>213</v>
      </c>
    </row>
    <row r="3664" spans="1:7" ht="12.75" hidden="1" customHeight="1">
      <c r="A3664" s="42" t="s">
        <v>20</v>
      </c>
      <c r="B3664" s="43"/>
      <c r="C3664" s="43"/>
      <c r="D3664" s="44"/>
      <c r="E3664" s="44"/>
      <c r="F3664" s="44"/>
      <c r="G3664" s="39"/>
    </row>
    <row r="3665" spans="1:7" ht="12.75" hidden="1" customHeight="1">
      <c r="A3665" s="42" t="s">
        <v>214</v>
      </c>
      <c r="B3665" s="43"/>
      <c r="C3665" s="43"/>
      <c r="D3665" s="44"/>
      <c r="E3665" s="44"/>
      <c r="F3665" s="44"/>
      <c r="G3665" s="44"/>
    </row>
    <row r="3666" spans="1:7" ht="12.75" hidden="1" customHeight="1">
      <c r="A3666" s="42" t="s">
        <v>215</v>
      </c>
      <c r="B3666" s="43"/>
      <c r="C3666" s="43"/>
      <c r="D3666" s="44"/>
      <c r="E3666" s="44"/>
      <c r="F3666" s="44"/>
      <c r="G3666" s="44"/>
    </row>
    <row r="3667" spans="1:7" ht="12.75" hidden="1" customHeight="1">
      <c r="A3667" s="42" t="s">
        <v>216</v>
      </c>
      <c r="B3667" s="43"/>
      <c r="C3667" s="43"/>
      <c r="D3667" s="44"/>
      <c r="E3667" s="44"/>
      <c r="F3667" s="44"/>
      <c r="G3667" s="44"/>
    </row>
    <row r="3668" spans="1:7" ht="12.75" hidden="1" customHeight="1">
      <c r="A3668" s="42" t="s">
        <v>217</v>
      </c>
      <c r="B3668" s="43"/>
      <c r="C3668" s="43"/>
      <c r="D3668" s="44"/>
      <c r="E3668" s="44"/>
      <c r="F3668" s="44"/>
      <c r="G3668" s="44"/>
    </row>
    <row r="3669" spans="1:7" ht="12.75" hidden="1" customHeight="1">
      <c r="A3669" s="42" t="s">
        <v>218</v>
      </c>
      <c r="B3669" s="45"/>
      <c r="C3669" s="45"/>
      <c r="D3669" s="44"/>
      <c r="E3669" s="44"/>
      <c r="F3669" s="44"/>
      <c r="G3669" s="44"/>
    </row>
    <row r="3670" spans="1:7" ht="12.75" hidden="1" customHeight="1">
      <c r="A3670" s="60" t="s">
        <v>667</v>
      </c>
      <c r="B3670" s="121">
        <v>48</v>
      </c>
      <c r="C3670" s="121">
        <v>176</v>
      </c>
      <c r="D3670" s="181">
        <f>C3670/C$3704*D$3704</f>
        <v>30299.470046948361</v>
      </c>
      <c r="E3670" s="181">
        <f>B3670/B$3704*E$3704</f>
        <v>21074.896901408451</v>
      </c>
      <c r="F3670" s="181">
        <f>C3670/C$3704*F$3704</f>
        <v>20277.00854460094</v>
      </c>
      <c r="G3670" s="181">
        <f>SUM(D3670:F3670)</f>
        <v>71651.375492957741</v>
      </c>
    </row>
    <row r="3671" spans="1:7" ht="12.75" hidden="1" customHeight="1">
      <c r="A3671" s="42" t="s">
        <v>21</v>
      </c>
      <c r="B3671" s="43"/>
      <c r="C3671" s="43"/>
      <c r="D3671" s="181">
        <f t="shared" ref="D3671:D3692" si="262">C3671/C$3704*D$3704</f>
        <v>0</v>
      </c>
      <c r="E3671" s="181">
        <f t="shared" ref="E3671:E3692" si="263">B3671/B$3704*E$3704</f>
        <v>0</v>
      </c>
      <c r="F3671" s="181">
        <f t="shared" ref="F3671:F3692" si="264">C3671/C$3704*F$3704</f>
        <v>0</v>
      </c>
      <c r="G3671" s="181">
        <f t="shared" ref="G3671:G3692" si="265">SUM(D3671:F3671)</f>
        <v>0</v>
      </c>
    </row>
    <row r="3672" spans="1:7" ht="12.75" hidden="1" customHeight="1">
      <c r="A3672" s="42" t="s">
        <v>220</v>
      </c>
      <c r="B3672" s="43"/>
      <c r="C3672" s="43"/>
      <c r="D3672" s="181">
        <f t="shared" si="262"/>
        <v>0</v>
      </c>
      <c r="E3672" s="181">
        <f t="shared" si="263"/>
        <v>0</v>
      </c>
      <c r="F3672" s="181">
        <f t="shared" si="264"/>
        <v>0</v>
      </c>
      <c r="G3672" s="181">
        <f t="shared" si="265"/>
        <v>0</v>
      </c>
    </row>
    <row r="3673" spans="1:7" ht="12.75" hidden="1" customHeight="1">
      <c r="A3673" s="42" t="s">
        <v>221</v>
      </c>
      <c r="B3673" s="43"/>
      <c r="C3673" s="43"/>
      <c r="D3673" s="181">
        <f t="shared" si="262"/>
        <v>0</v>
      </c>
      <c r="E3673" s="181">
        <f t="shared" si="263"/>
        <v>0</v>
      </c>
      <c r="F3673" s="181">
        <f t="shared" si="264"/>
        <v>0</v>
      </c>
      <c r="G3673" s="181">
        <f t="shared" si="265"/>
        <v>0</v>
      </c>
    </row>
    <row r="3674" spans="1:7" ht="12.75" hidden="1" customHeight="1">
      <c r="A3674" s="42" t="s">
        <v>22</v>
      </c>
      <c r="B3674" s="43"/>
      <c r="C3674" s="43"/>
      <c r="D3674" s="181">
        <f t="shared" si="262"/>
        <v>0</v>
      </c>
      <c r="E3674" s="181">
        <f t="shared" si="263"/>
        <v>0</v>
      </c>
      <c r="F3674" s="181">
        <f t="shared" si="264"/>
        <v>0</v>
      </c>
      <c r="G3674" s="181">
        <f t="shared" si="265"/>
        <v>0</v>
      </c>
    </row>
    <row r="3675" spans="1:7" ht="12.75" hidden="1" customHeight="1">
      <c r="A3675" s="42" t="s">
        <v>23</v>
      </c>
      <c r="B3675" s="43"/>
      <c r="C3675" s="43"/>
      <c r="D3675" s="181">
        <f t="shared" si="262"/>
        <v>0</v>
      </c>
      <c r="E3675" s="181">
        <f t="shared" si="263"/>
        <v>0</v>
      </c>
      <c r="F3675" s="181">
        <f t="shared" si="264"/>
        <v>0</v>
      </c>
      <c r="G3675" s="181">
        <f t="shared" si="265"/>
        <v>0</v>
      </c>
    </row>
    <row r="3676" spans="1:7" ht="12.75" hidden="1" customHeight="1">
      <c r="A3676" s="42" t="s">
        <v>24</v>
      </c>
      <c r="B3676" s="43"/>
      <c r="C3676" s="43"/>
      <c r="D3676" s="181">
        <f t="shared" si="262"/>
        <v>0</v>
      </c>
      <c r="E3676" s="181">
        <f t="shared" si="263"/>
        <v>0</v>
      </c>
      <c r="F3676" s="181">
        <f t="shared" si="264"/>
        <v>0</v>
      </c>
      <c r="G3676" s="181">
        <f t="shared" si="265"/>
        <v>0</v>
      </c>
    </row>
    <row r="3677" spans="1:7" ht="12.75" hidden="1" customHeight="1">
      <c r="A3677" s="42" t="s">
        <v>222</v>
      </c>
      <c r="B3677" s="43"/>
      <c r="C3677" s="43"/>
      <c r="D3677" s="181">
        <f t="shared" si="262"/>
        <v>0</v>
      </c>
      <c r="E3677" s="181">
        <f t="shared" si="263"/>
        <v>0</v>
      </c>
      <c r="F3677" s="181">
        <f t="shared" si="264"/>
        <v>0</v>
      </c>
      <c r="G3677" s="181">
        <f t="shared" si="265"/>
        <v>0</v>
      </c>
    </row>
    <row r="3678" spans="1:7" ht="12.75" hidden="1" customHeight="1">
      <c r="A3678" s="42" t="s">
        <v>222</v>
      </c>
      <c r="B3678" s="43"/>
      <c r="C3678" s="43"/>
      <c r="D3678" s="181">
        <f t="shared" si="262"/>
        <v>0</v>
      </c>
      <c r="E3678" s="181">
        <f t="shared" si="263"/>
        <v>0</v>
      </c>
      <c r="F3678" s="181">
        <f t="shared" si="264"/>
        <v>0</v>
      </c>
      <c r="G3678" s="181">
        <f t="shared" si="265"/>
        <v>0</v>
      </c>
    </row>
    <row r="3679" spans="1:7" ht="12.75" hidden="1" customHeight="1">
      <c r="A3679" s="42" t="s">
        <v>224</v>
      </c>
      <c r="B3679" s="43"/>
      <c r="C3679" s="43"/>
      <c r="D3679" s="181">
        <f t="shared" si="262"/>
        <v>0</v>
      </c>
      <c r="E3679" s="181">
        <f t="shared" si="263"/>
        <v>0</v>
      </c>
      <c r="F3679" s="181">
        <f t="shared" si="264"/>
        <v>0</v>
      </c>
      <c r="G3679" s="181">
        <f t="shared" si="265"/>
        <v>0</v>
      </c>
    </row>
    <row r="3680" spans="1:7" ht="12.75" hidden="1" customHeight="1">
      <c r="A3680" s="42" t="s">
        <v>225</v>
      </c>
      <c r="B3680" s="43"/>
      <c r="C3680" s="43"/>
      <c r="D3680" s="181">
        <f t="shared" si="262"/>
        <v>0</v>
      </c>
      <c r="E3680" s="181">
        <f t="shared" si="263"/>
        <v>0</v>
      </c>
      <c r="F3680" s="181">
        <f t="shared" si="264"/>
        <v>0</v>
      </c>
      <c r="G3680" s="181">
        <f t="shared" si="265"/>
        <v>0</v>
      </c>
    </row>
    <row r="3681" spans="1:7" ht="12.75" hidden="1" customHeight="1">
      <c r="A3681" s="42" t="s">
        <v>226</v>
      </c>
      <c r="B3681" s="43"/>
      <c r="C3681" s="43"/>
      <c r="D3681" s="181">
        <f t="shared" si="262"/>
        <v>0</v>
      </c>
      <c r="E3681" s="181">
        <f t="shared" si="263"/>
        <v>0</v>
      </c>
      <c r="F3681" s="181">
        <f t="shared" si="264"/>
        <v>0</v>
      </c>
      <c r="G3681" s="181">
        <f t="shared" si="265"/>
        <v>0</v>
      </c>
    </row>
    <row r="3682" spans="1:7" ht="12.75" hidden="1" customHeight="1">
      <c r="A3682" s="42" t="s">
        <v>227</v>
      </c>
      <c r="B3682" s="43"/>
      <c r="C3682" s="43"/>
      <c r="D3682" s="181">
        <f t="shared" si="262"/>
        <v>0</v>
      </c>
      <c r="E3682" s="181">
        <f t="shared" si="263"/>
        <v>0</v>
      </c>
      <c r="F3682" s="181">
        <f t="shared" si="264"/>
        <v>0</v>
      </c>
      <c r="G3682" s="181">
        <f t="shared" si="265"/>
        <v>0</v>
      </c>
    </row>
    <row r="3683" spans="1:7" ht="12.75" hidden="1" customHeight="1">
      <c r="A3683" s="46" t="s">
        <v>228</v>
      </c>
      <c r="B3683" s="43"/>
      <c r="C3683" s="43"/>
      <c r="D3683" s="181">
        <f t="shared" si="262"/>
        <v>0</v>
      </c>
      <c r="E3683" s="181">
        <f t="shared" si="263"/>
        <v>0</v>
      </c>
      <c r="F3683" s="181">
        <f t="shared" si="264"/>
        <v>0</v>
      </c>
      <c r="G3683" s="181">
        <f t="shared" si="265"/>
        <v>0</v>
      </c>
    </row>
    <row r="3684" spans="1:7" ht="12.75" hidden="1" customHeight="1">
      <c r="A3684" s="42" t="s">
        <v>25</v>
      </c>
      <c r="B3684" s="43"/>
      <c r="C3684" s="43"/>
      <c r="D3684" s="181">
        <f t="shared" si="262"/>
        <v>0</v>
      </c>
      <c r="E3684" s="181">
        <f t="shared" si="263"/>
        <v>0</v>
      </c>
      <c r="F3684" s="181">
        <f t="shared" si="264"/>
        <v>0</v>
      </c>
      <c r="G3684" s="181">
        <f t="shared" si="265"/>
        <v>0</v>
      </c>
    </row>
    <row r="3685" spans="1:7" ht="12.75" hidden="1" customHeight="1">
      <c r="A3685" s="46" t="s">
        <v>463</v>
      </c>
      <c r="B3685" s="43">
        <v>120</v>
      </c>
      <c r="C3685" s="43">
        <v>320</v>
      </c>
      <c r="D3685" s="66">
        <f t="shared" si="262"/>
        <v>55089.945539906104</v>
      </c>
      <c r="E3685" s="66">
        <f t="shared" si="263"/>
        <v>52687.242253521123</v>
      </c>
      <c r="F3685" s="66">
        <f t="shared" si="264"/>
        <v>36867.288262910799</v>
      </c>
      <c r="G3685" s="44">
        <f t="shared" si="265"/>
        <v>144644.47605633803</v>
      </c>
    </row>
    <row r="3686" spans="1:7" ht="12.75" hidden="1" customHeight="1">
      <c r="A3686" s="46" t="s">
        <v>464</v>
      </c>
      <c r="B3686" s="43"/>
      <c r="C3686" s="43"/>
      <c r="D3686" s="44">
        <f t="shared" si="262"/>
        <v>0</v>
      </c>
      <c r="E3686" s="44">
        <f t="shared" si="263"/>
        <v>0</v>
      </c>
      <c r="F3686" s="44">
        <f t="shared" si="264"/>
        <v>0</v>
      </c>
      <c r="G3686" s="44">
        <f t="shared" si="265"/>
        <v>0</v>
      </c>
    </row>
    <row r="3687" spans="1:7" ht="12.75" hidden="1" customHeight="1">
      <c r="A3687" s="42" t="s">
        <v>508</v>
      </c>
      <c r="B3687" s="43">
        <v>352</v>
      </c>
      <c r="C3687" s="43">
        <v>1056</v>
      </c>
      <c r="D3687" s="66">
        <f t="shared" si="262"/>
        <v>181796.82028169013</v>
      </c>
      <c r="E3687" s="66">
        <f t="shared" si="263"/>
        <v>154549.24394366195</v>
      </c>
      <c r="F3687" s="66">
        <f t="shared" si="264"/>
        <v>121662.05126760562</v>
      </c>
      <c r="G3687" s="44">
        <f t="shared" si="265"/>
        <v>458008.1154929577</v>
      </c>
    </row>
    <row r="3688" spans="1:7" ht="12.75" hidden="1" customHeight="1">
      <c r="A3688" s="42" t="s">
        <v>509</v>
      </c>
      <c r="B3688" s="43"/>
      <c r="C3688" s="43"/>
      <c r="D3688" s="181">
        <f t="shared" si="262"/>
        <v>0</v>
      </c>
      <c r="E3688" s="181">
        <f t="shared" si="263"/>
        <v>0</v>
      </c>
      <c r="F3688" s="181">
        <f t="shared" si="264"/>
        <v>0</v>
      </c>
      <c r="G3688" s="181">
        <f t="shared" si="265"/>
        <v>0</v>
      </c>
    </row>
    <row r="3689" spans="1:7" ht="12.75" hidden="1" customHeight="1">
      <c r="A3689" s="42" t="s">
        <v>231</v>
      </c>
      <c r="B3689" s="43"/>
      <c r="C3689" s="43"/>
      <c r="D3689" s="181">
        <f t="shared" si="262"/>
        <v>0</v>
      </c>
      <c r="E3689" s="181">
        <f t="shared" si="263"/>
        <v>0</v>
      </c>
      <c r="F3689" s="181">
        <f t="shared" si="264"/>
        <v>0</v>
      </c>
      <c r="G3689" s="181">
        <f t="shared" si="265"/>
        <v>0</v>
      </c>
    </row>
    <row r="3690" spans="1:7" ht="12.75" hidden="1" customHeight="1">
      <c r="A3690" s="42" t="s">
        <v>232</v>
      </c>
      <c r="B3690" s="43"/>
      <c r="C3690" s="43"/>
      <c r="D3690" s="181">
        <f t="shared" si="262"/>
        <v>0</v>
      </c>
      <c r="E3690" s="181">
        <f t="shared" si="263"/>
        <v>0</v>
      </c>
      <c r="F3690" s="181">
        <f t="shared" si="264"/>
        <v>0</v>
      </c>
      <c r="G3690" s="181">
        <f t="shared" si="265"/>
        <v>0</v>
      </c>
    </row>
    <row r="3691" spans="1:7" ht="12.75" hidden="1" customHeight="1">
      <c r="A3691" s="60" t="s">
        <v>26</v>
      </c>
      <c r="B3691" s="59">
        <v>24</v>
      </c>
      <c r="C3691" s="59">
        <v>88</v>
      </c>
      <c r="D3691" s="181">
        <f t="shared" si="262"/>
        <v>15149.735023474181</v>
      </c>
      <c r="E3691" s="181">
        <f t="shared" si="263"/>
        <v>10537.448450704225</v>
      </c>
      <c r="F3691" s="181">
        <f t="shared" si="264"/>
        <v>10138.50427230047</v>
      </c>
      <c r="G3691" s="181">
        <f t="shared" si="265"/>
        <v>35825.68774647887</v>
      </c>
    </row>
    <row r="3692" spans="1:7" ht="12.75" hidden="1" customHeight="1">
      <c r="A3692" s="42" t="s">
        <v>27</v>
      </c>
      <c r="B3692" s="43">
        <v>24</v>
      </c>
      <c r="C3692" s="43">
        <v>64</v>
      </c>
      <c r="D3692" s="66">
        <f t="shared" si="262"/>
        <v>11017.989107981222</v>
      </c>
      <c r="E3692" s="66">
        <f t="shared" si="263"/>
        <v>10537.448450704225</v>
      </c>
      <c r="F3692" s="66">
        <f t="shared" si="264"/>
        <v>7373.4576525821594</v>
      </c>
      <c r="G3692" s="44">
        <f t="shared" si="265"/>
        <v>28928.895211267605</v>
      </c>
    </row>
    <row r="3693" spans="1:7" ht="12.75" hidden="1" customHeight="1">
      <c r="A3693" s="42" t="s">
        <v>28</v>
      </c>
      <c r="B3693" s="43"/>
      <c r="C3693" s="43"/>
      <c r="D3693" s="44"/>
      <c r="E3693" s="44"/>
      <c r="F3693" s="44"/>
      <c r="G3693" s="44"/>
    </row>
    <row r="3694" spans="1:7" ht="12.75" hidden="1" customHeight="1">
      <c r="A3694" s="46" t="s">
        <v>233</v>
      </c>
      <c r="B3694" s="43"/>
      <c r="C3694" s="43"/>
      <c r="D3694" s="44"/>
      <c r="E3694" s="44"/>
      <c r="F3694" s="44"/>
      <c r="G3694" s="44"/>
    </row>
    <row r="3695" spans="1:7" ht="12.75" hidden="1" customHeight="1">
      <c r="A3695" s="46" t="s">
        <v>235</v>
      </c>
      <c r="B3695" s="43"/>
      <c r="C3695" s="43"/>
      <c r="D3695" s="44"/>
      <c r="E3695" s="44"/>
      <c r="F3695" s="44"/>
      <c r="G3695" s="44"/>
    </row>
    <row r="3696" spans="1:7" ht="12.75" hidden="1" customHeight="1">
      <c r="A3696" s="46" t="s">
        <v>236</v>
      </c>
      <c r="B3696" s="43"/>
      <c r="C3696" s="43"/>
      <c r="D3696" s="44"/>
      <c r="E3696" s="44"/>
      <c r="F3696" s="44"/>
      <c r="G3696" s="44"/>
    </row>
    <row r="3697" spans="1:7" ht="12.75" hidden="1" customHeight="1">
      <c r="A3697" s="46" t="s">
        <v>411</v>
      </c>
      <c r="B3697" s="43"/>
      <c r="C3697" s="43"/>
      <c r="D3697" s="44"/>
      <c r="E3697" s="44"/>
      <c r="F3697" s="44"/>
      <c r="G3697" s="44"/>
    </row>
    <row r="3698" spans="1:7" ht="12.75" hidden="1" customHeight="1">
      <c r="A3698" s="39" t="s">
        <v>239</v>
      </c>
      <c r="B3698" s="43"/>
      <c r="C3698" s="45"/>
      <c r="D3698" s="44"/>
      <c r="E3698" s="44"/>
      <c r="F3698" s="44"/>
      <c r="G3698" s="44"/>
    </row>
    <row r="3699" spans="1:7" ht="12.75" hidden="1" customHeight="1">
      <c r="A3699" s="110" t="s">
        <v>529</v>
      </c>
      <c r="B3699" s="43"/>
      <c r="C3699" s="45"/>
      <c r="D3699" s="44"/>
      <c r="E3699" s="44"/>
      <c r="F3699" s="44"/>
      <c r="G3699" s="44"/>
    </row>
    <row r="3700" spans="1:7" ht="12.75" hidden="1" customHeight="1">
      <c r="A3700" s="110" t="s">
        <v>530</v>
      </c>
      <c r="B3700" s="43"/>
      <c r="C3700" s="45"/>
      <c r="D3700" s="44"/>
      <c r="E3700" s="44"/>
      <c r="F3700" s="44"/>
      <c r="G3700" s="44"/>
    </row>
    <row r="3701" spans="1:7" ht="12.75" hidden="1" customHeight="1">
      <c r="A3701" s="110" t="s">
        <v>531</v>
      </c>
      <c r="B3701" s="43"/>
      <c r="C3701" s="45"/>
      <c r="D3701" s="44"/>
      <c r="E3701" s="44"/>
      <c r="F3701" s="44"/>
      <c r="G3701" s="44"/>
    </row>
    <row r="3702" spans="1:7" ht="12.75" hidden="1" customHeight="1">
      <c r="A3702" s="49" t="s">
        <v>238</v>
      </c>
      <c r="B3702" s="45"/>
      <c r="C3702" s="45"/>
      <c r="D3702" s="44"/>
      <c r="E3702" s="44"/>
      <c r="F3702" s="44"/>
      <c r="G3702" s="44"/>
    </row>
    <row r="3703" spans="1:7" ht="12.75" hidden="1" customHeight="1">
      <c r="A3703" s="225" t="s">
        <v>624</v>
      </c>
      <c r="B3703" s="43"/>
      <c r="C3703" s="39"/>
      <c r="D3703" s="44"/>
      <c r="E3703" s="44"/>
      <c r="F3703" s="44"/>
      <c r="G3703" s="44"/>
    </row>
    <row r="3704" spans="1:7" ht="12.75" hidden="1" customHeight="1">
      <c r="A3704" s="200" t="s">
        <v>625</v>
      </c>
      <c r="B3704" s="45">
        <f>SUM(B3664:B3703)</f>
        <v>568</v>
      </c>
      <c r="C3704" s="45">
        <f>SUM(C3664:C3703)</f>
        <v>1704</v>
      </c>
      <c r="D3704" s="44">
        <f>293353.96</f>
        <v>293353.96000000002</v>
      </c>
      <c r="E3704" s="44">
        <f>28368.6+77010.2+24294.08+99914+19799.4</f>
        <v>249386.28</v>
      </c>
      <c r="F3704" s="44">
        <f>196318.31</f>
        <v>196318.31</v>
      </c>
      <c r="G3704" s="44">
        <f>SUM(D3704:F3704)</f>
        <v>739058.55</v>
      </c>
    </row>
    <row r="3705" spans="1:7" ht="12.75" hidden="1" customHeight="1">
      <c r="A3705" s="268" t="s">
        <v>377</v>
      </c>
      <c r="B3705" s="268"/>
      <c r="C3705" s="268"/>
      <c r="D3705" s="268"/>
      <c r="E3705" s="268"/>
      <c r="F3705" s="268"/>
      <c r="G3705" s="268"/>
    </row>
    <row r="3706" spans="1:7" ht="12.75" hidden="1" customHeight="1">
      <c r="A3706" s="233"/>
      <c r="B3706" s="64"/>
      <c r="C3706" s="65"/>
      <c r="D3706" s="65"/>
      <c r="E3706" s="64"/>
      <c r="F3706" s="65"/>
      <c r="G3706" s="40"/>
    </row>
    <row r="3707" spans="1:7" ht="12.75" hidden="1" customHeight="1">
      <c r="A3707" s="65"/>
      <c r="B3707" s="64"/>
      <c r="C3707" s="65"/>
      <c r="D3707" s="65"/>
      <c r="E3707" s="64"/>
      <c r="F3707" s="65"/>
      <c r="G3707" s="40"/>
    </row>
    <row r="3708" spans="1:7" ht="12.75" hidden="1" customHeight="1">
      <c r="A3708" s="65"/>
      <c r="B3708" s="64"/>
      <c r="C3708" s="65"/>
      <c r="D3708" s="65"/>
      <c r="E3708" s="64"/>
      <c r="F3708" s="65"/>
      <c r="G3708" s="40"/>
    </row>
    <row r="3709" spans="1:7" ht="12.75" hidden="1" customHeight="1">
      <c r="A3709" s="65"/>
      <c r="B3709" s="64"/>
      <c r="C3709" s="65"/>
      <c r="D3709" s="65"/>
      <c r="E3709" s="64"/>
      <c r="F3709" s="65"/>
      <c r="G3709" s="40"/>
    </row>
    <row r="3710" spans="1:7" ht="12.75" hidden="1" customHeight="1">
      <c r="A3710" s="269" t="s">
        <v>702</v>
      </c>
      <c r="B3710" s="269"/>
      <c r="C3710" s="269"/>
      <c r="D3710" s="269"/>
      <c r="E3710" s="269"/>
      <c r="F3710" s="269"/>
      <c r="G3710" s="40"/>
    </row>
    <row r="3711" spans="1:7" ht="12.75" hidden="1" customHeight="1">
      <c r="A3711" s="42" t="s">
        <v>86</v>
      </c>
      <c r="B3711" s="43" t="s">
        <v>246</v>
      </c>
      <c r="C3711" s="43" t="s">
        <v>88</v>
      </c>
      <c r="D3711" s="43" t="s">
        <v>89</v>
      </c>
      <c r="E3711" s="43" t="s">
        <v>90</v>
      </c>
      <c r="F3711" s="43" t="s">
        <v>91</v>
      </c>
      <c r="G3711" s="40"/>
    </row>
    <row r="3712" spans="1:7" ht="12.75" hidden="1" customHeight="1">
      <c r="A3712" s="67" t="s">
        <v>627</v>
      </c>
      <c r="B3712" s="43"/>
      <c r="C3712" s="42"/>
      <c r="D3712" s="42"/>
      <c r="E3712" s="42"/>
      <c r="F3712" s="42"/>
      <c r="G3712" s="40"/>
    </row>
    <row r="3713" spans="1:7" ht="12.75" hidden="1" customHeight="1">
      <c r="A3713" s="67" t="s">
        <v>248</v>
      </c>
      <c r="B3713" s="43"/>
      <c r="C3713" s="42"/>
      <c r="D3713" s="42"/>
      <c r="E3713" s="42"/>
      <c r="F3713" s="42"/>
      <c r="G3713" s="40"/>
    </row>
    <row r="3714" spans="1:7" ht="12.75" hidden="1" customHeight="1">
      <c r="A3714" s="67" t="s">
        <v>249</v>
      </c>
      <c r="B3714" s="45"/>
      <c r="C3714" s="42"/>
      <c r="D3714" s="42"/>
      <c r="E3714" s="42"/>
      <c r="F3714" s="42"/>
      <c r="G3714" s="40"/>
    </row>
    <row r="3715" spans="1:7" ht="12.75" hidden="1" customHeight="1">
      <c r="A3715" s="159" t="s">
        <v>633</v>
      </c>
      <c r="B3715" s="43"/>
      <c r="C3715" s="42"/>
      <c r="D3715" s="42"/>
      <c r="E3715" s="42"/>
      <c r="F3715" s="42"/>
      <c r="G3715" s="40"/>
    </row>
    <row r="3716" spans="1:7" ht="12.75" hidden="1" customHeight="1">
      <c r="A3716" s="159" t="s">
        <v>634</v>
      </c>
      <c r="B3716" s="43"/>
      <c r="C3716" s="42"/>
      <c r="D3716" s="42"/>
      <c r="E3716" s="42"/>
      <c r="F3716" s="42"/>
      <c r="G3716" s="40"/>
    </row>
    <row r="3717" spans="1:7" ht="12.75" hidden="1" customHeight="1">
      <c r="A3717" s="67" t="s">
        <v>251</v>
      </c>
      <c r="B3717" s="43"/>
      <c r="C3717" s="42"/>
      <c r="D3717" s="42"/>
      <c r="E3717" s="42"/>
      <c r="F3717" s="42"/>
      <c r="G3717" s="40"/>
    </row>
    <row r="3718" spans="1:7" ht="12.75" hidden="1" customHeight="1">
      <c r="A3718" s="192" t="s">
        <v>252</v>
      </c>
      <c r="B3718" s="193">
        <v>7</v>
      </c>
      <c r="C3718" s="60">
        <f>B3718/B$3755*C$3755</f>
        <v>3606.693571428571</v>
      </c>
      <c r="D3718" s="60">
        <f t="shared" ref="D3718:E3718" si="266">C3718/C$3755*D$3755</f>
        <v>4222.5357142857138</v>
      </c>
      <c r="E3718" s="60">
        <f t="shared" si="266"/>
        <v>4856.7010714285716</v>
      </c>
      <c r="F3718" s="60">
        <f>SUM(C3718:E3718)</f>
        <v>12685.930357142857</v>
      </c>
      <c r="G3718" s="40"/>
    </row>
    <row r="3719" spans="1:7" ht="12.75" hidden="1" customHeight="1">
      <c r="A3719" s="68" t="s">
        <v>582</v>
      </c>
      <c r="B3719" s="69"/>
      <c r="C3719" s="60">
        <f t="shared" ref="C3719:E3719" si="267">B3719/B$3755*C$3755</f>
        <v>0</v>
      </c>
      <c r="D3719" s="60">
        <f t="shared" si="267"/>
        <v>0</v>
      </c>
      <c r="E3719" s="60">
        <f t="shared" si="267"/>
        <v>0</v>
      </c>
      <c r="F3719" s="60">
        <f t="shared" ref="F3719:F3743" si="268">SUM(C3719:E3719)</f>
        <v>0</v>
      </c>
      <c r="G3719" s="40"/>
    </row>
    <row r="3720" spans="1:7" ht="12.75" hidden="1" customHeight="1">
      <c r="A3720" s="68" t="s">
        <v>583</v>
      </c>
      <c r="B3720" s="69"/>
      <c r="C3720" s="60">
        <f t="shared" ref="C3720:E3720" si="269">B3720/B$3755*C$3755</f>
        <v>0</v>
      </c>
      <c r="D3720" s="60">
        <f t="shared" si="269"/>
        <v>0</v>
      </c>
      <c r="E3720" s="60">
        <f t="shared" si="269"/>
        <v>0</v>
      </c>
      <c r="F3720" s="60">
        <f t="shared" si="268"/>
        <v>0</v>
      </c>
      <c r="G3720" s="40"/>
    </row>
    <row r="3721" spans="1:7" ht="12.75" hidden="1" customHeight="1">
      <c r="A3721" s="67" t="s">
        <v>719</v>
      </c>
      <c r="B3721" s="70">
        <v>34</v>
      </c>
      <c r="C3721" s="53">
        <f t="shared" ref="C3721:E3721" si="270">B3721/B$3755*C$3755</f>
        <v>17518.225918367345</v>
      </c>
      <c r="D3721" s="53">
        <f t="shared" si="270"/>
        <v>20509.459183673465</v>
      </c>
      <c r="E3721" s="53">
        <f t="shared" si="270"/>
        <v>23589.690918367345</v>
      </c>
      <c r="F3721" s="42">
        <f t="shared" si="268"/>
        <v>61617.376020408148</v>
      </c>
      <c r="G3721" s="40"/>
    </row>
    <row r="3722" spans="1:7" ht="12.75" hidden="1" customHeight="1">
      <c r="A3722" s="67" t="s">
        <v>255</v>
      </c>
      <c r="B3722" s="70"/>
      <c r="C3722" s="42">
        <f t="shared" ref="C3722:E3722" si="271">B3722/B$3755*C$3755</f>
        <v>0</v>
      </c>
      <c r="D3722" s="42">
        <f t="shared" si="271"/>
        <v>0</v>
      </c>
      <c r="E3722" s="42">
        <f t="shared" si="271"/>
        <v>0</v>
      </c>
      <c r="F3722" s="42">
        <f t="shared" si="268"/>
        <v>0</v>
      </c>
      <c r="G3722" s="40"/>
    </row>
    <row r="3723" spans="1:7" ht="12.75" hidden="1" customHeight="1">
      <c r="A3723" s="67" t="s">
        <v>256</v>
      </c>
      <c r="B3723" s="196"/>
      <c r="C3723" s="42">
        <f t="shared" ref="C3723:E3723" si="272">B3723/B$3755*C$3755</f>
        <v>0</v>
      </c>
      <c r="D3723" s="42">
        <f t="shared" si="272"/>
        <v>0</v>
      </c>
      <c r="E3723" s="42">
        <f t="shared" si="272"/>
        <v>0</v>
      </c>
      <c r="F3723" s="42">
        <f t="shared" si="268"/>
        <v>0</v>
      </c>
      <c r="G3723" s="40"/>
    </row>
    <row r="3724" spans="1:7" ht="12.75" hidden="1" customHeight="1">
      <c r="A3724" s="67" t="s">
        <v>720</v>
      </c>
      <c r="B3724" s="70">
        <v>22</v>
      </c>
      <c r="C3724" s="53">
        <f t="shared" ref="C3724:E3724" si="273">B3724/B$3755*C$3755</f>
        <v>11335.322653061225</v>
      </c>
      <c r="D3724" s="53">
        <f t="shared" si="273"/>
        <v>13270.826530612245</v>
      </c>
      <c r="E3724" s="53">
        <f t="shared" si="273"/>
        <v>15263.917653061226</v>
      </c>
      <c r="F3724" s="42">
        <f t="shared" si="268"/>
        <v>39870.066836734695</v>
      </c>
      <c r="G3724" s="40"/>
    </row>
    <row r="3725" spans="1:7" ht="12.75" hidden="1" customHeight="1">
      <c r="A3725" s="217" t="s">
        <v>720</v>
      </c>
      <c r="B3725" s="226">
        <v>34</v>
      </c>
      <c r="C3725" s="60">
        <f t="shared" ref="C3725:E3725" si="274">B3725/B$3755*C$3755</f>
        <v>17518.225918367345</v>
      </c>
      <c r="D3725" s="60">
        <f t="shared" si="274"/>
        <v>20509.459183673465</v>
      </c>
      <c r="E3725" s="60">
        <f t="shared" si="274"/>
        <v>23589.690918367345</v>
      </c>
      <c r="F3725" s="60">
        <f t="shared" si="268"/>
        <v>61617.376020408148</v>
      </c>
      <c r="G3725" s="40"/>
    </row>
    <row r="3726" spans="1:7" ht="12.75" hidden="1" customHeight="1">
      <c r="A3726" s="67" t="s">
        <v>535</v>
      </c>
      <c r="B3726" s="70"/>
      <c r="C3726" s="60">
        <f t="shared" ref="C3726:E3726" si="275">B3726/B$3755*C$3755</f>
        <v>0</v>
      </c>
      <c r="D3726" s="60">
        <f t="shared" si="275"/>
        <v>0</v>
      </c>
      <c r="E3726" s="60">
        <f t="shared" si="275"/>
        <v>0</v>
      </c>
      <c r="F3726" s="60">
        <f t="shared" si="268"/>
        <v>0</v>
      </c>
      <c r="G3726" s="40"/>
    </row>
    <row r="3727" spans="1:7" ht="12.75" hidden="1" customHeight="1">
      <c r="A3727" s="71" t="s">
        <v>258</v>
      </c>
      <c r="B3727" s="72"/>
      <c r="C3727" s="60">
        <f t="shared" ref="C3727:E3727" si="276">B3727/B$3755*C$3755</f>
        <v>0</v>
      </c>
      <c r="D3727" s="60">
        <f t="shared" si="276"/>
        <v>0</v>
      </c>
      <c r="E3727" s="60">
        <f t="shared" si="276"/>
        <v>0</v>
      </c>
      <c r="F3727" s="60">
        <f t="shared" si="268"/>
        <v>0</v>
      </c>
      <c r="G3727" s="40"/>
    </row>
    <row r="3728" spans="1:7" ht="12.75" hidden="1" customHeight="1">
      <c r="A3728" s="67" t="s">
        <v>259</v>
      </c>
      <c r="B3728" s="43"/>
      <c r="C3728" s="60">
        <f t="shared" ref="C3728:E3728" si="277">B3728/B$3755*C$3755</f>
        <v>0</v>
      </c>
      <c r="D3728" s="60">
        <f t="shared" si="277"/>
        <v>0</v>
      </c>
      <c r="E3728" s="60">
        <f t="shared" si="277"/>
        <v>0</v>
      </c>
      <c r="F3728" s="60">
        <f t="shared" si="268"/>
        <v>0</v>
      </c>
      <c r="G3728" s="40"/>
    </row>
    <row r="3729" spans="1:7" ht="12.75" hidden="1" customHeight="1">
      <c r="A3729" s="73" t="s">
        <v>584</v>
      </c>
      <c r="B3729" s="43"/>
      <c r="C3729" s="60">
        <f t="shared" ref="C3729:E3729" si="278">B3729/B$3755*C$3755</f>
        <v>0</v>
      </c>
      <c r="D3729" s="60">
        <f t="shared" si="278"/>
        <v>0</v>
      </c>
      <c r="E3729" s="60">
        <f t="shared" si="278"/>
        <v>0</v>
      </c>
      <c r="F3729" s="60">
        <f t="shared" si="268"/>
        <v>0</v>
      </c>
      <c r="G3729" s="40"/>
    </row>
    <row r="3730" spans="1:7" ht="12.75" hidden="1" customHeight="1">
      <c r="A3730" s="73" t="s">
        <v>722</v>
      </c>
      <c r="B3730" s="43">
        <v>18</v>
      </c>
      <c r="C3730" s="53">
        <f t="shared" ref="C3730:E3730" si="279">B3730/B$3755*C$3755</f>
        <v>9274.3548979591833</v>
      </c>
      <c r="D3730" s="53">
        <f t="shared" si="279"/>
        <v>10857.948979591836</v>
      </c>
      <c r="E3730" s="53">
        <f t="shared" si="279"/>
        <v>12488.659897959184</v>
      </c>
      <c r="F3730" s="42">
        <f t="shared" si="268"/>
        <v>32620.963775510205</v>
      </c>
      <c r="G3730" s="40"/>
    </row>
    <row r="3731" spans="1:7" ht="12.75" hidden="1" customHeight="1">
      <c r="A3731" s="194" t="s">
        <v>632</v>
      </c>
      <c r="B3731" s="59">
        <v>37</v>
      </c>
      <c r="C3731" s="60">
        <f t="shared" ref="C3731:E3731" si="280">B3731/B$3755*C$3755</f>
        <v>19063.951734693877</v>
      </c>
      <c r="D3731" s="60">
        <f t="shared" si="280"/>
        <v>22319.117346938776</v>
      </c>
      <c r="E3731" s="60">
        <f t="shared" si="280"/>
        <v>25671.13423469388</v>
      </c>
      <c r="F3731" s="60">
        <f t="shared" si="268"/>
        <v>67054.20331632653</v>
      </c>
      <c r="G3731" s="40"/>
    </row>
    <row r="3732" spans="1:7" ht="12.75" hidden="1" customHeight="1">
      <c r="A3732" s="73" t="s">
        <v>262</v>
      </c>
      <c r="B3732" s="43"/>
      <c r="C3732" s="60">
        <f t="shared" ref="C3732:E3732" si="281">B3732/B$3755*C$3755</f>
        <v>0</v>
      </c>
      <c r="D3732" s="60">
        <f t="shared" si="281"/>
        <v>0</v>
      </c>
      <c r="E3732" s="60">
        <f t="shared" si="281"/>
        <v>0</v>
      </c>
      <c r="F3732" s="60">
        <f t="shared" si="268"/>
        <v>0</v>
      </c>
      <c r="G3732" s="40"/>
    </row>
    <row r="3733" spans="1:7" ht="12.75" hidden="1" customHeight="1">
      <c r="A3733" s="74" t="s">
        <v>628</v>
      </c>
      <c r="B3733" s="43"/>
      <c r="C3733" s="60">
        <f t="shared" ref="C3733:E3733" si="282">B3733/B$3755*C$3755</f>
        <v>0</v>
      </c>
      <c r="D3733" s="60">
        <f t="shared" si="282"/>
        <v>0</v>
      </c>
      <c r="E3733" s="60">
        <f t="shared" si="282"/>
        <v>0</v>
      </c>
      <c r="F3733" s="60">
        <f t="shared" si="268"/>
        <v>0</v>
      </c>
      <c r="G3733" s="40"/>
    </row>
    <row r="3734" spans="1:7" ht="12.75" hidden="1" customHeight="1">
      <c r="A3734" s="195" t="s">
        <v>264</v>
      </c>
      <c r="B3734" s="197">
        <v>4</v>
      </c>
      <c r="C3734" s="60">
        <f t="shared" ref="C3734:E3734" si="283">B3734/B$3755*C$3755</f>
        <v>2060.9677551020404</v>
      </c>
      <c r="D3734" s="60">
        <f t="shared" si="283"/>
        <v>2412.8775510204077</v>
      </c>
      <c r="E3734" s="60">
        <f t="shared" si="283"/>
        <v>2775.2577551020404</v>
      </c>
      <c r="F3734" s="60">
        <f t="shared" si="268"/>
        <v>7249.1030612244886</v>
      </c>
      <c r="G3734" s="40"/>
    </row>
    <row r="3735" spans="1:7" ht="12.75" hidden="1" customHeight="1">
      <c r="A3735" s="74" t="s">
        <v>549</v>
      </c>
      <c r="B3735" s="43"/>
      <c r="C3735" s="60">
        <f t="shared" ref="C3735:E3735" si="284">B3735/B$3755*C$3755</f>
        <v>0</v>
      </c>
      <c r="D3735" s="60">
        <f t="shared" si="284"/>
        <v>0</v>
      </c>
      <c r="E3735" s="60">
        <f t="shared" si="284"/>
        <v>0</v>
      </c>
      <c r="F3735" s="60">
        <f t="shared" si="268"/>
        <v>0</v>
      </c>
      <c r="G3735" s="40"/>
    </row>
    <row r="3736" spans="1:7" ht="12.75" hidden="1" customHeight="1">
      <c r="A3736" s="74" t="s">
        <v>534</v>
      </c>
      <c r="B3736" s="43"/>
      <c r="C3736" s="60">
        <f t="shared" ref="C3736:E3736" si="285">B3736/B$3755*C$3755</f>
        <v>0</v>
      </c>
      <c r="D3736" s="60">
        <f t="shared" si="285"/>
        <v>0</v>
      </c>
      <c r="E3736" s="60">
        <f t="shared" si="285"/>
        <v>0</v>
      </c>
      <c r="F3736" s="60">
        <f t="shared" si="268"/>
        <v>0</v>
      </c>
      <c r="G3736" s="40"/>
    </row>
    <row r="3737" spans="1:7" ht="12.75" hidden="1" customHeight="1">
      <c r="A3737" s="74" t="s">
        <v>631</v>
      </c>
      <c r="B3737" s="43">
        <v>24</v>
      </c>
      <c r="C3737" s="53">
        <f t="shared" ref="C3737:E3737" si="286">B3737/B$3755*C$3755</f>
        <v>12365.806530612244</v>
      </c>
      <c r="D3737" s="53">
        <f t="shared" si="286"/>
        <v>14477.265306122448</v>
      </c>
      <c r="E3737" s="53">
        <f t="shared" si="286"/>
        <v>16651.546530612246</v>
      </c>
      <c r="F3737" s="42">
        <f t="shared" si="268"/>
        <v>43494.618367346935</v>
      </c>
      <c r="G3737" s="40"/>
    </row>
    <row r="3738" spans="1:7" ht="12.75" hidden="1" customHeight="1">
      <c r="A3738" s="74" t="s">
        <v>267</v>
      </c>
      <c r="B3738" s="48"/>
      <c r="C3738" s="42">
        <f t="shared" ref="C3738:E3738" si="287">B3738/B$3755*C$3755</f>
        <v>0</v>
      </c>
      <c r="D3738" s="42">
        <f t="shared" si="287"/>
        <v>0</v>
      </c>
      <c r="E3738" s="42">
        <f t="shared" si="287"/>
        <v>0</v>
      </c>
      <c r="F3738" s="42">
        <f t="shared" si="268"/>
        <v>0</v>
      </c>
      <c r="G3738" s="40"/>
    </row>
    <row r="3739" spans="1:7" ht="12.75" hidden="1" customHeight="1">
      <c r="A3739" s="74" t="s">
        <v>268</v>
      </c>
      <c r="B3739" s="43"/>
      <c r="C3739" s="42">
        <f t="shared" ref="C3739:E3739" si="288">B3739/B$3755*C$3755</f>
        <v>0</v>
      </c>
      <c r="D3739" s="42">
        <f t="shared" si="288"/>
        <v>0</v>
      </c>
      <c r="E3739" s="42">
        <f t="shared" si="288"/>
        <v>0</v>
      </c>
      <c r="F3739" s="42">
        <f t="shared" si="268"/>
        <v>0</v>
      </c>
      <c r="G3739" s="40"/>
    </row>
    <row r="3740" spans="1:7" ht="12.75" hidden="1" customHeight="1">
      <c r="A3740" s="67" t="s">
        <v>269</v>
      </c>
      <c r="B3740" s="43"/>
      <c r="C3740" s="42">
        <f t="shared" ref="C3740:E3740" si="289">B3740/B$3755*C$3755</f>
        <v>0</v>
      </c>
      <c r="D3740" s="42">
        <f t="shared" si="289"/>
        <v>0</v>
      </c>
      <c r="E3740" s="42">
        <f t="shared" si="289"/>
        <v>0</v>
      </c>
      <c r="F3740" s="42">
        <f t="shared" si="268"/>
        <v>0</v>
      </c>
      <c r="G3740" s="40"/>
    </row>
    <row r="3741" spans="1:7" ht="12.75" hidden="1" customHeight="1">
      <c r="A3741" s="159" t="s">
        <v>629</v>
      </c>
      <c r="B3741" s="43"/>
      <c r="C3741" s="42">
        <f t="shared" ref="C3741:E3741" si="290">B3741/B$3755*C$3755</f>
        <v>0</v>
      </c>
      <c r="D3741" s="42">
        <f t="shared" si="290"/>
        <v>0</v>
      </c>
      <c r="E3741" s="42">
        <f t="shared" si="290"/>
        <v>0</v>
      </c>
      <c r="F3741" s="42">
        <f t="shared" si="268"/>
        <v>0</v>
      </c>
      <c r="G3741" s="40"/>
    </row>
    <row r="3742" spans="1:7" ht="12.75" hidden="1" customHeight="1">
      <c r="A3742" s="159" t="s">
        <v>630</v>
      </c>
      <c r="B3742" s="43"/>
      <c r="C3742" s="42">
        <f t="shared" ref="C3742:E3742" si="291">B3742/B$3755*C$3755</f>
        <v>0</v>
      </c>
      <c r="D3742" s="42">
        <f t="shared" si="291"/>
        <v>0</v>
      </c>
      <c r="E3742" s="42">
        <f t="shared" si="291"/>
        <v>0</v>
      </c>
      <c r="F3742" s="42">
        <f t="shared" si="268"/>
        <v>0</v>
      </c>
      <c r="G3742" s="40"/>
    </row>
    <row r="3743" spans="1:7" ht="12.75" hidden="1" customHeight="1">
      <c r="A3743" s="159" t="s">
        <v>721</v>
      </c>
      <c r="B3743" s="43">
        <v>16</v>
      </c>
      <c r="C3743" s="53">
        <f t="shared" ref="C3743:E3743" si="292">B3743/B$3755*C$3755</f>
        <v>8243.8710204081617</v>
      </c>
      <c r="D3743" s="53">
        <f t="shared" si="292"/>
        <v>9651.5102040816309</v>
      </c>
      <c r="E3743" s="53">
        <f t="shared" si="292"/>
        <v>11101.031020408162</v>
      </c>
      <c r="F3743" s="42">
        <f t="shared" si="268"/>
        <v>28996.412244897954</v>
      </c>
      <c r="G3743" s="40"/>
    </row>
    <row r="3744" spans="1:7" ht="12.75" hidden="1" customHeight="1">
      <c r="A3744" s="67" t="s">
        <v>271</v>
      </c>
      <c r="B3744" s="43"/>
      <c r="C3744" s="42"/>
      <c r="D3744" s="42"/>
      <c r="E3744" s="42"/>
      <c r="F3744" s="42"/>
      <c r="G3744" s="40"/>
    </row>
    <row r="3745" spans="1:7" ht="12.75" hidden="1" customHeight="1">
      <c r="A3745" s="67" t="s">
        <v>272</v>
      </c>
      <c r="B3745" s="43"/>
      <c r="C3745" s="42"/>
      <c r="D3745" s="42"/>
      <c r="E3745" s="42"/>
      <c r="F3745" s="42"/>
      <c r="G3745" s="40"/>
    </row>
    <row r="3746" spans="1:7" ht="12.75" hidden="1" customHeight="1">
      <c r="A3746" s="67" t="s">
        <v>273</v>
      </c>
      <c r="B3746" s="43"/>
      <c r="C3746" s="42"/>
      <c r="D3746" s="42"/>
      <c r="E3746" s="42"/>
      <c r="F3746" s="42"/>
      <c r="G3746" s="40"/>
    </row>
    <row r="3747" spans="1:7" ht="12.75" hidden="1" customHeight="1">
      <c r="A3747" s="67" t="s">
        <v>274</v>
      </c>
      <c r="B3747" s="43"/>
      <c r="C3747" s="42"/>
      <c r="D3747" s="42"/>
      <c r="E3747" s="42"/>
      <c r="F3747" s="42"/>
      <c r="G3747" s="40"/>
    </row>
    <row r="3748" spans="1:7" ht="12.75" hidden="1" customHeight="1">
      <c r="A3748" s="67" t="s">
        <v>275</v>
      </c>
      <c r="B3748" s="43"/>
      <c r="C3748" s="42"/>
      <c r="D3748" s="42"/>
      <c r="E3748" s="42"/>
      <c r="F3748" s="42"/>
      <c r="G3748" s="40"/>
    </row>
    <row r="3749" spans="1:7" ht="12.75" hidden="1" customHeight="1">
      <c r="A3749" s="67" t="s">
        <v>276</v>
      </c>
      <c r="B3749" s="43"/>
      <c r="C3749" s="42"/>
      <c r="D3749" s="42"/>
      <c r="E3749" s="42"/>
      <c r="F3749" s="42"/>
      <c r="G3749" s="40"/>
    </row>
    <row r="3750" spans="1:7" ht="12.75" hidden="1" customHeight="1">
      <c r="A3750" s="67" t="s">
        <v>277</v>
      </c>
      <c r="B3750" s="43"/>
      <c r="C3750" s="42"/>
      <c r="D3750" s="42"/>
      <c r="E3750" s="42"/>
      <c r="F3750" s="42"/>
      <c r="G3750" s="40"/>
    </row>
    <row r="3751" spans="1:7" ht="12.75" hidden="1" customHeight="1">
      <c r="A3751" s="67" t="s">
        <v>536</v>
      </c>
      <c r="B3751" s="43"/>
      <c r="C3751" s="42"/>
      <c r="D3751" s="42"/>
      <c r="E3751" s="42"/>
      <c r="F3751" s="42"/>
      <c r="G3751" s="40"/>
    </row>
    <row r="3752" spans="1:7" ht="12.75" hidden="1" customHeight="1">
      <c r="A3752" s="79" t="s">
        <v>533</v>
      </c>
      <c r="B3752" s="43"/>
      <c r="C3752" s="42"/>
      <c r="D3752" s="42"/>
      <c r="E3752" s="42"/>
      <c r="F3752" s="42"/>
      <c r="G3752" s="40"/>
    </row>
    <row r="3753" spans="1:7" ht="12.75" hidden="1" customHeight="1">
      <c r="A3753" s="49" t="s">
        <v>278</v>
      </c>
      <c r="B3753" s="43"/>
      <c r="C3753" s="42"/>
      <c r="D3753" s="42"/>
      <c r="E3753" s="42"/>
      <c r="F3753" s="42"/>
      <c r="G3753" s="40"/>
    </row>
    <row r="3754" spans="1:7" ht="12.75" hidden="1" customHeight="1">
      <c r="A3754" s="225" t="s">
        <v>621</v>
      </c>
      <c r="B3754" s="43"/>
      <c r="C3754" s="42"/>
      <c r="D3754" s="42"/>
      <c r="E3754" s="42"/>
      <c r="F3754" s="42"/>
      <c r="G3754" s="40"/>
    </row>
    <row r="3755" spans="1:7" ht="12.75" hidden="1" customHeight="1">
      <c r="A3755" s="75" t="s">
        <v>281</v>
      </c>
      <c r="B3755" s="43">
        <f>SUM(B3712:B3754)</f>
        <v>196</v>
      </c>
      <c r="C3755" s="42">
        <f>100987.42</f>
        <v>100987.42</v>
      </c>
      <c r="D3755" s="42">
        <f>11451+61407+22377+16280+6716</f>
        <v>118231</v>
      </c>
      <c r="E3755" s="44">
        <f>135987.63</f>
        <v>135987.63</v>
      </c>
      <c r="F3755" s="42">
        <f>SUM(C3755:E3755)</f>
        <v>355206.05</v>
      </c>
      <c r="G3755" s="40"/>
    </row>
    <row r="3756" spans="1:7" ht="12.75" hidden="1" customHeight="1">
      <c r="A3756" s="219"/>
      <c r="B3756" s="41"/>
      <c r="C3756" s="40"/>
      <c r="D3756" s="40"/>
      <c r="E3756" s="41"/>
      <c r="F3756" s="40"/>
      <c r="G3756" s="40"/>
    </row>
    <row r="3757" spans="1:7" ht="12.75" hidden="1" customHeight="1"/>
    <row r="3758" spans="1:7" ht="12.75" hidden="1" customHeight="1">
      <c r="A3758" s="269" t="s">
        <v>703</v>
      </c>
      <c r="B3758" s="269"/>
      <c r="C3758" s="269"/>
      <c r="D3758" s="269"/>
      <c r="E3758" s="269"/>
      <c r="F3758" s="269"/>
      <c r="G3758" s="40"/>
    </row>
    <row r="3759" spans="1:7" ht="12.75" hidden="1" customHeight="1">
      <c r="A3759" s="42" t="s">
        <v>86</v>
      </c>
      <c r="B3759" s="43" t="s">
        <v>87</v>
      </c>
      <c r="C3759" s="43" t="s">
        <v>88</v>
      </c>
      <c r="D3759" s="43" t="s">
        <v>89</v>
      </c>
      <c r="E3759" s="43" t="s">
        <v>90</v>
      </c>
      <c r="F3759" s="43" t="s">
        <v>91</v>
      </c>
      <c r="G3759" s="40"/>
    </row>
    <row r="3760" spans="1:7" ht="12.75" hidden="1" customHeight="1">
      <c r="A3760" s="39" t="s">
        <v>1</v>
      </c>
      <c r="B3760" s="43"/>
      <c r="C3760" s="44"/>
      <c r="D3760" s="44"/>
      <c r="E3760" s="44"/>
      <c r="F3760" s="44"/>
      <c r="G3760" s="40"/>
    </row>
    <row r="3761" spans="1:7" ht="12.75" hidden="1" customHeight="1">
      <c r="A3761" s="39" t="s">
        <v>2</v>
      </c>
      <c r="B3761" s="43"/>
      <c r="C3761" s="44"/>
      <c r="D3761" s="44"/>
      <c r="E3761" s="44"/>
      <c r="F3761" s="44"/>
      <c r="G3761" s="40"/>
    </row>
    <row r="3762" spans="1:7" ht="12.75" hidden="1" customHeight="1">
      <c r="A3762" s="39" t="s">
        <v>92</v>
      </c>
      <c r="B3762" s="43"/>
      <c r="C3762" s="44"/>
      <c r="D3762" s="44"/>
      <c r="E3762" s="44"/>
      <c r="F3762" s="44"/>
      <c r="G3762" s="40"/>
    </row>
    <row r="3763" spans="1:7" ht="12.75" hidden="1" customHeight="1">
      <c r="A3763" s="39" t="s">
        <v>642</v>
      </c>
      <c r="B3763" s="43"/>
      <c r="C3763" s="44"/>
      <c r="D3763" s="44"/>
      <c r="E3763" s="44"/>
      <c r="F3763" s="44"/>
      <c r="G3763" s="40"/>
    </row>
    <row r="3764" spans="1:7" ht="12.75" hidden="1" customHeight="1">
      <c r="A3764" s="39" t="s">
        <v>644</v>
      </c>
      <c r="B3764" s="43"/>
      <c r="C3764" s="44"/>
      <c r="D3764" s="44"/>
      <c r="E3764" s="44"/>
      <c r="F3764" s="44"/>
      <c r="G3764" s="40"/>
    </row>
    <row r="3765" spans="1:7" ht="12.75" hidden="1" customHeight="1">
      <c r="A3765" s="39" t="s">
        <v>95</v>
      </c>
      <c r="B3765" s="43"/>
      <c r="C3765" s="44"/>
      <c r="D3765" s="44"/>
      <c r="E3765" s="44"/>
      <c r="F3765" s="44"/>
      <c r="G3765" s="40"/>
    </row>
    <row r="3766" spans="1:7" ht="12.75" hidden="1" customHeight="1">
      <c r="A3766" s="39" t="s">
        <v>96</v>
      </c>
      <c r="B3766" s="43"/>
      <c r="C3766" s="44"/>
      <c r="D3766" s="44"/>
      <c r="E3766" s="44"/>
      <c r="F3766" s="44"/>
      <c r="G3766" s="40"/>
    </row>
    <row r="3767" spans="1:7" ht="12.75" hidden="1" customHeight="1">
      <c r="A3767" s="39" t="s">
        <v>97</v>
      </c>
      <c r="B3767" s="43"/>
      <c r="C3767" s="44"/>
      <c r="D3767" s="44"/>
      <c r="E3767" s="44"/>
      <c r="F3767" s="44"/>
      <c r="G3767" s="40"/>
    </row>
    <row r="3768" spans="1:7" ht="12.75" hidden="1" customHeight="1">
      <c r="A3768" s="39" t="s">
        <v>98</v>
      </c>
      <c r="B3768" s="43"/>
      <c r="C3768" s="44"/>
      <c r="D3768" s="44"/>
      <c r="E3768" s="44"/>
      <c r="F3768" s="44"/>
      <c r="G3768" s="40"/>
    </row>
    <row r="3769" spans="1:7" ht="12.75" hidden="1" customHeight="1">
      <c r="A3769" s="39" t="s">
        <v>99</v>
      </c>
      <c r="B3769" s="43"/>
      <c r="C3769" s="44"/>
      <c r="D3769" s="44"/>
      <c r="E3769" s="44"/>
      <c r="F3769" s="44"/>
      <c r="G3769" s="40"/>
    </row>
    <row r="3770" spans="1:7" ht="12.75" hidden="1" customHeight="1">
      <c r="A3770" s="39" t="s">
        <v>646</v>
      </c>
      <c r="B3770" s="45"/>
      <c r="C3770" s="44"/>
      <c r="D3770" s="44"/>
      <c r="E3770" s="44"/>
      <c r="F3770" s="44"/>
      <c r="G3770" s="40"/>
    </row>
    <row r="3771" spans="1:7" ht="12.75" hidden="1" customHeight="1">
      <c r="A3771" s="39" t="s">
        <v>653</v>
      </c>
      <c r="B3771" s="43"/>
      <c r="C3771" s="44"/>
      <c r="D3771" s="44"/>
      <c r="E3771" s="44"/>
      <c r="F3771" s="44"/>
      <c r="G3771" s="40"/>
    </row>
    <row r="3772" spans="1:7" ht="12.75" hidden="1" customHeight="1">
      <c r="A3772" s="39" t="s">
        <v>102</v>
      </c>
      <c r="B3772" s="43"/>
      <c r="C3772" s="44"/>
      <c r="D3772" s="44"/>
      <c r="E3772" s="44"/>
      <c r="F3772" s="44"/>
      <c r="G3772" s="40"/>
    </row>
    <row r="3773" spans="1:7" ht="12.75" hidden="1" customHeight="1">
      <c r="A3773" s="39" t="s">
        <v>103</v>
      </c>
      <c r="B3773" s="43"/>
      <c r="C3773" s="44"/>
      <c r="D3773" s="44"/>
      <c r="E3773" s="44"/>
      <c r="F3773" s="44"/>
      <c r="G3773" s="40"/>
    </row>
    <row r="3774" spans="1:7" ht="12.75" hidden="1" customHeight="1">
      <c r="A3774" s="39" t="s">
        <v>647</v>
      </c>
      <c r="B3774" s="45"/>
      <c r="C3774" s="44"/>
      <c r="D3774" s="44"/>
      <c r="E3774" s="44"/>
      <c r="F3774" s="44"/>
      <c r="G3774" s="40"/>
    </row>
    <row r="3775" spans="1:7" ht="12.75" hidden="1" customHeight="1">
      <c r="A3775" s="39" t="s">
        <v>104</v>
      </c>
      <c r="B3775" s="45"/>
      <c r="C3775" s="44"/>
      <c r="D3775" s="44"/>
      <c r="E3775" s="44"/>
      <c r="F3775" s="44"/>
      <c r="G3775" s="40"/>
    </row>
    <row r="3776" spans="1:7" ht="12.75" hidden="1" customHeight="1">
      <c r="A3776" s="39" t="s">
        <v>105</v>
      </c>
      <c r="B3776" s="43"/>
      <c r="C3776" s="44"/>
      <c r="D3776" s="44"/>
      <c r="E3776" s="44"/>
      <c r="F3776" s="44"/>
      <c r="G3776" s="40"/>
    </row>
    <row r="3777" spans="1:7" ht="12.75" hidden="1" customHeight="1">
      <c r="A3777" s="39" t="s">
        <v>654</v>
      </c>
      <c r="B3777" s="43"/>
      <c r="C3777" s="44"/>
      <c r="D3777" s="44"/>
      <c r="E3777" s="44"/>
      <c r="F3777" s="44"/>
      <c r="G3777" s="40"/>
    </row>
    <row r="3778" spans="1:7" ht="12.75" hidden="1" customHeight="1">
      <c r="A3778" s="39" t="s">
        <v>655</v>
      </c>
      <c r="B3778" s="43"/>
      <c r="C3778" s="44"/>
      <c r="D3778" s="44"/>
      <c r="E3778" s="44"/>
      <c r="F3778" s="44"/>
      <c r="G3778" s="40"/>
    </row>
    <row r="3779" spans="1:7" ht="12.75" hidden="1" customHeight="1">
      <c r="A3779" s="39" t="s">
        <v>108</v>
      </c>
      <c r="B3779" s="45"/>
      <c r="C3779" s="44"/>
      <c r="D3779" s="44"/>
      <c r="E3779" s="44"/>
      <c r="F3779" s="44"/>
      <c r="G3779" s="40"/>
    </row>
    <row r="3780" spans="1:7" ht="12.75" hidden="1" customHeight="1">
      <c r="A3780" s="39" t="s">
        <v>109</v>
      </c>
      <c r="B3780" s="43"/>
      <c r="C3780" s="44"/>
      <c r="D3780" s="44"/>
      <c r="E3780" s="44"/>
      <c r="F3780" s="44"/>
      <c r="G3780" s="40"/>
    </row>
    <row r="3781" spans="1:7" ht="12.75" hidden="1" customHeight="1">
      <c r="A3781" s="39" t="s">
        <v>110</v>
      </c>
      <c r="B3781" s="43"/>
      <c r="C3781" s="44"/>
      <c r="D3781" s="44"/>
      <c r="E3781" s="44"/>
      <c r="F3781" s="44"/>
      <c r="G3781" s="40"/>
    </row>
    <row r="3782" spans="1:7" ht="12.75" hidden="1" customHeight="1">
      <c r="A3782" s="39" t="s">
        <v>656</v>
      </c>
      <c r="B3782" s="45"/>
      <c r="C3782" s="44"/>
      <c r="D3782" s="44"/>
      <c r="E3782" s="44"/>
      <c r="F3782" s="44"/>
      <c r="G3782" s="40"/>
    </row>
    <row r="3783" spans="1:7" ht="12.75" hidden="1" customHeight="1">
      <c r="A3783" s="39" t="s">
        <v>652</v>
      </c>
      <c r="B3783" s="45"/>
      <c r="C3783" s="44"/>
      <c r="D3783" s="44"/>
      <c r="E3783" s="44"/>
      <c r="F3783" s="44"/>
      <c r="G3783" s="40"/>
    </row>
    <row r="3784" spans="1:7" ht="12.75" hidden="1" customHeight="1">
      <c r="A3784" s="39" t="s">
        <v>409</v>
      </c>
      <c r="B3784" s="43"/>
      <c r="C3784" s="44"/>
      <c r="D3784" s="44"/>
      <c r="E3784" s="44"/>
      <c r="F3784" s="44"/>
      <c r="G3784" s="40"/>
    </row>
    <row r="3785" spans="1:7" ht="12.75" hidden="1" customHeight="1">
      <c r="A3785" s="39" t="s">
        <v>501</v>
      </c>
      <c r="B3785" s="43"/>
      <c r="C3785" s="44"/>
      <c r="D3785" s="44"/>
      <c r="E3785" s="44"/>
      <c r="F3785" s="44"/>
      <c r="G3785" s="40"/>
    </row>
    <row r="3786" spans="1:7" ht="12.75" hidden="1" customHeight="1">
      <c r="A3786" s="39" t="s">
        <v>645</v>
      </c>
      <c r="B3786" s="43"/>
      <c r="C3786" s="44"/>
      <c r="D3786" s="44"/>
      <c r="E3786" s="44"/>
      <c r="F3786" s="44"/>
      <c r="G3786" s="40"/>
    </row>
    <row r="3787" spans="1:7" ht="12.75" hidden="1" customHeight="1">
      <c r="A3787" s="39" t="s">
        <v>116</v>
      </c>
      <c r="B3787" s="43"/>
      <c r="C3787" s="44"/>
      <c r="D3787" s="44"/>
      <c r="E3787" s="44"/>
      <c r="F3787" s="44"/>
      <c r="G3787" s="40"/>
    </row>
    <row r="3788" spans="1:7" ht="12.75" hidden="1" customHeight="1">
      <c r="A3788" s="39" t="s">
        <v>117</v>
      </c>
      <c r="B3788" s="43"/>
      <c r="C3788" s="44"/>
      <c r="D3788" s="44"/>
      <c r="E3788" s="44"/>
      <c r="F3788" s="44"/>
      <c r="G3788" s="40"/>
    </row>
    <row r="3789" spans="1:7" ht="12.75" hidden="1" customHeight="1">
      <c r="A3789" s="39" t="s">
        <v>118</v>
      </c>
      <c r="B3789" s="45"/>
      <c r="C3789" s="44"/>
      <c r="D3789" s="44"/>
      <c r="E3789" s="44"/>
      <c r="F3789" s="44"/>
      <c r="G3789" s="40"/>
    </row>
    <row r="3790" spans="1:7" ht="12.75" hidden="1" customHeight="1">
      <c r="A3790" s="39" t="s">
        <v>643</v>
      </c>
      <c r="B3790" s="43"/>
      <c r="C3790" s="44"/>
      <c r="D3790" s="44"/>
      <c r="E3790" s="44"/>
      <c r="F3790" s="44"/>
      <c r="G3790" s="40"/>
    </row>
    <row r="3791" spans="1:7" ht="12.75" hidden="1" customHeight="1">
      <c r="A3791" s="39" t="s">
        <v>643</v>
      </c>
      <c r="B3791" s="43"/>
      <c r="C3791" s="44"/>
      <c r="D3791" s="44"/>
      <c r="E3791" s="44"/>
      <c r="F3791" s="44"/>
      <c r="G3791" s="40"/>
    </row>
    <row r="3792" spans="1:7" ht="12.75" hidden="1" customHeight="1">
      <c r="A3792" s="39" t="s">
        <v>120</v>
      </c>
      <c r="B3792" s="45"/>
      <c r="C3792" s="44"/>
      <c r="D3792" s="44"/>
      <c r="E3792" s="44"/>
      <c r="F3792" s="44"/>
      <c r="G3792" s="40"/>
    </row>
    <row r="3793" spans="1:7" ht="12.75" hidden="1" customHeight="1">
      <c r="A3793" s="39" t="s">
        <v>121</v>
      </c>
      <c r="B3793" s="45"/>
      <c r="C3793" s="44"/>
      <c r="D3793" s="44"/>
      <c r="E3793" s="44"/>
      <c r="F3793" s="44"/>
      <c r="G3793" s="40"/>
    </row>
    <row r="3794" spans="1:7" ht="12.75" hidden="1" customHeight="1">
      <c r="A3794" s="39" t="s">
        <v>122</v>
      </c>
      <c r="B3794" s="43"/>
      <c r="C3794" s="44"/>
      <c r="D3794" s="44"/>
      <c r="E3794" s="44"/>
      <c r="F3794" s="44"/>
      <c r="G3794" s="40"/>
    </row>
    <row r="3795" spans="1:7" ht="12.75" hidden="1" customHeight="1">
      <c r="A3795" s="39" t="s">
        <v>123</v>
      </c>
      <c r="B3795" s="43"/>
      <c r="C3795" s="44"/>
      <c r="D3795" s="44"/>
      <c r="E3795" s="44"/>
      <c r="F3795" s="44"/>
      <c r="G3795" s="40"/>
    </row>
    <row r="3796" spans="1:7" ht="12.75" hidden="1" customHeight="1">
      <c r="A3796" s="39" t="s">
        <v>124</v>
      </c>
      <c r="B3796" s="43"/>
      <c r="C3796" s="44"/>
      <c r="D3796" s="44"/>
      <c r="E3796" s="44"/>
      <c r="F3796" s="44"/>
      <c r="G3796" s="40"/>
    </row>
    <row r="3797" spans="1:7" ht="12.75" hidden="1" customHeight="1">
      <c r="A3797" s="39" t="s">
        <v>125</v>
      </c>
      <c r="B3797" s="43"/>
      <c r="C3797" s="44"/>
      <c r="D3797" s="44"/>
      <c r="E3797" s="44"/>
      <c r="F3797" s="44"/>
      <c r="G3797" s="40"/>
    </row>
    <row r="3798" spans="1:7" ht="12.75" hidden="1" customHeight="1">
      <c r="A3798" s="39" t="s">
        <v>126</v>
      </c>
      <c r="B3798" s="45"/>
      <c r="C3798" s="44"/>
      <c r="D3798" s="44"/>
      <c r="E3798" s="44"/>
      <c r="F3798" s="44"/>
      <c r="G3798" s="40"/>
    </row>
    <row r="3799" spans="1:7" ht="12.75" hidden="1" customHeight="1">
      <c r="A3799" s="39" t="s">
        <v>127</v>
      </c>
      <c r="B3799" s="43"/>
      <c r="C3799" s="44"/>
      <c r="D3799" s="44"/>
      <c r="E3799" s="44"/>
      <c r="F3799" s="44"/>
      <c r="G3799" s="40"/>
    </row>
    <row r="3800" spans="1:7" ht="12.75" hidden="1" customHeight="1">
      <c r="A3800" s="39" t="s">
        <v>648</v>
      </c>
      <c r="B3800" s="43"/>
      <c r="C3800" s="44"/>
      <c r="D3800" s="44"/>
      <c r="E3800" s="44"/>
      <c r="F3800" s="44"/>
      <c r="G3800" s="40"/>
    </row>
    <row r="3801" spans="1:7" ht="12.75" hidden="1" customHeight="1">
      <c r="A3801" s="39" t="s">
        <v>129</v>
      </c>
      <c r="B3801" s="45"/>
      <c r="C3801" s="44"/>
      <c r="D3801" s="44"/>
      <c r="E3801" s="44"/>
      <c r="F3801" s="44"/>
      <c r="G3801" s="40"/>
    </row>
    <row r="3802" spans="1:7" ht="12.75" hidden="1" customHeight="1">
      <c r="A3802" s="39" t="s">
        <v>651</v>
      </c>
      <c r="B3802" s="45"/>
      <c r="C3802" s="44"/>
      <c r="D3802" s="44"/>
      <c r="E3802" s="44"/>
      <c r="F3802" s="44"/>
      <c r="G3802" s="40"/>
    </row>
    <row r="3803" spans="1:7" ht="12.75" hidden="1" customHeight="1">
      <c r="A3803" s="39" t="s">
        <v>649</v>
      </c>
      <c r="B3803" s="45"/>
      <c r="C3803" s="44"/>
      <c r="D3803" s="44"/>
      <c r="E3803" s="44"/>
      <c r="F3803" s="44"/>
      <c r="G3803" s="40"/>
    </row>
    <row r="3804" spans="1:7" ht="12.75" hidden="1" customHeight="1">
      <c r="A3804" s="39" t="s">
        <v>132</v>
      </c>
      <c r="B3804" s="43"/>
      <c r="C3804" s="44"/>
      <c r="D3804" s="44"/>
      <c r="E3804" s="44"/>
      <c r="F3804" s="44"/>
      <c r="G3804" s="40"/>
    </row>
    <row r="3805" spans="1:7" ht="12.75" hidden="1" customHeight="1">
      <c r="A3805" s="39" t="s">
        <v>133</v>
      </c>
      <c r="B3805" s="43"/>
      <c r="C3805" s="44"/>
      <c r="D3805" s="44"/>
      <c r="E3805" s="44"/>
      <c r="F3805" s="44"/>
      <c r="G3805" s="40"/>
    </row>
    <row r="3806" spans="1:7" ht="12.75" hidden="1" customHeight="1">
      <c r="A3806" s="39" t="s">
        <v>134</v>
      </c>
      <c r="B3806" s="45"/>
      <c r="C3806" s="44"/>
      <c r="D3806" s="44"/>
      <c r="E3806" s="44"/>
      <c r="F3806" s="44"/>
      <c r="G3806" s="40"/>
    </row>
    <row r="3807" spans="1:7" ht="12.75" hidden="1" customHeight="1">
      <c r="A3807" s="39" t="s">
        <v>135</v>
      </c>
      <c r="B3807" s="45"/>
      <c r="C3807" s="44"/>
      <c r="D3807" s="44"/>
      <c r="E3807" s="44"/>
      <c r="F3807" s="44"/>
      <c r="G3807" s="40"/>
    </row>
    <row r="3808" spans="1:7" ht="12.75" hidden="1" customHeight="1">
      <c r="A3808" s="39" t="s">
        <v>136</v>
      </c>
      <c r="B3808" s="43"/>
      <c r="C3808" s="44"/>
      <c r="D3808" s="44"/>
      <c r="E3808" s="44"/>
      <c r="F3808" s="44"/>
      <c r="G3808" s="40"/>
    </row>
    <row r="3809" spans="1:7" ht="12.75" hidden="1" customHeight="1">
      <c r="A3809" s="39" t="s">
        <v>137</v>
      </c>
      <c r="B3809" s="45"/>
      <c r="C3809" s="44"/>
      <c r="D3809" s="44"/>
      <c r="E3809" s="44"/>
      <c r="F3809" s="44"/>
      <c r="G3809" s="40"/>
    </row>
    <row r="3810" spans="1:7" ht="12.75" hidden="1" customHeight="1">
      <c r="A3810" s="39" t="s">
        <v>650</v>
      </c>
      <c r="B3810" s="45"/>
      <c r="C3810" s="44"/>
      <c r="D3810" s="44"/>
      <c r="E3810" s="44"/>
      <c r="F3810" s="44"/>
      <c r="G3810" s="40"/>
    </row>
    <row r="3811" spans="1:7" ht="12.75" hidden="1" customHeight="1">
      <c r="A3811" s="39" t="s">
        <v>138</v>
      </c>
      <c r="B3811" s="45"/>
      <c r="C3811" s="44"/>
      <c r="D3811" s="44"/>
      <c r="E3811" s="44"/>
      <c r="F3811" s="44"/>
      <c r="G3811" s="40"/>
    </row>
    <row r="3812" spans="1:7" ht="12.75" hidden="1" customHeight="1">
      <c r="A3812" s="39" t="s">
        <v>502</v>
      </c>
      <c r="B3812" s="45"/>
      <c r="C3812" s="44"/>
      <c r="D3812" s="44"/>
      <c r="E3812" s="44"/>
      <c r="F3812" s="44"/>
      <c r="G3812" s="40"/>
    </row>
    <row r="3813" spans="1:7" ht="12.75" hidden="1" customHeight="1">
      <c r="A3813" s="39" t="s">
        <v>503</v>
      </c>
      <c r="B3813" s="45"/>
      <c r="C3813" s="44"/>
      <c r="D3813" s="44"/>
      <c r="E3813" s="44"/>
      <c r="F3813" s="44"/>
      <c r="G3813" s="40"/>
    </row>
    <row r="3814" spans="1:7" ht="12.75" hidden="1" customHeight="1">
      <c r="A3814" s="46" t="s">
        <v>140</v>
      </c>
      <c r="B3814" s="45"/>
      <c r="C3814" s="44"/>
      <c r="D3814" s="44"/>
      <c r="E3814" s="44"/>
      <c r="F3814" s="44"/>
      <c r="G3814" s="40"/>
    </row>
    <row r="3815" spans="1:7" ht="12.75" hidden="1" customHeight="1">
      <c r="A3815" s="46" t="s">
        <v>141</v>
      </c>
      <c r="B3815" s="45"/>
      <c r="C3815" s="44"/>
      <c r="D3815" s="44"/>
      <c r="E3815" s="44"/>
      <c r="F3815" s="44"/>
      <c r="G3815" s="40"/>
    </row>
    <row r="3816" spans="1:7" ht="12.75" hidden="1" customHeight="1">
      <c r="A3816" s="46" t="s">
        <v>142</v>
      </c>
      <c r="B3816" s="45"/>
      <c r="C3816" s="44"/>
      <c r="D3816" s="44"/>
      <c r="E3816" s="44"/>
      <c r="F3816" s="44"/>
      <c r="G3816" s="40"/>
    </row>
    <row r="3817" spans="1:7" ht="12.75" hidden="1" customHeight="1">
      <c r="A3817" s="46" t="s">
        <v>143</v>
      </c>
      <c r="B3817" s="45"/>
      <c r="C3817" s="44"/>
      <c r="D3817" s="44"/>
      <c r="E3817" s="44"/>
      <c r="F3817" s="44"/>
      <c r="G3817" s="40"/>
    </row>
    <row r="3818" spans="1:7" ht="12.75" hidden="1" customHeight="1">
      <c r="A3818" s="46" t="s">
        <v>146</v>
      </c>
      <c r="B3818" s="45"/>
      <c r="C3818" s="44"/>
      <c r="D3818" s="44"/>
      <c r="E3818" s="44"/>
      <c r="F3818" s="44"/>
      <c r="G3818" s="40"/>
    </row>
    <row r="3819" spans="1:7" ht="12.75" hidden="1" customHeight="1">
      <c r="A3819" s="46" t="s">
        <v>147</v>
      </c>
      <c r="B3819" s="45"/>
      <c r="C3819" s="44"/>
      <c r="D3819" s="44"/>
      <c r="E3819" s="44"/>
      <c r="F3819" s="44"/>
      <c r="G3819" s="40"/>
    </row>
    <row r="3820" spans="1:7" ht="12.75" hidden="1" customHeight="1">
      <c r="A3820" s="46" t="s">
        <v>148</v>
      </c>
      <c r="B3820" s="45"/>
      <c r="C3820" s="44"/>
      <c r="D3820" s="44"/>
      <c r="E3820" s="44"/>
      <c r="F3820" s="44"/>
      <c r="G3820" s="40"/>
    </row>
    <row r="3821" spans="1:7" ht="12.75" hidden="1" customHeight="1">
      <c r="A3821" s="126" t="s">
        <v>526</v>
      </c>
      <c r="B3821" s="47"/>
      <c r="C3821" s="44"/>
      <c r="D3821" s="44"/>
      <c r="E3821" s="44"/>
      <c r="F3821" s="44"/>
      <c r="G3821" s="40"/>
    </row>
    <row r="3822" spans="1:7" ht="12.75" hidden="1" customHeight="1">
      <c r="A3822" s="126" t="s">
        <v>601</v>
      </c>
      <c r="B3822" s="47"/>
      <c r="C3822" s="44"/>
      <c r="D3822" s="44"/>
      <c r="E3822" s="44"/>
      <c r="F3822" s="44"/>
      <c r="G3822" s="40"/>
    </row>
    <row r="3823" spans="1:7" ht="12.75" hidden="1" customHeight="1">
      <c r="A3823" s="48" t="s">
        <v>150</v>
      </c>
      <c r="B3823" s="48"/>
      <c r="C3823" s="49">
        <v>5909.87</v>
      </c>
      <c r="D3823" s="50">
        <v>0</v>
      </c>
      <c r="E3823" s="50">
        <v>139953.66</v>
      </c>
      <c r="F3823" s="50">
        <f>SUM(C3823:E3823)</f>
        <v>145863.53</v>
      </c>
      <c r="G3823" s="40"/>
    </row>
    <row r="3824" spans="1:7" ht="12.75" hidden="1" customHeight="1">
      <c r="A3824" s="238" t="s">
        <v>711</v>
      </c>
    </row>
    <row r="3825" spans="1:7" ht="12.75" hidden="1" customHeight="1"/>
    <row r="3826" spans="1:7" ht="12.75" hidden="1" customHeight="1"/>
    <row r="3827" spans="1:7" ht="12.75" hidden="1" customHeight="1">
      <c r="A3827" s="77" t="s">
        <v>725</v>
      </c>
      <c r="B3827" s="39"/>
      <c r="C3827" s="78"/>
      <c r="D3827" s="78"/>
      <c r="E3827" s="78"/>
      <c r="F3827" s="78"/>
      <c r="G3827" s="40"/>
    </row>
    <row r="3828" spans="1:7" ht="12.75" hidden="1" customHeight="1">
      <c r="A3828" s="206" t="s">
        <v>337</v>
      </c>
      <c r="B3828" s="81" t="s">
        <v>87</v>
      </c>
      <c r="C3828" s="81" t="s">
        <v>338</v>
      </c>
      <c r="D3828" s="78" t="s">
        <v>339</v>
      </c>
      <c r="E3828" s="78" t="s">
        <v>340</v>
      </c>
      <c r="F3828" s="78" t="s">
        <v>341</v>
      </c>
      <c r="G3828" s="40"/>
    </row>
    <row r="3829" spans="1:7" ht="12.75" hidden="1" customHeight="1">
      <c r="A3829" s="206" t="s">
        <v>0</v>
      </c>
      <c r="B3829" s="81">
        <f>16*20</f>
        <v>320</v>
      </c>
      <c r="C3829" s="234">
        <f>B3829/B$3836*C$3836</f>
        <v>58852.256842105257</v>
      </c>
      <c r="D3829" s="234">
        <f t="shared" ref="D3829:E3830" si="293">C3829/C$3836*D$3836</f>
        <v>61343.343157894735</v>
      </c>
      <c r="E3829" s="234">
        <f t="shared" si="293"/>
        <v>68735.894736842107</v>
      </c>
      <c r="F3829" s="81">
        <f>SUM(C3829:E3829)</f>
        <v>188931.49473684211</v>
      </c>
      <c r="G3829" s="40"/>
    </row>
    <row r="3830" spans="1:7" ht="12.75" hidden="1" customHeight="1">
      <c r="A3830" s="206" t="s">
        <v>342</v>
      </c>
      <c r="B3830" s="81">
        <f>22*20</f>
        <v>440</v>
      </c>
      <c r="C3830" s="234">
        <f>B3830/B$3836*C$3836</f>
        <v>80921.85315789473</v>
      </c>
      <c r="D3830" s="234">
        <f t="shared" si="293"/>
        <v>84347.096842105268</v>
      </c>
      <c r="E3830" s="234">
        <f t="shared" si="293"/>
        <v>94511.855263157893</v>
      </c>
      <c r="F3830" s="81">
        <f>SUM(C3830:E3830)</f>
        <v>259780.8052631579</v>
      </c>
      <c r="G3830" s="40"/>
    </row>
    <row r="3831" spans="1:7" ht="12.75" hidden="1" customHeight="1">
      <c r="A3831" s="258" t="s">
        <v>738</v>
      </c>
      <c r="B3831" s="81"/>
      <c r="C3831" s="81"/>
      <c r="D3831" s="81"/>
      <c r="E3831" s="81"/>
      <c r="F3831" s="81"/>
      <c r="G3831" s="40"/>
    </row>
    <row r="3832" spans="1:7" ht="12.75" hidden="1" customHeight="1">
      <c r="A3832" s="206" t="s">
        <v>344</v>
      </c>
      <c r="B3832" s="81"/>
      <c r="C3832" s="81"/>
      <c r="D3832" s="81"/>
      <c r="E3832" s="81"/>
      <c r="F3832" s="81"/>
      <c r="G3832" s="40"/>
    </row>
    <row r="3833" spans="1:7" ht="12.75" hidden="1" customHeight="1">
      <c r="A3833" s="206" t="s">
        <v>345</v>
      </c>
      <c r="B3833" s="81"/>
      <c r="C3833" s="81"/>
      <c r="D3833" s="81"/>
      <c r="E3833" s="81"/>
      <c r="F3833" s="81"/>
      <c r="G3833" s="40"/>
    </row>
    <row r="3834" spans="1:7" ht="12.75" hidden="1" customHeight="1">
      <c r="A3834" s="229" t="s">
        <v>641</v>
      </c>
      <c r="B3834" s="81"/>
      <c r="C3834" s="81"/>
      <c r="D3834" s="81"/>
      <c r="E3834" s="81"/>
      <c r="F3834" s="81"/>
      <c r="G3834" s="40"/>
    </row>
    <row r="3835" spans="1:7" ht="12.75" hidden="1" customHeight="1">
      <c r="A3835" s="227" t="s">
        <v>686</v>
      </c>
      <c r="B3835" s="81"/>
      <c r="C3835" s="81"/>
      <c r="D3835" s="81"/>
      <c r="E3835" s="81"/>
      <c r="F3835" s="81"/>
      <c r="G3835" s="40"/>
    </row>
    <row r="3836" spans="1:7" ht="12.75" hidden="1" customHeight="1">
      <c r="A3836" s="206" t="s">
        <v>346</v>
      </c>
      <c r="B3836" s="205">
        <f>SUM(B3829:B3835)</f>
        <v>760</v>
      </c>
      <c r="C3836" s="205">
        <f>139774.11</f>
        <v>139774.10999999999</v>
      </c>
      <c r="D3836" s="82">
        <f>7842.9+45612.1+11488.74+56885.1+23861.6</f>
        <v>145690.44</v>
      </c>
      <c r="E3836" s="82">
        <f>163247.75</f>
        <v>163247.75</v>
      </c>
      <c r="F3836" s="82">
        <f>SUM(C3836:E3836)</f>
        <v>448712.3</v>
      </c>
      <c r="G3836" s="40"/>
    </row>
    <row r="3837" spans="1:7" ht="12.75" hidden="1" customHeight="1">
      <c r="A3837" s="270" t="s">
        <v>739</v>
      </c>
      <c r="B3837" s="271"/>
      <c r="C3837" s="271"/>
      <c r="D3837" s="271"/>
      <c r="E3837" s="271"/>
      <c r="F3837" s="271"/>
      <c r="G3837" s="40"/>
    </row>
    <row r="3838" spans="1:7" ht="12.75" hidden="1" customHeight="1">
      <c r="A3838" s="272"/>
      <c r="B3838" s="273"/>
      <c r="C3838" s="273"/>
      <c r="D3838" s="273"/>
      <c r="E3838" s="273"/>
      <c r="F3838" s="273"/>
      <c r="G3838" s="40"/>
    </row>
    <row r="3839" spans="1:7" ht="12.75" hidden="1" customHeight="1">
      <c r="A3839" s="83"/>
      <c r="B3839" s="84"/>
      <c r="C3839" s="40"/>
      <c r="D3839" s="40"/>
      <c r="E3839" s="41"/>
      <c r="F3839" s="40"/>
      <c r="G3839" s="40"/>
    </row>
    <row r="3840" spans="1:7" ht="12.75" hidden="1" customHeight="1">
      <c r="A3840" s="85"/>
      <c r="B3840" s="84"/>
      <c r="C3840" s="40"/>
      <c r="D3840" s="40"/>
      <c r="E3840" s="41"/>
      <c r="F3840" s="40"/>
      <c r="G3840" s="40"/>
    </row>
    <row r="3841" spans="1:7" ht="12.75" hidden="1" customHeight="1">
      <c r="A3841" s="77"/>
      <c r="B3841" s="82"/>
      <c r="C3841" s="82"/>
      <c r="D3841" s="82"/>
      <c r="E3841" s="82"/>
      <c r="F3841" s="82"/>
      <c r="G3841" s="40"/>
    </row>
    <row r="3842" spans="1:7" ht="12.75" hidden="1" customHeight="1">
      <c r="A3842" s="77" t="s">
        <v>726</v>
      </c>
      <c r="B3842" s="43" t="s">
        <v>87</v>
      </c>
      <c r="C3842" s="86" t="s">
        <v>88</v>
      </c>
      <c r="D3842" s="86" t="s">
        <v>89</v>
      </c>
      <c r="E3842" s="86" t="s">
        <v>90</v>
      </c>
      <c r="F3842" s="86" t="s">
        <v>91</v>
      </c>
      <c r="G3842" s="40"/>
    </row>
    <row r="3843" spans="1:7" ht="12.75" hidden="1" customHeight="1">
      <c r="A3843" s="87" t="s">
        <v>349</v>
      </c>
      <c r="B3843" s="88"/>
      <c r="C3843" s="88"/>
      <c r="D3843" s="88"/>
      <c r="E3843" s="88"/>
      <c r="F3843" s="88"/>
      <c r="G3843" s="40"/>
    </row>
    <row r="3844" spans="1:7" ht="12.75" hidden="1" customHeight="1">
      <c r="A3844" s="87" t="s">
        <v>350</v>
      </c>
      <c r="B3844" s="88"/>
      <c r="C3844" s="88"/>
      <c r="D3844" s="88"/>
      <c r="E3844" s="88"/>
      <c r="F3844" s="88"/>
      <c r="G3844" s="40"/>
    </row>
    <row r="3845" spans="1:7" ht="12.75" hidden="1" customHeight="1">
      <c r="A3845" s="87" t="s">
        <v>351</v>
      </c>
      <c r="B3845" s="88">
        <f>10/30</f>
        <v>0.33333333333333331</v>
      </c>
      <c r="C3845" s="228">
        <f>B3845*C3854</f>
        <v>84892.093333333323</v>
      </c>
      <c r="D3845" s="228">
        <f>B3845*D3854</f>
        <v>24281.75333333333</v>
      </c>
      <c r="E3845" s="228">
        <f>B3845*E3854</f>
        <v>163475.39666666667</v>
      </c>
      <c r="F3845" s="88">
        <f>SUM(C3845:E3845)</f>
        <v>272649.24333333329</v>
      </c>
      <c r="G3845" s="40"/>
    </row>
    <row r="3846" spans="1:7" ht="12.75" hidden="1" customHeight="1">
      <c r="A3846" s="87" t="s">
        <v>352</v>
      </c>
      <c r="B3846" s="57"/>
      <c r="C3846" s="88"/>
      <c r="D3846" s="88"/>
      <c r="E3846" s="88"/>
      <c r="F3846" s="88"/>
      <c r="G3846" s="40"/>
    </row>
    <row r="3847" spans="1:7" ht="12.75" hidden="1" customHeight="1">
      <c r="A3847" s="87" t="s">
        <v>556</v>
      </c>
      <c r="B3847" s="88"/>
      <c r="C3847" s="88"/>
      <c r="D3847" s="88"/>
      <c r="E3847" s="88"/>
      <c r="F3847" s="88"/>
      <c r="G3847" s="40"/>
    </row>
    <row r="3848" spans="1:7" ht="12.75" hidden="1" customHeight="1">
      <c r="A3848" s="87" t="s">
        <v>354</v>
      </c>
      <c r="B3848" s="88"/>
      <c r="C3848" s="88"/>
      <c r="D3848" s="88"/>
      <c r="E3848" s="88"/>
      <c r="F3848" s="88"/>
      <c r="G3848" s="40"/>
    </row>
    <row r="3849" spans="1:7" ht="12.75" hidden="1" customHeight="1">
      <c r="A3849" s="87" t="s">
        <v>355</v>
      </c>
      <c r="B3849" s="88"/>
      <c r="C3849" s="88"/>
      <c r="D3849" s="88"/>
      <c r="E3849" s="88"/>
      <c r="F3849" s="88"/>
      <c r="G3849" s="40"/>
    </row>
    <row r="3850" spans="1:7" ht="12.75" hidden="1" customHeight="1">
      <c r="A3850" s="87" t="s">
        <v>356</v>
      </c>
      <c r="B3850" s="88"/>
      <c r="C3850" s="88"/>
      <c r="D3850" s="88"/>
      <c r="E3850" s="88"/>
      <c r="F3850" s="88"/>
      <c r="G3850" s="40"/>
    </row>
    <row r="3851" spans="1:7" ht="12.75" hidden="1" customHeight="1">
      <c r="A3851" s="87" t="s">
        <v>357</v>
      </c>
      <c r="B3851" s="57"/>
      <c r="C3851" s="88"/>
      <c r="D3851" s="88"/>
      <c r="E3851" s="88"/>
      <c r="F3851" s="88"/>
      <c r="G3851" s="40"/>
    </row>
    <row r="3852" spans="1:7" ht="12.75" hidden="1" customHeight="1">
      <c r="A3852" s="227" t="s">
        <v>639</v>
      </c>
      <c r="B3852" s="57"/>
      <c r="C3852" s="88"/>
      <c r="D3852" s="88"/>
      <c r="E3852" s="88"/>
      <c r="F3852" s="88"/>
      <c r="G3852" s="40"/>
    </row>
    <row r="3853" spans="1:7" ht="12.75" hidden="1" customHeight="1">
      <c r="A3853" s="227" t="s">
        <v>686</v>
      </c>
      <c r="B3853" s="57">
        <f>20/30</f>
        <v>0.66666666666666663</v>
      </c>
      <c r="C3853" s="228">
        <f>B3853*C3854</f>
        <v>169784.18666666665</v>
      </c>
      <c r="D3853" s="228">
        <f>B3853*D3854</f>
        <v>48563.506666666661</v>
      </c>
      <c r="E3853" s="228">
        <f>B3853*E3854</f>
        <v>326950.79333333333</v>
      </c>
      <c r="F3853" s="88">
        <f>SUM(C3853:E3853)</f>
        <v>545298.48666666658</v>
      </c>
      <c r="G3853" s="40"/>
    </row>
    <row r="3854" spans="1:7" ht="12.75" hidden="1" customHeight="1">
      <c r="A3854" s="77" t="s">
        <v>346</v>
      </c>
      <c r="B3854" s="82">
        <f>SUM(B3845:B3853)</f>
        <v>1</v>
      </c>
      <c r="C3854" s="82">
        <f>254676.28</f>
        <v>254676.28</v>
      </c>
      <c r="D3854" s="82">
        <f>3921.5+22806.1+5744.36+28467.5+11905.8</f>
        <v>72845.259999999995</v>
      </c>
      <c r="E3854" s="82">
        <f>490426.19</f>
        <v>490426.19</v>
      </c>
      <c r="F3854" s="82">
        <f>SUM(C3854:E3854)</f>
        <v>817947.73</v>
      </c>
      <c r="G3854" s="40"/>
    </row>
    <row r="3855" spans="1:7" ht="12.75" hidden="1" customHeight="1">
      <c r="A3855" s="151" t="s">
        <v>736</v>
      </c>
      <c r="B3855" s="84"/>
      <c r="C3855" s="84"/>
      <c r="D3855" s="84"/>
      <c r="E3855" s="84"/>
      <c r="F3855" s="84"/>
      <c r="G3855" s="90"/>
    </row>
    <row r="3856" spans="1:7" ht="12.75" hidden="1" customHeight="1">
      <c r="A3856" s="85" t="s">
        <v>737</v>
      </c>
      <c r="B3856" s="84"/>
      <c r="C3856" s="84"/>
      <c r="D3856" s="84"/>
      <c r="E3856" s="84"/>
      <c r="F3856" s="84"/>
      <c r="G3856" s="90"/>
    </row>
    <row r="3857" spans="1:7" ht="12.75" hidden="1" customHeight="1">
      <c r="A3857" s="91"/>
      <c r="B3857" s="84"/>
      <c r="C3857" s="84"/>
      <c r="D3857" s="84"/>
      <c r="E3857" s="84"/>
      <c r="F3857" s="84"/>
      <c r="G3857" s="90"/>
    </row>
    <row r="3858" spans="1:7" ht="12.75" hidden="1" customHeight="1">
      <c r="A3858" s="91"/>
      <c r="B3858" s="84"/>
      <c r="C3858" s="84"/>
      <c r="D3858" s="84"/>
      <c r="E3858" s="84"/>
      <c r="F3858" s="84"/>
      <c r="G3858" s="40"/>
    </row>
    <row r="3859" spans="1:7" ht="12.75" hidden="1" customHeight="1">
      <c r="A3859" s="83"/>
      <c r="B3859" s="92"/>
      <c r="C3859" s="92"/>
      <c r="D3859" s="92"/>
      <c r="E3859" s="92"/>
      <c r="F3859" s="92"/>
      <c r="G3859" s="40"/>
    </row>
    <row r="3860" spans="1:7" ht="12.75" hidden="1" customHeight="1">
      <c r="A3860" s="77" t="s">
        <v>727</v>
      </c>
      <c r="B3860" s="43" t="s">
        <v>87</v>
      </c>
      <c r="C3860" s="78" t="s">
        <v>338</v>
      </c>
      <c r="D3860" s="78" t="s">
        <v>339</v>
      </c>
      <c r="E3860" s="78" t="s">
        <v>340</v>
      </c>
      <c r="F3860" s="78" t="s">
        <v>341</v>
      </c>
      <c r="G3860" s="40"/>
    </row>
    <row r="3861" spans="1:7" ht="12.75" hidden="1" customHeight="1">
      <c r="A3861" s="80" t="s">
        <v>361</v>
      </c>
      <c r="B3861" s="93"/>
      <c r="C3861" s="94"/>
      <c r="D3861" s="94"/>
      <c r="E3861" s="94"/>
      <c r="F3861" s="94"/>
      <c r="G3861" s="40"/>
    </row>
    <row r="3862" spans="1:7" ht="12.75" hidden="1" customHeight="1">
      <c r="A3862" s="80" t="s">
        <v>362</v>
      </c>
      <c r="B3862" s="93">
        <f>29*48</f>
        <v>1392</v>
      </c>
      <c r="C3862" s="204">
        <f>B3862/B$3872*C$3872</f>
        <v>55257.364126984125</v>
      </c>
      <c r="D3862" s="204">
        <f t="shared" ref="D3862:E3862" si="294">C3862/C$3872*D$3872</f>
        <v>14193.575873015872</v>
      </c>
      <c r="E3862" s="204">
        <f t="shared" si="294"/>
        <v>35795.41349206349</v>
      </c>
      <c r="F3862" s="94">
        <f>SUM(C3862:E3862)</f>
        <v>105246.3534920635</v>
      </c>
      <c r="G3862" s="40"/>
    </row>
    <row r="3863" spans="1:7" ht="12.75" hidden="1" customHeight="1">
      <c r="A3863" s="80" t="s">
        <v>363</v>
      </c>
      <c r="B3863" s="93">
        <f>29*48</f>
        <v>1392</v>
      </c>
      <c r="C3863" s="204">
        <f t="shared" ref="C3863:E3863" si="295">B3863/B$3872*C$3872</f>
        <v>55257.364126984125</v>
      </c>
      <c r="D3863" s="204">
        <f t="shared" si="295"/>
        <v>14193.575873015872</v>
      </c>
      <c r="E3863" s="204">
        <f t="shared" si="295"/>
        <v>35795.41349206349</v>
      </c>
      <c r="F3863" s="94">
        <f t="shared" ref="F3863:F3871" si="296">SUM(C3863:E3863)</f>
        <v>105246.3534920635</v>
      </c>
      <c r="G3863" s="40"/>
    </row>
    <row r="3864" spans="1:7" ht="12.75" hidden="1" customHeight="1">
      <c r="A3864" s="80" t="s">
        <v>364</v>
      </c>
      <c r="B3864" s="93"/>
      <c r="C3864" s="94">
        <f t="shared" ref="C3864:E3864" si="297">B3864/B$3872*C$3872</f>
        <v>0</v>
      </c>
      <c r="D3864" s="94">
        <f t="shared" si="297"/>
        <v>0</v>
      </c>
      <c r="E3864" s="94">
        <f t="shared" si="297"/>
        <v>0</v>
      </c>
      <c r="F3864" s="94">
        <f t="shared" si="296"/>
        <v>0</v>
      </c>
      <c r="G3864" s="40"/>
    </row>
    <row r="3865" spans="1:7" ht="12.75" hidden="1" customHeight="1">
      <c r="A3865" s="80" t="s">
        <v>365</v>
      </c>
      <c r="B3865" s="93">
        <f>13*12</f>
        <v>156</v>
      </c>
      <c r="C3865" s="204">
        <f t="shared" ref="C3865:E3865" si="298">B3865/B$3872*C$3872</f>
        <v>6192.6356349206344</v>
      </c>
      <c r="D3865" s="204">
        <f t="shared" si="298"/>
        <v>1590.659365079365</v>
      </c>
      <c r="E3865" s="204">
        <f t="shared" si="298"/>
        <v>4011.55496031746</v>
      </c>
      <c r="F3865" s="94">
        <f t="shared" si="296"/>
        <v>11794.849960317459</v>
      </c>
      <c r="G3865" s="40"/>
    </row>
    <row r="3866" spans="1:7" ht="12.75" hidden="1" customHeight="1">
      <c r="A3866" s="80" t="s">
        <v>366</v>
      </c>
      <c r="B3866" s="93">
        <f>4*12</f>
        <v>48</v>
      </c>
      <c r="C3866" s="204">
        <f t="shared" ref="C3866:E3866" si="299">B3866/B$3872*C$3872</f>
        <v>1905.4263492063492</v>
      </c>
      <c r="D3866" s="204">
        <f t="shared" si="299"/>
        <v>489.43365079365077</v>
      </c>
      <c r="E3866" s="204">
        <f t="shared" si="299"/>
        <v>1234.324603174603</v>
      </c>
      <c r="F3866" s="94">
        <f t="shared" si="296"/>
        <v>3629.1846031746031</v>
      </c>
      <c r="G3866" s="40"/>
    </row>
    <row r="3867" spans="1:7" ht="12.75" hidden="1" customHeight="1">
      <c r="A3867" s="203" t="s">
        <v>571</v>
      </c>
      <c r="B3867" s="93">
        <f>2*12</f>
        <v>24</v>
      </c>
      <c r="C3867" s="204">
        <f t="shared" ref="C3867:E3867" si="300">B3867/B$3872*C$3872</f>
        <v>952.71317460317459</v>
      </c>
      <c r="D3867" s="204">
        <f t="shared" si="300"/>
        <v>244.71682539682539</v>
      </c>
      <c r="E3867" s="204">
        <f t="shared" si="300"/>
        <v>617.1623015873015</v>
      </c>
      <c r="F3867" s="94">
        <f t="shared" si="296"/>
        <v>1814.5923015873016</v>
      </c>
      <c r="G3867" s="40"/>
    </row>
    <row r="3868" spans="1:7" ht="12.75" hidden="1" customHeight="1">
      <c r="A3868" s="80" t="s">
        <v>368</v>
      </c>
      <c r="B3868" s="40"/>
      <c r="C3868" s="94">
        <f t="shared" ref="C3868:E3868" si="301">B3868/B$3872*C$3872</f>
        <v>0</v>
      </c>
      <c r="D3868" s="94">
        <f t="shared" si="301"/>
        <v>0</v>
      </c>
      <c r="E3868" s="94">
        <f t="shared" si="301"/>
        <v>0</v>
      </c>
      <c r="F3868" s="94">
        <f t="shared" si="296"/>
        <v>0</v>
      </c>
      <c r="G3868" s="40"/>
    </row>
    <row r="3869" spans="1:7" ht="12.75" hidden="1" customHeight="1">
      <c r="A3869" s="80" t="s">
        <v>369</v>
      </c>
      <c r="B3869" s="93"/>
      <c r="C3869" s="94">
        <f t="shared" ref="C3869:E3869" si="302">B3869/B$3872*C$3872</f>
        <v>0</v>
      </c>
      <c r="D3869" s="94">
        <f t="shared" si="302"/>
        <v>0</v>
      </c>
      <c r="E3869" s="94">
        <f t="shared" si="302"/>
        <v>0</v>
      </c>
      <c r="F3869" s="94">
        <f t="shared" si="296"/>
        <v>0</v>
      </c>
      <c r="G3869" s="40"/>
    </row>
    <row r="3870" spans="1:7" ht="12.75" hidden="1" customHeight="1">
      <c r="A3870" s="80" t="s">
        <v>370</v>
      </c>
      <c r="B3870" s="93">
        <f>1*12</f>
        <v>12</v>
      </c>
      <c r="C3870" s="204">
        <f t="shared" ref="C3870:E3870" si="303">B3870/B$3872*C$3872</f>
        <v>476.3565873015873</v>
      </c>
      <c r="D3870" s="204">
        <f t="shared" si="303"/>
        <v>122.35841269841269</v>
      </c>
      <c r="E3870" s="204">
        <f t="shared" si="303"/>
        <v>308.58115079365075</v>
      </c>
      <c r="F3870" s="94">
        <f t="shared" si="296"/>
        <v>907.29615079365078</v>
      </c>
      <c r="G3870" s="40"/>
    </row>
    <row r="3871" spans="1:7" ht="12.75" hidden="1" customHeight="1">
      <c r="A3871" s="80" t="s">
        <v>524</v>
      </c>
      <c r="B3871" s="93"/>
      <c r="C3871" s="94"/>
      <c r="D3871" s="94"/>
      <c r="E3871" s="94"/>
      <c r="F3871" s="94">
        <f t="shared" si="296"/>
        <v>0</v>
      </c>
      <c r="G3871" s="40"/>
    </row>
    <row r="3872" spans="1:7" ht="12.75" hidden="1" customHeight="1">
      <c r="A3872" s="77" t="s">
        <v>346</v>
      </c>
      <c r="B3872" s="95">
        <f>SUM(B3861:B3871)</f>
        <v>3024</v>
      </c>
      <c r="C3872" s="96">
        <f>120041.86</f>
        <v>120041.86</v>
      </c>
      <c r="D3872" s="96">
        <f>9897.2+3363.12+14724+2850</f>
        <v>30834.32</v>
      </c>
      <c r="E3872" s="96">
        <f>77762.45</f>
        <v>77762.45</v>
      </c>
      <c r="F3872" s="97">
        <f>SUM(C3872:E3872)</f>
        <v>228638.63</v>
      </c>
      <c r="G3872" s="40"/>
    </row>
    <row r="3873" spans="1:7" ht="12.75" hidden="1" customHeight="1">
      <c r="A3873" s="140" t="s">
        <v>734</v>
      </c>
      <c r="B3873" s="99"/>
      <c r="C3873" s="100"/>
      <c r="D3873" s="100"/>
      <c r="E3873" s="100"/>
      <c r="F3873" s="100"/>
      <c r="G3873" s="40"/>
    </row>
    <row r="3874" spans="1:7" ht="12.75" hidden="1" customHeight="1">
      <c r="A3874" s="140" t="s">
        <v>735</v>
      </c>
      <c r="B3874" s="99"/>
      <c r="C3874" s="100"/>
      <c r="D3874" s="100"/>
      <c r="E3874" s="100"/>
      <c r="F3874" s="100"/>
      <c r="G3874" s="40"/>
    </row>
    <row r="3875" spans="1:7" ht="12.75" hidden="1" customHeight="1">
      <c r="A3875" s="98"/>
      <c r="B3875" s="99"/>
      <c r="C3875" s="100"/>
      <c r="D3875" s="115"/>
      <c r="E3875" s="115"/>
      <c r="F3875" s="100"/>
      <c r="G3875" s="40"/>
    </row>
    <row r="3876" spans="1:7" ht="12.75" hidden="1" customHeight="1">
      <c r="A3876" s="101"/>
      <c r="B3876" s="92"/>
      <c r="C3876" s="92"/>
      <c r="D3876" s="115"/>
      <c r="E3876" s="116"/>
      <c r="F3876" s="92"/>
      <c r="G3876" s="40"/>
    </row>
    <row r="3877" spans="1:7" ht="12.75" hidden="1" customHeight="1">
      <c r="A3877" s="101"/>
      <c r="B3877" s="92"/>
      <c r="C3877" s="92"/>
      <c r="D3877" s="92"/>
      <c r="E3877" s="92"/>
      <c r="F3877" s="92"/>
      <c r="G3877" s="40"/>
    </row>
    <row r="3878" spans="1:7" ht="12.75" hidden="1" customHeight="1">
      <c r="A3878" s="101"/>
      <c r="B3878" s="92"/>
      <c r="C3878" s="92"/>
      <c r="D3878" s="92"/>
      <c r="E3878" s="92"/>
      <c r="F3878" s="92"/>
      <c r="G3878" s="40"/>
    </row>
    <row r="3879" spans="1:7" ht="12.75" hidden="1" customHeight="1">
      <c r="A3879" s="77" t="s">
        <v>728</v>
      </c>
      <c r="B3879" s="43" t="s">
        <v>87</v>
      </c>
      <c r="C3879" s="78" t="s">
        <v>338</v>
      </c>
      <c r="D3879" s="78" t="s">
        <v>339</v>
      </c>
      <c r="E3879" s="78" t="s">
        <v>340</v>
      </c>
      <c r="F3879" s="78" t="s">
        <v>341</v>
      </c>
      <c r="G3879" s="40"/>
    </row>
    <row r="3880" spans="1:7" ht="12.75" hidden="1" customHeight="1">
      <c r="A3880" s="87" t="s">
        <v>481</v>
      </c>
      <c r="B3880" s="42"/>
      <c r="C3880" s="112"/>
      <c r="D3880" s="112"/>
      <c r="E3880" s="112"/>
      <c r="F3880" s="112"/>
      <c r="G3880" s="40"/>
    </row>
    <row r="3881" spans="1:7" ht="12.75" hidden="1" customHeight="1">
      <c r="A3881" s="87" t="s">
        <v>482</v>
      </c>
      <c r="B3881" s="42"/>
      <c r="C3881" s="112"/>
      <c r="D3881" s="112"/>
      <c r="E3881" s="112"/>
      <c r="F3881" s="112"/>
      <c r="G3881" s="40"/>
    </row>
    <row r="3882" spans="1:7" ht="12.75" hidden="1" customHeight="1">
      <c r="A3882" s="87" t="s">
        <v>451</v>
      </c>
      <c r="B3882" s="42"/>
      <c r="C3882" s="112"/>
      <c r="D3882" s="112"/>
      <c r="E3882" s="112"/>
      <c r="F3882" s="112"/>
      <c r="G3882" s="40"/>
    </row>
    <row r="3883" spans="1:7" ht="12.75" hidden="1" customHeight="1">
      <c r="A3883" s="87" t="s">
        <v>452</v>
      </c>
      <c r="B3883" s="42"/>
      <c r="C3883" s="112"/>
      <c r="D3883" s="112"/>
      <c r="E3883" s="112"/>
      <c r="F3883" s="112"/>
      <c r="G3883" s="40"/>
    </row>
    <row r="3884" spans="1:7" ht="12.75" hidden="1" customHeight="1">
      <c r="A3884" s="87" t="s">
        <v>453</v>
      </c>
      <c r="B3884" s="42"/>
      <c r="C3884" s="112"/>
      <c r="D3884" s="112"/>
      <c r="E3884" s="112"/>
      <c r="F3884" s="112"/>
      <c r="G3884" s="40"/>
    </row>
    <row r="3885" spans="1:7" ht="12.75" hidden="1" customHeight="1">
      <c r="A3885" s="87" t="s">
        <v>454</v>
      </c>
      <c r="B3885" s="184"/>
      <c r="C3885" s="184"/>
      <c r="D3885" s="184"/>
      <c r="E3885" s="184"/>
      <c r="F3885" s="184"/>
      <c r="G3885" s="40"/>
    </row>
    <row r="3886" spans="1:7" ht="12.75" hidden="1" customHeight="1">
      <c r="A3886" s="87" t="s">
        <v>455</v>
      </c>
      <c r="B3886" s="42"/>
      <c r="C3886" s="112"/>
      <c r="D3886" s="112"/>
      <c r="E3886" s="112"/>
      <c r="F3886" s="112"/>
      <c r="G3886" s="40"/>
    </row>
    <row r="3887" spans="1:7" ht="12.75" hidden="1" customHeight="1">
      <c r="A3887" s="87" t="s">
        <v>456</v>
      </c>
      <c r="B3887" s="93"/>
      <c r="C3887" s="112"/>
      <c r="D3887" s="112"/>
      <c r="E3887" s="112"/>
      <c r="F3887" s="112"/>
      <c r="G3887" s="40"/>
    </row>
    <row r="3888" spans="1:7" ht="12.75" hidden="1" customHeight="1">
      <c r="A3888" s="87" t="s">
        <v>457</v>
      </c>
      <c r="B3888" s="93"/>
      <c r="C3888" s="112"/>
      <c r="D3888" s="112"/>
      <c r="E3888" s="112"/>
      <c r="F3888" s="112"/>
      <c r="G3888" s="40"/>
    </row>
    <row r="3889" spans="1:7" ht="12.75" hidden="1" customHeight="1">
      <c r="A3889" s="87" t="s">
        <v>458</v>
      </c>
      <c r="B3889" s="93"/>
      <c r="C3889" s="112"/>
      <c r="D3889" s="112"/>
      <c r="E3889" s="112"/>
      <c r="F3889" s="112"/>
      <c r="G3889" s="40"/>
    </row>
    <row r="3890" spans="1:7" ht="12.75" hidden="1" customHeight="1">
      <c r="A3890" s="111" t="s">
        <v>480</v>
      </c>
      <c r="B3890" s="93"/>
      <c r="C3890" s="112"/>
      <c r="D3890" s="112"/>
      <c r="E3890" s="112"/>
      <c r="F3890" s="112"/>
      <c r="G3890" s="40"/>
    </row>
    <row r="3891" spans="1:7" ht="12.75" hidden="1" customHeight="1">
      <c r="A3891" s="111" t="s">
        <v>751</v>
      </c>
      <c r="B3891" s="93"/>
      <c r="C3891" s="112"/>
      <c r="D3891" s="112"/>
      <c r="E3891" s="112"/>
      <c r="F3891" s="112"/>
      <c r="G3891" s="40"/>
    </row>
    <row r="3892" spans="1:7" ht="12.75" hidden="1" customHeight="1">
      <c r="A3892" s="111" t="s">
        <v>752</v>
      </c>
      <c r="B3892" s="93">
        <v>30</v>
      </c>
      <c r="C3892" s="112">
        <f>B3892/B$3893*C$3893</f>
        <v>60355.85</v>
      </c>
      <c r="D3892" s="112">
        <f t="shared" ref="D3892:E3892" si="304">C3892/C$3893*D$3893</f>
        <v>69868.759999999995</v>
      </c>
      <c r="E3892" s="112">
        <f t="shared" si="304"/>
        <v>70893.16</v>
      </c>
      <c r="F3892" s="112">
        <f>SUM(C3892:E3892)</f>
        <v>201117.77</v>
      </c>
      <c r="G3892" s="40"/>
    </row>
    <row r="3893" spans="1:7" ht="12.75" hidden="1" customHeight="1">
      <c r="A3893" s="77" t="s">
        <v>346</v>
      </c>
      <c r="B3893" s="95">
        <f>SUM(B3880:B3892)</f>
        <v>30</v>
      </c>
      <c r="C3893" s="108">
        <f>60355.85</f>
        <v>60355.85</v>
      </c>
      <c r="D3893" s="108">
        <f>3688.6+1077.36+26457.2+38645.6</f>
        <v>69868.759999999995</v>
      </c>
      <c r="E3893" s="108">
        <v>70893.16</v>
      </c>
      <c r="F3893" s="207">
        <f>SUM(C3893:E3893)</f>
        <v>201117.77</v>
      </c>
      <c r="G3893" s="40"/>
    </row>
    <row r="3894" spans="1:7" ht="12.75" hidden="1" customHeight="1">
      <c r="A3894" s="151" t="s">
        <v>776</v>
      </c>
      <c r="B3894" s="235"/>
      <c r="C3894" s="236"/>
      <c r="D3894" s="236"/>
      <c r="E3894" s="236"/>
      <c r="F3894" s="236"/>
      <c r="G3894" s="90"/>
    </row>
    <row r="3895" spans="1:7" ht="12.75" hidden="1" customHeight="1">
      <c r="A3895" s="151"/>
      <c r="B3895" s="235"/>
      <c r="C3895" s="236"/>
      <c r="D3895" s="236"/>
      <c r="E3895" s="236"/>
      <c r="F3895" s="236"/>
      <c r="G3895" s="90"/>
    </row>
    <row r="3896" spans="1:7" ht="12.75" hidden="1" customHeight="1">
      <c r="A3896" s="151"/>
      <c r="B3896" s="235"/>
      <c r="C3896" s="236"/>
      <c r="D3896" s="236"/>
      <c r="E3896" s="236"/>
      <c r="F3896" s="236"/>
      <c r="G3896" s="90"/>
    </row>
    <row r="3897" spans="1:7" ht="12.75" hidden="1" customHeight="1">
      <c r="A3897" s="269" t="s">
        <v>729</v>
      </c>
      <c r="B3897" s="269"/>
      <c r="C3897" s="269"/>
      <c r="D3897" s="269"/>
      <c r="E3897" s="269"/>
      <c r="F3897" s="269"/>
      <c r="G3897" s="90"/>
    </row>
    <row r="3898" spans="1:7" ht="12.75" hidden="1" customHeight="1">
      <c r="A3898" s="42" t="s">
        <v>86</v>
      </c>
      <c r="B3898" s="43" t="s">
        <v>87</v>
      </c>
      <c r="C3898" s="43" t="s">
        <v>88</v>
      </c>
      <c r="D3898" s="43" t="s">
        <v>89</v>
      </c>
      <c r="E3898" s="43" t="s">
        <v>90</v>
      </c>
      <c r="F3898" s="43" t="s">
        <v>91</v>
      </c>
      <c r="G3898" s="90"/>
    </row>
    <row r="3899" spans="1:7" ht="12.75" hidden="1" customHeight="1">
      <c r="A3899" s="39" t="s">
        <v>284</v>
      </c>
      <c r="B3899" s="43"/>
      <c r="C3899" s="44"/>
      <c r="D3899" s="44"/>
      <c r="E3899" s="44"/>
      <c r="F3899" s="44"/>
      <c r="G3899" s="116"/>
    </row>
    <row r="3900" spans="1:7" ht="12.75" hidden="1" customHeight="1">
      <c r="A3900" s="39" t="s">
        <v>285</v>
      </c>
      <c r="B3900" s="43"/>
      <c r="C3900" s="44"/>
      <c r="D3900" s="44"/>
      <c r="E3900" s="44"/>
      <c r="F3900" s="44"/>
    </row>
    <row r="3901" spans="1:7" ht="12.75" hidden="1" customHeight="1">
      <c r="A3901" s="39" t="s">
        <v>286</v>
      </c>
      <c r="B3901" s="43"/>
      <c r="C3901" s="44"/>
      <c r="D3901" s="44"/>
      <c r="E3901" s="44"/>
      <c r="F3901" s="44"/>
    </row>
    <row r="3902" spans="1:7" ht="12.75" hidden="1" customHeight="1">
      <c r="A3902" s="39" t="s">
        <v>287</v>
      </c>
      <c r="B3902" s="43"/>
      <c r="C3902" s="44"/>
      <c r="D3902" s="44"/>
      <c r="E3902" s="44"/>
      <c r="F3902" s="44"/>
    </row>
    <row r="3903" spans="1:7" ht="12.75" hidden="1" customHeight="1">
      <c r="A3903" s="39" t="s">
        <v>288</v>
      </c>
      <c r="B3903" s="43"/>
      <c r="C3903" s="44"/>
      <c r="D3903" s="44"/>
      <c r="E3903" s="44"/>
      <c r="F3903" s="44"/>
    </row>
    <row r="3904" spans="1:7" ht="12.75" hidden="1" customHeight="1">
      <c r="A3904" s="39" t="s">
        <v>289</v>
      </c>
      <c r="B3904" s="43"/>
      <c r="C3904" s="44"/>
      <c r="D3904" s="44"/>
      <c r="E3904" s="44"/>
      <c r="F3904" s="44"/>
    </row>
    <row r="3905" spans="1:6" ht="12.75" hidden="1" customHeight="1">
      <c r="A3905" s="39" t="s">
        <v>290</v>
      </c>
      <c r="B3905" s="43"/>
      <c r="C3905" s="44"/>
      <c r="D3905" s="44"/>
      <c r="E3905" s="44"/>
      <c r="F3905" s="44"/>
    </row>
    <row r="3906" spans="1:6" ht="12.75" hidden="1" customHeight="1">
      <c r="A3906" s="39" t="s">
        <v>291</v>
      </c>
      <c r="B3906" s="43"/>
      <c r="C3906" s="44"/>
      <c r="D3906" s="44"/>
      <c r="E3906" s="44"/>
      <c r="F3906" s="44"/>
    </row>
    <row r="3907" spans="1:6" ht="12.75" hidden="1" customHeight="1">
      <c r="A3907" s="39" t="s">
        <v>292</v>
      </c>
      <c r="B3907" s="43"/>
      <c r="C3907" s="44"/>
      <c r="D3907" s="44"/>
      <c r="E3907" s="44"/>
      <c r="F3907" s="44"/>
    </row>
    <row r="3908" spans="1:6" ht="12.75" hidden="1" customHeight="1">
      <c r="A3908" s="39" t="s">
        <v>293</v>
      </c>
      <c r="B3908" s="43"/>
      <c r="C3908" s="44"/>
      <c r="D3908" s="44"/>
      <c r="E3908" s="44"/>
      <c r="F3908" s="44"/>
    </row>
    <row r="3909" spans="1:6" ht="12.75" hidden="1" customHeight="1">
      <c r="A3909" s="39" t="s">
        <v>30</v>
      </c>
      <c r="B3909" s="45"/>
      <c r="C3909" s="44"/>
      <c r="D3909" s="44"/>
      <c r="E3909" s="44"/>
      <c r="F3909" s="44"/>
    </row>
    <row r="3910" spans="1:6" ht="12.75" hidden="1" customHeight="1">
      <c r="A3910" s="58" t="s">
        <v>294</v>
      </c>
      <c r="B3910" s="59">
        <v>20</v>
      </c>
      <c r="C3910" s="181">
        <f>B3910/B$3968*C$3968</f>
        <v>19663.673786407766</v>
      </c>
      <c r="D3910" s="181">
        <f t="shared" ref="D3910:E3910" si="305">C3910/C$3968*D$3968</f>
        <v>34276.706796116501</v>
      </c>
      <c r="E3910" s="181">
        <f t="shared" si="305"/>
        <v>18777.78122977346</v>
      </c>
      <c r="F3910" s="181">
        <f>SUM(C3910:E3910)</f>
        <v>72718.161812297723</v>
      </c>
    </row>
    <row r="3911" spans="1:6" ht="12.75" hidden="1" customHeight="1">
      <c r="A3911" s="39" t="s">
        <v>754</v>
      </c>
      <c r="B3911" s="43">
        <v>3</v>
      </c>
      <c r="C3911" s="66">
        <f t="shared" ref="C3911:E3911" si="306">B3911/B$3968*C$3968</f>
        <v>2949.5510679611648</v>
      </c>
      <c r="D3911" s="66">
        <f t="shared" si="306"/>
        <v>5141.5060194174748</v>
      </c>
      <c r="E3911" s="66">
        <f t="shared" si="306"/>
        <v>2816.6671844660191</v>
      </c>
      <c r="F3911" s="44">
        <f t="shared" ref="F3911:F3950" si="307">SUM(C3911:E3911)</f>
        <v>10907.72427184466</v>
      </c>
    </row>
    <row r="3912" spans="1:6" ht="12.75" hidden="1" customHeight="1">
      <c r="A3912" s="39" t="s">
        <v>295</v>
      </c>
      <c r="B3912" s="43"/>
      <c r="C3912" s="44">
        <f t="shared" ref="C3912:E3912" si="308">B3912/B$3968*C$3968</f>
        <v>0</v>
      </c>
      <c r="D3912" s="44">
        <f t="shared" si="308"/>
        <v>0</v>
      </c>
      <c r="E3912" s="44">
        <f t="shared" si="308"/>
        <v>0</v>
      </c>
      <c r="F3912" s="44">
        <f t="shared" si="307"/>
        <v>0</v>
      </c>
    </row>
    <row r="3913" spans="1:6" ht="12.75" hidden="1" customHeight="1">
      <c r="A3913" s="39" t="s">
        <v>753</v>
      </c>
      <c r="B3913" s="41">
        <v>19</v>
      </c>
      <c r="C3913" s="66">
        <f t="shared" ref="C3913:E3913" si="309">B3913/B$3968*C$3968</f>
        <v>18680.490097087379</v>
      </c>
      <c r="D3913" s="66">
        <f t="shared" si="309"/>
        <v>32562.871456310677</v>
      </c>
      <c r="E3913" s="66">
        <f t="shared" si="309"/>
        <v>17838.892168284787</v>
      </c>
      <c r="F3913" s="44">
        <f t="shared" si="307"/>
        <v>69082.25372168285</v>
      </c>
    </row>
    <row r="3914" spans="1:6" ht="12.75" hidden="1" customHeight="1">
      <c r="A3914" s="39" t="s">
        <v>297</v>
      </c>
      <c r="B3914" s="43"/>
      <c r="C3914" s="44">
        <f t="shared" ref="C3914:E3914" si="310">B3914/B$3968*C$3968</f>
        <v>0</v>
      </c>
      <c r="D3914" s="44">
        <f t="shared" si="310"/>
        <v>0</v>
      </c>
      <c r="E3914" s="44">
        <f t="shared" si="310"/>
        <v>0</v>
      </c>
      <c r="F3914" s="44">
        <f t="shared" si="307"/>
        <v>0</v>
      </c>
    </row>
    <row r="3915" spans="1:6" ht="12.75" hidden="1" customHeight="1">
      <c r="A3915" s="39" t="s">
        <v>755</v>
      </c>
      <c r="B3915" s="43">
        <v>10</v>
      </c>
      <c r="C3915" s="66">
        <f t="shared" ref="C3915:E3915" si="311">B3915/B$3968*C$3968</f>
        <v>9831.8368932038829</v>
      </c>
      <c r="D3915" s="66">
        <f t="shared" si="311"/>
        <v>17138.353398058251</v>
      </c>
      <c r="E3915" s="66">
        <f t="shared" si="311"/>
        <v>9388.89061488673</v>
      </c>
      <c r="F3915" s="44">
        <f t="shared" si="307"/>
        <v>36359.080906148862</v>
      </c>
    </row>
    <row r="3916" spans="1:6" ht="12.75" hidden="1" customHeight="1">
      <c r="A3916" s="39" t="s">
        <v>757</v>
      </c>
      <c r="B3916" s="43">
        <v>31.5</v>
      </c>
      <c r="C3916" s="66">
        <f t="shared" ref="C3916:E3916" si="312">B3916/B$3968*C$3968</f>
        <v>30970.286213592233</v>
      </c>
      <c r="D3916" s="66">
        <f t="shared" si="312"/>
        <v>53985.813203883496</v>
      </c>
      <c r="E3916" s="66">
        <f t="shared" si="312"/>
        <v>29575.0054368932</v>
      </c>
      <c r="F3916" s="44">
        <f t="shared" si="307"/>
        <v>114531.10485436892</v>
      </c>
    </row>
    <row r="3917" spans="1:6" ht="12.75" hidden="1" customHeight="1">
      <c r="A3917" s="39" t="s">
        <v>756</v>
      </c>
      <c r="B3917" s="45">
        <v>33</v>
      </c>
      <c r="C3917" s="66">
        <f t="shared" ref="C3917:E3917" si="313">B3917/B$3968*C$3968</f>
        <v>32445.061747572814</v>
      </c>
      <c r="D3917" s="66">
        <f t="shared" si="313"/>
        <v>56556.566213592232</v>
      </c>
      <c r="E3917" s="66">
        <f t="shared" si="313"/>
        <v>30983.339029126208</v>
      </c>
      <c r="F3917" s="44">
        <f t="shared" si="307"/>
        <v>119984.96699029124</v>
      </c>
    </row>
    <row r="3918" spans="1:6" ht="12.75" hidden="1" customHeight="1">
      <c r="A3918" s="39" t="s">
        <v>301</v>
      </c>
      <c r="B3918" s="43"/>
      <c r="C3918" s="44">
        <f t="shared" ref="C3918:E3918" si="314">B3918/B$3968*C$3968</f>
        <v>0</v>
      </c>
      <c r="D3918" s="44">
        <f t="shared" si="314"/>
        <v>0</v>
      </c>
      <c r="E3918" s="44">
        <f t="shared" si="314"/>
        <v>0</v>
      </c>
      <c r="F3918" s="44">
        <f t="shared" si="307"/>
        <v>0</v>
      </c>
    </row>
    <row r="3919" spans="1:6" ht="12.75" hidden="1" customHeight="1">
      <c r="A3919" s="39" t="s">
        <v>32</v>
      </c>
      <c r="B3919" s="43"/>
      <c r="C3919" s="44">
        <f t="shared" ref="C3919:E3919" si="315">B3919/B$3968*C$3968</f>
        <v>0</v>
      </c>
      <c r="D3919" s="44">
        <f t="shared" si="315"/>
        <v>0</v>
      </c>
      <c r="E3919" s="44">
        <f t="shared" si="315"/>
        <v>0</v>
      </c>
      <c r="F3919" s="44">
        <f t="shared" si="307"/>
        <v>0</v>
      </c>
    </row>
    <row r="3920" spans="1:6" ht="12.75" hidden="1" customHeight="1">
      <c r="A3920" s="39" t="s">
        <v>32</v>
      </c>
      <c r="B3920" s="43"/>
      <c r="C3920" s="44">
        <f t="shared" ref="C3920:E3920" si="316">B3920/B$3968*C$3968</f>
        <v>0</v>
      </c>
      <c r="D3920" s="44">
        <f t="shared" si="316"/>
        <v>0</v>
      </c>
      <c r="E3920" s="44">
        <f t="shared" si="316"/>
        <v>0</v>
      </c>
      <c r="F3920" s="44">
        <f t="shared" si="307"/>
        <v>0</v>
      </c>
    </row>
    <row r="3921" spans="1:6" ht="12.75" hidden="1" customHeight="1">
      <c r="A3921" s="39" t="s">
        <v>759</v>
      </c>
      <c r="B3921" s="45">
        <v>6</v>
      </c>
      <c r="C3921" s="66">
        <f t="shared" ref="C3921:E3921" si="317">B3921/B$3968*C$3968</f>
        <v>5899.1021359223296</v>
      </c>
      <c r="D3921" s="66">
        <f t="shared" si="317"/>
        <v>10283.01203883495</v>
      </c>
      <c r="E3921" s="66">
        <f t="shared" si="317"/>
        <v>5633.3343689320382</v>
      </c>
      <c r="F3921" s="44">
        <f t="shared" si="307"/>
        <v>21815.448543689319</v>
      </c>
    </row>
    <row r="3922" spans="1:6" ht="12.75" hidden="1" customHeight="1">
      <c r="A3922" s="58" t="s">
        <v>759</v>
      </c>
      <c r="B3922" s="121">
        <v>5.5</v>
      </c>
      <c r="C3922" s="181">
        <f t="shared" ref="C3922:E3922" si="318">B3922/B$3968*C$3968</f>
        <v>5407.510291262136</v>
      </c>
      <c r="D3922" s="181">
        <f t="shared" si="318"/>
        <v>9426.0943689320393</v>
      </c>
      <c r="E3922" s="181">
        <f t="shared" si="318"/>
        <v>5163.8898381877016</v>
      </c>
      <c r="F3922" s="181">
        <f t="shared" si="307"/>
        <v>19997.494498381875</v>
      </c>
    </row>
    <row r="3923" spans="1:6" ht="12.75" hidden="1" customHeight="1">
      <c r="A3923" s="39" t="s">
        <v>758</v>
      </c>
      <c r="B3923" s="45">
        <v>4</v>
      </c>
      <c r="C3923" s="66">
        <f t="shared" ref="C3923:E3923" si="319">B3923/B$3968*C$3968</f>
        <v>3932.7347572815538</v>
      </c>
      <c r="D3923" s="66">
        <f t="shared" si="319"/>
        <v>6855.341359223301</v>
      </c>
      <c r="E3923" s="66">
        <f t="shared" si="319"/>
        <v>3755.5562459546923</v>
      </c>
      <c r="F3923" s="44">
        <f t="shared" si="307"/>
        <v>14543.632362459548</v>
      </c>
    </row>
    <row r="3924" spans="1:6" ht="12.75" hidden="1" customHeight="1">
      <c r="A3924" s="58" t="s">
        <v>758</v>
      </c>
      <c r="B3924" s="121">
        <v>5</v>
      </c>
      <c r="C3924" s="181">
        <f t="shared" ref="C3924:E3924" si="320">B3924/B$3968*C$3968</f>
        <v>4915.9184466019415</v>
      </c>
      <c r="D3924" s="181">
        <f t="shared" si="320"/>
        <v>8569.1766990291253</v>
      </c>
      <c r="E3924" s="181">
        <f t="shared" si="320"/>
        <v>4694.445307443365</v>
      </c>
      <c r="F3924" s="181">
        <f t="shared" si="307"/>
        <v>18179.540453074431</v>
      </c>
    </row>
    <row r="3925" spans="1:6" ht="12.75" hidden="1" customHeight="1">
      <c r="A3925" s="58" t="s">
        <v>532</v>
      </c>
      <c r="B3925" s="59"/>
      <c r="C3925" s="181">
        <f t="shared" ref="C3925:E3925" si="321">B3925/B$3968*C$3968</f>
        <v>0</v>
      </c>
      <c r="D3925" s="181">
        <f t="shared" si="321"/>
        <v>0</v>
      </c>
      <c r="E3925" s="181">
        <f t="shared" si="321"/>
        <v>0</v>
      </c>
      <c r="F3925" s="181">
        <f t="shared" si="307"/>
        <v>0</v>
      </c>
    </row>
    <row r="3926" spans="1:6" ht="12.75" hidden="1" customHeight="1">
      <c r="A3926" s="58" t="s">
        <v>304</v>
      </c>
      <c r="B3926" s="59"/>
      <c r="C3926" s="181">
        <f t="shared" ref="C3926:E3926" si="322">B3926/B$3968*C$3968</f>
        <v>0</v>
      </c>
      <c r="D3926" s="181">
        <f t="shared" si="322"/>
        <v>0</v>
      </c>
      <c r="E3926" s="181">
        <f t="shared" si="322"/>
        <v>0</v>
      </c>
      <c r="F3926" s="181">
        <f t="shared" si="307"/>
        <v>0</v>
      </c>
    </row>
    <row r="3927" spans="1:6" ht="12.75" hidden="1" customHeight="1">
      <c r="A3927" s="58" t="s">
        <v>34</v>
      </c>
      <c r="B3927" s="59"/>
      <c r="C3927" s="181">
        <f t="shared" ref="C3927:E3927" si="323">B3927/B$3968*C$3968</f>
        <v>0</v>
      </c>
      <c r="D3927" s="181">
        <f t="shared" si="323"/>
        <v>0</v>
      </c>
      <c r="E3927" s="181">
        <f t="shared" si="323"/>
        <v>0</v>
      </c>
      <c r="F3927" s="181">
        <f t="shared" si="307"/>
        <v>0</v>
      </c>
    </row>
    <row r="3928" spans="1:6" ht="12.75" hidden="1" customHeight="1">
      <c r="A3928" s="58" t="s">
        <v>35</v>
      </c>
      <c r="B3928" s="59"/>
      <c r="C3928" s="181">
        <f t="shared" ref="C3928:E3928" si="324">B3928/B$3968*C$3968</f>
        <v>0</v>
      </c>
      <c r="D3928" s="181">
        <f t="shared" si="324"/>
        <v>0</v>
      </c>
      <c r="E3928" s="181">
        <f t="shared" si="324"/>
        <v>0</v>
      </c>
      <c r="F3928" s="181">
        <f t="shared" si="307"/>
        <v>0</v>
      </c>
    </row>
    <row r="3929" spans="1:6" ht="12.75" hidden="1" customHeight="1">
      <c r="A3929" s="58" t="s">
        <v>305</v>
      </c>
      <c r="B3929" s="59">
        <v>11</v>
      </c>
      <c r="C3929" s="181">
        <f t="shared" ref="C3929:E3929" si="325">B3929/B$3968*C$3968</f>
        <v>10815.020582524272</v>
      </c>
      <c r="D3929" s="181">
        <f t="shared" si="325"/>
        <v>18852.188737864079</v>
      </c>
      <c r="E3929" s="181">
        <f t="shared" si="325"/>
        <v>10327.779676375403</v>
      </c>
      <c r="F3929" s="181">
        <f t="shared" si="307"/>
        <v>39994.98899676375</v>
      </c>
    </row>
    <row r="3930" spans="1:6" ht="12.75" hidden="1" customHeight="1">
      <c r="A3930" s="39" t="s">
        <v>306</v>
      </c>
      <c r="B3930" s="45"/>
      <c r="C3930" s="44">
        <f t="shared" ref="C3930:E3930" si="326">B3930/B$3968*C$3968</f>
        <v>0</v>
      </c>
      <c r="D3930" s="44">
        <f t="shared" si="326"/>
        <v>0</v>
      </c>
      <c r="E3930" s="44">
        <f t="shared" si="326"/>
        <v>0</v>
      </c>
      <c r="F3930" s="44">
        <f t="shared" si="307"/>
        <v>0</v>
      </c>
    </row>
    <row r="3931" spans="1:6" ht="12.75" hidden="1" customHeight="1">
      <c r="A3931" s="39" t="s">
        <v>36</v>
      </c>
      <c r="B3931" s="43"/>
      <c r="C3931" s="44">
        <f t="shared" ref="C3931:E3931" si="327">B3931/B$3968*C$3968</f>
        <v>0</v>
      </c>
      <c r="D3931" s="44">
        <f t="shared" si="327"/>
        <v>0</v>
      </c>
      <c r="E3931" s="44">
        <f t="shared" si="327"/>
        <v>0</v>
      </c>
      <c r="F3931" s="44">
        <f t="shared" si="307"/>
        <v>0</v>
      </c>
    </row>
    <row r="3932" spans="1:6" ht="12.75" hidden="1" customHeight="1">
      <c r="A3932" s="39" t="s">
        <v>37</v>
      </c>
      <c r="B3932" s="45"/>
      <c r="C3932" s="44">
        <f t="shared" ref="C3932:E3932" si="328">B3932/B$3968*C$3968</f>
        <v>0</v>
      </c>
      <c r="D3932" s="44">
        <f t="shared" si="328"/>
        <v>0</v>
      </c>
      <c r="E3932" s="44">
        <f t="shared" si="328"/>
        <v>0</v>
      </c>
      <c r="F3932" s="44">
        <f t="shared" si="307"/>
        <v>0</v>
      </c>
    </row>
    <row r="3933" spans="1:6" ht="12.75" hidden="1" customHeight="1">
      <c r="A3933" s="39" t="s">
        <v>760</v>
      </c>
      <c r="B3933" s="45">
        <v>33</v>
      </c>
      <c r="C3933" s="66">
        <f t="shared" ref="C3933:E3933" si="329">B3933/B$3968*C$3968</f>
        <v>32445.061747572814</v>
      </c>
      <c r="D3933" s="66">
        <f t="shared" si="329"/>
        <v>56556.566213592232</v>
      </c>
      <c r="E3933" s="66">
        <f t="shared" si="329"/>
        <v>30983.339029126208</v>
      </c>
      <c r="F3933" s="44">
        <f t="shared" si="307"/>
        <v>119984.96699029124</v>
      </c>
    </row>
    <row r="3934" spans="1:6" ht="12.75" hidden="1" customHeight="1">
      <c r="A3934" s="39" t="s">
        <v>690</v>
      </c>
      <c r="B3934" s="45"/>
      <c r="C3934" s="44">
        <f t="shared" ref="C3934:E3934" si="330">B3934/B$3968*C$3968</f>
        <v>0</v>
      </c>
      <c r="D3934" s="44">
        <f t="shared" si="330"/>
        <v>0</v>
      </c>
      <c r="E3934" s="44">
        <f t="shared" si="330"/>
        <v>0</v>
      </c>
      <c r="F3934" s="44">
        <f t="shared" si="307"/>
        <v>0</v>
      </c>
    </row>
    <row r="3935" spans="1:6" ht="12.75" hidden="1" customHeight="1">
      <c r="A3935" s="39" t="s">
        <v>761</v>
      </c>
      <c r="B3935" s="43">
        <v>11</v>
      </c>
      <c r="C3935" s="66">
        <f t="shared" ref="C3935:E3935" si="331">B3935/B$3968*C$3968</f>
        <v>10815.020582524272</v>
      </c>
      <c r="D3935" s="66">
        <f t="shared" si="331"/>
        <v>18852.188737864079</v>
      </c>
      <c r="E3935" s="66">
        <f t="shared" si="331"/>
        <v>10327.779676375403</v>
      </c>
      <c r="F3935" s="44">
        <f t="shared" si="307"/>
        <v>39994.98899676375</v>
      </c>
    </row>
    <row r="3936" spans="1:6" ht="12.75" hidden="1" customHeight="1">
      <c r="A3936" s="39" t="s">
        <v>307</v>
      </c>
      <c r="B3936" s="43"/>
      <c r="C3936" s="44">
        <f t="shared" ref="C3936:E3936" si="332">B3936/B$3968*C$3968</f>
        <v>0</v>
      </c>
      <c r="D3936" s="44">
        <f t="shared" si="332"/>
        <v>0</v>
      </c>
      <c r="E3936" s="44">
        <f t="shared" si="332"/>
        <v>0</v>
      </c>
      <c r="F3936" s="44">
        <f t="shared" si="307"/>
        <v>0</v>
      </c>
    </row>
    <row r="3937" spans="1:6" ht="12.75" hidden="1" customHeight="1">
      <c r="A3937" s="39" t="s">
        <v>308</v>
      </c>
      <c r="B3937" s="43"/>
      <c r="C3937" s="44">
        <f t="shared" ref="C3937:E3937" si="333">B3937/B$3968*C$3968</f>
        <v>0</v>
      </c>
      <c r="D3937" s="44">
        <f t="shared" si="333"/>
        <v>0</v>
      </c>
      <c r="E3937" s="44">
        <f t="shared" si="333"/>
        <v>0</v>
      </c>
      <c r="F3937" s="44">
        <f t="shared" si="307"/>
        <v>0</v>
      </c>
    </row>
    <row r="3938" spans="1:6" ht="12.75" hidden="1" customHeight="1">
      <c r="A3938" s="39" t="s">
        <v>762</v>
      </c>
      <c r="B3938" s="45">
        <v>7</v>
      </c>
      <c r="C3938" s="66">
        <f t="shared" ref="C3938:E3938" si="334">B3938/B$3968*C$3968</f>
        <v>6882.2858252427195</v>
      </c>
      <c r="D3938" s="66">
        <f t="shared" si="334"/>
        <v>11996.847378640778</v>
      </c>
      <c r="E3938" s="66">
        <f t="shared" si="334"/>
        <v>6572.2234304207113</v>
      </c>
      <c r="F3938" s="44">
        <f t="shared" si="307"/>
        <v>25451.356634304208</v>
      </c>
    </row>
    <row r="3939" spans="1:6" ht="12.75" hidden="1" customHeight="1">
      <c r="A3939" s="39" t="s">
        <v>40</v>
      </c>
      <c r="B3939" s="43"/>
      <c r="C3939" s="44">
        <f t="shared" ref="C3939:E3939" si="335">B3939/B$3968*C$3968</f>
        <v>0</v>
      </c>
      <c r="D3939" s="44">
        <f t="shared" si="335"/>
        <v>0</v>
      </c>
      <c r="E3939" s="44">
        <f t="shared" si="335"/>
        <v>0</v>
      </c>
      <c r="F3939" s="44">
        <f t="shared" si="307"/>
        <v>0</v>
      </c>
    </row>
    <row r="3940" spans="1:6" ht="12.75" hidden="1" customHeight="1">
      <c r="A3940" s="39" t="s">
        <v>763</v>
      </c>
      <c r="B3940" s="43">
        <v>15.5</v>
      </c>
      <c r="C3940" s="66">
        <f t="shared" ref="C3940:E3940" si="336">B3940/B$3968*C$3968</f>
        <v>15239.34718446602</v>
      </c>
      <c r="D3940" s="66">
        <f t="shared" si="336"/>
        <v>26564.447766990292</v>
      </c>
      <c r="E3940" s="66">
        <f t="shared" si="336"/>
        <v>14552.780453074432</v>
      </c>
      <c r="F3940" s="44">
        <f t="shared" si="307"/>
        <v>56356.57540453074</v>
      </c>
    </row>
    <row r="3941" spans="1:6" ht="12.75" hidden="1" customHeight="1">
      <c r="A3941" s="39" t="s">
        <v>309</v>
      </c>
      <c r="B3941" s="45"/>
      <c r="C3941" s="44">
        <f t="shared" ref="C3941:E3941" si="337">B3941/B$3968*C$3968</f>
        <v>0</v>
      </c>
      <c r="D3941" s="44">
        <f t="shared" si="337"/>
        <v>0</v>
      </c>
      <c r="E3941" s="44">
        <f t="shared" si="337"/>
        <v>0</v>
      </c>
      <c r="F3941" s="44">
        <f t="shared" si="307"/>
        <v>0</v>
      </c>
    </row>
    <row r="3942" spans="1:6" ht="12.75" hidden="1" customHeight="1">
      <c r="A3942" s="39" t="s">
        <v>310</v>
      </c>
      <c r="B3942" s="45"/>
      <c r="C3942" s="44">
        <f t="shared" ref="C3942:E3942" si="338">B3942/B$3968*C$3968</f>
        <v>0</v>
      </c>
      <c r="D3942" s="44">
        <f t="shared" si="338"/>
        <v>0</v>
      </c>
      <c r="E3942" s="44">
        <f t="shared" si="338"/>
        <v>0</v>
      </c>
      <c r="F3942" s="44">
        <f t="shared" si="307"/>
        <v>0</v>
      </c>
    </row>
    <row r="3943" spans="1:6" ht="12.75" hidden="1" customHeight="1">
      <c r="A3943" s="39" t="s">
        <v>311</v>
      </c>
      <c r="B3943" s="43"/>
      <c r="C3943" s="44">
        <f t="shared" ref="C3943:E3943" si="339">B3943/B$3968*C$3968</f>
        <v>0</v>
      </c>
      <c r="D3943" s="44">
        <f t="shared" si="339"/>
        <v>0</v>
      </c>
      <c r="E3943" s="44">
        <f t="shared" si="339"/>
        <v>0</v>
      </c>
      <c r="F3943" s="44">
        <f t="shared" si="307"/>
        <v>0</v>
      </c>
    </row>
    <row r="3944" spans="1:6" ht="12.75" hidden="1" customHeight="1">
      <c r="A3944" s="39" t="s">
        <v>765</v>
      </c>
      <c r="B3944" s="43">
        <v>8.5</v>
      </c>
      <c r="C3944" s="66">
        <f t="shared" ref="C3944:E3944" si="340">B3944/B$3968*C$3968</f>
        <v>8357.0613592233003</v>
      </c>
      <c r="D3944" s="66">
        <f t="shared" si="340"/>
        <v>14567.600388349512</v>
      </c>
      <c r="E3944" s="66">
        <f t="shared" si="340"/>
        <v>7980.5570226537193</v>
      </c>
      <c r="F3944" s="44">
        <f t="shared" si="307"/>
        <v>30905.218770226533</v>
      </c>
    </row>
    <row r="3945" spans="1:6" ht="12.75" hidden="1" customHeight="1">
      <c r="A3945" s="39" t="s">
        <v>764</v>
      </c>
      <c r="B3945" s="45">
        <v>10.5</v>
      </c>
      <c r="C3945" s="66">
        <f t="shared" ref="C3945:E3945" si="341">B3945/B$3968*C$3968</f>
        <v>10323.428737864078</v>
      </c>
      <c r="D3945" s="66">
        <f t="shared" si="341"/>
        <v>17995.271067961163</v>
      </c>
      <c r="E3945" s="66">
        <f t="shared" si="341"/>
        <v>9858.3351456310666</v>
      </c>
      <c r="F3945" s="44">
        <f t="shared" si="307"/>
        <v>38177.034951456313</v>
      </c>
    </row>
    <row r="3946" spans="1:6" ht="12.75" hidden="1" customHeight="1">
      <c r="A3946" s="39" t="s">
        <v>766</v>
      </c>
      <c r="B3946" s="45">
        <v>2.5</v>
      </c>
      <c r="C3946" s="66">
        <f t="shared" ref="C3946:E3946" si="342">B3946/B$3968*C$3968</f>
        <v>2457.9592233009707</v>
      </c>
      <c r="D3946" s="66">
        <f t="shared" si="342"/>
        <v>4284.5883495145627</v>
      </c>
      <c r="E3946" s="66">
        <f t="shared" si="342"/>
        <v>2347.2226537216825</v>
      </c>
      <c r="F3946" s="44">
        <f t="shared" si="307"/>
        <v>9089.7702265372154</v>
      </c>
    </row>
    <row r="3947" spans="1:6" ht="12.75" hidden="1" customHeight="1">
      <c r="A3947" s="39" t="s">
        <v>315</v>
      </c>
      <c r="B3947" s="43"/>
      <c r="C3947" s="44">
        <f t="shared" ref="C3947:E3947" si="343">B3947/B$3968*C$3968</f>
        <v>0</v>
      </c>
      <c r="D3947" s="44">
        <f t="shared" si="343"/>
        <v>0</v>
      </c>
      <c r="E3947" s="44">
        <f t="shared" si="343"/>
        <v>0</v>
      </c>
      <c r="F3947" s="44">
        <f t="shared" si="307"/>
        <v>0</v>
      </c>
    </row>
    <row r="3948" spans="1:6" ht="12.75" hidden="1" customHeight="1">
      <c r="A3948" s="39" t="s">
        <v>768</v>
      </c>
      <c r="B3948" s="45">
        <v>63</v>
      </c>
      <c r="C3948" s="66">
        <f t="shared" ref="C3948:E3948" si="344">B3948/B$3968*C$3968</f>
        <v>61940.572427184467</v>
      </c>
      <c r="D3948" s="66">
        <f t="shared" si="344"/>
        <v>107971.62640776699</v>
      </c>
      <c r="E3948" s="66">
        <f t="shared" si="344"/>
        <v>59150.010873786399</v>
      </c>
      <c r="F3948" s="44">
        <f t="shared" si="307"/>
        <v>229062.20970873785</v>
      </c>
    </row>
    <row r="3949" spans="1:6" ht="12.75" hidden="1" customHeight="1">
      <c r="A3949" s="39" t="s">
        <v>317</v>
      </c>
      <c r="B3949" s="45"/>
      <c r="C3949" s="44">
        <f t="shared" ref="C3949:E3949" si="345">B3949/B$3968*C$3968</f>
        <v>0</v>
      </c>
      <c r="D3949" s="44">
        <f t="shared" si="345"/>
        <v>0</v>
      </c>
      <c r="E3949" s="44">
        <f t="shared" si="345"/>
        <v>0</v>
      </c>
      <c r="F3949" s="44">
        <f t="shared" si="307"/>
        <v>0</v>
      </c>
    </row>
    <row r="3950" spans="1:6" ht="12.75" hidden="1" customHeight="1">
      <c r="A3950" s="39" t="s">
        <v>767</v>
      </c>
      <c r="B3950" s="45">
        <v>10</v>
      </c>
      <c r="C3950" s="66">
        <f t="shared" ref="C3950:E3950" si="346">B3950/B$3968*C$3968</f>
        <v>9831.8368932038829</v>
      </c>
      <c r="D3950" s="66">
        <f t="shared" si="346"/>
        <v>17138.353398058251</v>
      </c>
      <c r="E3950" s="66">
        <f t="shared" si="346"/>
        <v>9388.89061488673</v>
      </c>
      <c r="F3950" s="44">
        <f t="shared" si="307"/>
        <v>36359.080906148862</v>
      </c>
    </row>
    <row r="3951" spans="1:6" ht="12.75" hidden="1" customHeight="1">
      <c r="A3951" s="46" t="s">
        <v>319</v>
      </c>
      <c r="B3951" s="45"/>
      <c r="C3951" s="44"/>
      <c r="D3951" s="44"/>
      <c r="E3951" s="44"/>
      <c r="F3951" s="44">
        <f t="shared" ref="F3951:F3967" si="347">SUM(C3951:E3951)</f>
        <v>0</v>
      </c>
    </row>
    <row r="3952" spans="1:6" ht="12.75" hidden="1" customHeight="1">
      <c r="A3952" s="46" t="s">
        <v>320</v>
      </c>
      <c r="B3952" s="45"/>
      <c r="C3952" s="44"/>
      <c r="D3952" s="44"/>
      <c r="E3952" s="44"/>
      <c r="F3952" s="44">
        <f t="shared" si="347"/>
        <v>0</v>
      </c>
    </row>
    <row r="3953" spans="1:7" ht="12.75" hidden="1" customHeight="1">
      <c r="A3953" s="46" t="s">
        <v>321</v>
      </c>
      <c r="B3953" s="45"/>
      <c r="C3953" s="44"/>
      <c r="D3953" s="44"/>
      <c r="E3953" s="44"/>
      <c r="F3953" s="44">
        <f t="shared" si="347"/>
        <v>0</v>
      </c>
    </row>
    <row r="3954" spans="1:7" ht="12.75" hidden="1" customHeight="1">
      <c r="A3954" s="46" t="s">
        <v>322</v>
      </c>
      <c r="B3954" s="45"/>
      <c r="C3954" s="44"/>
      <c r="D3954" s="44"/>
      <c r="E3954" s="44"/>
      <c r="F3954" s="44">
        <f t="shared" si="347"/>
        <v>0</v>
      </c>
    </row>
    <row r="3955" spans="1:7" ht="12.75" hidden="1" customHeight="1">
      <c r="A3955" s="46" t="s">
        <v>323</v>
      </c>
      <c r="B3955" s="45"/>
      <c r="C3955" s="44"/>
      <c r="D3955" s="44"/>
      <c r="E3955" s="44"/>
      <c r="F3955" s="44">
        <f t="shared" si="347"/>
        <v>0</v>
      </c>
    </row>
    <row r="3956" spans="1:7" ht="12.75" hidden="1" customHeight="1">
      <c r="A3956" s="46" t="s">
        <v>324</v>
      </c>
      <c r="B3956" s="45"/>
      <c r="C3956" s="44"/>
      <c r="D3956" s="44"/>
      <c r="E3956" s="44"/>
      <c r="F3956" s="44">
        <f t="shared" si="347"/>
        <v>0</v>
      </c>
    </row>
    <row r="3957" spans="1:7" ht="12.75" hidden="1" customHeight="1">
      <c r="A3957" s="46" t="s">
        <v>325</v>
      </c>
      <c r="B3957" s="45"/>
      <c r="C3957" s="44"/>
      <c r="D3957" s="44"/>
      <c r="E3957" s="44"/>
      <c r="F3957" s="44">
        <f t="shared" si="347"/>
        <v>0</v>
      </c>
    </row>
    <row r="3958" spans="1:7" ht="12.75" hidden="1" customHeight="1">
      <c r="A3958" s="46" t="s">
        <v>326</v>
      </c>
      <c r="B3958" s="45"/>
      <c r="C3958" s="44"/>
      <c r="D3958" s="44"/>
      <c r="E3958" s="44"/>
      <c r="F3958" s="44">
        <f t="shared" si="347"/>
        <v>0</v>
      </c>
    </row>
    <row r="3959" spans="1:7" ht="12.75" hidden="1" customHeight="1">
      <c r="A3959" s="46" t="s">
        <v>327</v>
      </c>
      <c r="B3959" s="45"/>
      <c r="C3959" s="44"/>
      <c r="D3959" s="44"/>
      <c r="E3959" s="44"/>
      <c r="F3959" s="44">
        <f t="shared" si="347"/>
        <v>0</v>
      </c>
    </row>
    <row r="3960" spans="1:7" ht="12.75" hidden="1" customHeight="1">
      <c r="A3960" s="46" t="s">
        <v>328</v>
      </c>
      <c r="B3960" s="45"/>
      <c r="C3960" s="44"/>
      <c r="D3960" s="44"/>
      <c r="E3960" s="44"/>
      <c r="F3960" s="44">
        <f t="shared" si="347"/>
        <v>0</v>
      </c>
    </row>
    <row r="3961" spans="1:7" ht="12.75" hidden="1" customHeight="1">
      <c r="A3961" s="46" t="s">
        <v>329</v>
      </c>
      <c r="B3961" s="47"/>
      <c r="C3961" s="44"/>
      <c r="D3961" s="44"/>
      <c r="E3961" s="44"/>
      <c r="F3961" s="44">
        <f t="shared" si="347"/>
        <v>0</v>
      </c>
    </row>
    <row r="3962" spans="1:7" ht="12.75" hidden="1" customHeight="1">
      <c r="A3962" s="46" t="s">
        <v>490</v>
      </c>
      <c r="B3962" s="176"/>
      <c r="C3962" s="44"/>
      <c r="D3962" s="44"/>
      <c r="E3962" s="44"/>
      <c r="F3962" s="44">
        <f t="shared" si="347"/>
        <v>0</v>
      </c>
    </row>
    <row r="3963" spans="1:7" ht="12.75" hidden="1" customHeight="1">
      <c r="A3963" s="46" t="s">
        <v>493</v>
      </c>
      <c r="B3963" s="176"/>
      <c r="C3963" s="44"/>
      <c r="D3963" s="44"/>
      <c r="E3963" s="44"/>
      <c r="F3963" s="44">
        <f t="shared" si="347"/>
        <v>0</v>
      </c>
    </row>
    <row r="3964" spans="1:7" ht="12.75" hidden="1" customHeight="1">
      <c r="A3964" s="46" t="s">
        <v>495</v>
      </c>
      <c r="B3964" s="176"/>
      <c r="C3964" s="44"/>
      <c r="D3964" s="44"/>
      <c r="E3964" s="44"/>
      <c r="F3964" s="44">
        <f t="shared" si="347"/>
        <v>0</v>
      </c>
    </row>
    <row r="3965" spans="1:7" ht="12.75" hidden="1" customHeight="1">
      <c r="A3965" s="46" t="s">
        <v>496</v>
      </c>
      <c r="B3965" s="176"/>
      <c r="C3965" s="44"/>
      <c r="D3965" s="44"/>
      <c r="E3965" s="44"/>
      <c r="F3965" s="44">
        <f t="shared" si="347"/>
        <v>0</v>
      </c>
    </row>
    <row r="3966" spans="1:7" ht="12.75" hidden="1" customHeight="1">
      <c r="A3966" s="46" t="s">
        <v>498</v>
      </c>
      <c r="B3966" s="176"/>
      <c r="C3966" s="44"/>
      <c r="D3966" s="44"/>
      <c r="E3966" s="44"/>
      <c r="F3966" s="44">
        <f t="shared" si="347"/>
        <v>0</v>
      </c>
    </row>
    <row r="3967" spans="1:7" ht="12.75" hidden="1" customHeight="1">
      <c r="A3967" s="46" t="s">
        <v>330</v>
      </c>
      <c r="B3967" s="47"/>
      <c r="C3967" s="44"/>
      <c r="D3967" s="44"/>
      <c r="E3967" s="44"/>
      <c r="F3967" s="44">
        <f t="shared" si="347"/>
        <v>0</v>
      </c>
      <c r="G3967" s="107"/>
    </row>
    <row r="3968" spans="1:7" ht="12.75" hidden="1" customHeight="1">
      <c r="A3968" s="48" t="s">
        <v>150</v>
      </c>
      <c r="B3968" s="48">
        <f>SUM(B3899:B3967)</f>
        <v>309</v>
      </c>
      <c r="C3968" s="49">
        <f>303803.76</f>
        <v>303803.76</v>
      </c>
      <c r="D3968" s="50">
        <f>33430.3+333463.2+73761.12+79689.1+9231.4</f>
        <v>529575.12</v>
      </c>
      <c r="E3968" s="50">
        <f>290116.72</f>
        <v>290116.71999999997</v>
      </c>
      <c r="F3968" s="50">
        <f>SUM(C3968:E3968)</f>
        <v>1123495.6000000001</v>
      </c>
      <c r="G3968" s="40"/>
    </row>
    <row r="3969" spans="1:7" ht="12.75" hidden="1" customHeight="1">
      <c r="A3969" s="51"/>
      <c r="B3969" s="52"/>
      <c r="C3969" s="51"/>
      <c r="D3969" s="51"/>
      <c r="E3969" s="52"/>
      <c r="F3969" s="51"/>
      <c r="G3969" s="40"/>
    </row>
    <row r="3970" spans="1:7" ht="12.75" hidden="1" customHeight="1">
      <c r="A3970" s="51"/>
      <c r="B3970" s="52"/>
      <c r="C3970" s="51"/>
      <c r="D3970" s="51"/>
      <c r="E3970" s="52"/>
      <c r="F3970" s="51"/>
      <c r="G3970" s="40"/>
    </row>
    <row r="3971" spans="1:7" ht="12.75" hidden="1" customHeight="1">
      <c r="A3971" s="269" t="s">
        <v>730</v>
      </c>
      <c r="B3971" s="269"/>
      <c r="C3971" s="269"/>
      <c r="D3971" s="269"/>
      <c r="E3971" s="269"/>
      <c r="F3971" s="269"/>
      <c r="G3971" s="40"/>
    </row>
    <row r="3972" spans="1:7" ht="12.75" hidden="1" customHeight="1">
      <c r="A3972" s="43" t="s">
        <v>86</v>
      </c>
      <c r="B3972" s="43" t="s">
        <v>87</v>
      </c>
      <c r="C3972" s="43" t="s">
        <v>88</v>
      </c>
      <c r="D3972" s="43" t="s">
        <v>89</v>
      </c>
      <c r="E3972" s="43" t="s">
        <v>90</v>
      </c>
      <c r="F3972" s="45" t="s">
        <v>152</v>
      </c>
      <c r="G3972" s="43" t="s">
        <v>91</v>
      </c>
    </row>
    <row r="3973" spans="1:7" ht="12.75" hidden="1" customHeight="1">
      <c r="A3973" s="39" t="s">
        <v>153</v>
      </c>
      <c r="B3973" s="43"/>
      <c r="C3973" s="42"/>
      <c r="D3973" s="42"/>
      <c r="E3973" s="42"/>
      <c r="F3973" s="45"/>
      <c r="G3973" s="42"/>
    </row>
    <row r="3974" spans="1:7" ht="12.75" hidden="1" customHeight="1">
      <c r="A3974" s="39" t="s">
        <v>714</v>
      </c>
      <c r="B3974" s="43"/>
      <c r="C3974" s="42"/>
      <c r="D3974" s="42"/>
      <c r="E3974" s="42"/>
      <c r="F3974" s="45"/>
      <c r="G3974" s="42"/>
    </row>
    <row r="3975" spans="1:7" ht="12.75" hidden="1" customHeight="1">
      <c r="A3975" s="39" t="s">
        <v>155</v>
      </c>
      <c r="B3975" s="43"/>
      <c r="C3975" s="42"/>
      <c r="D3975" s="42"/>
      <c r="E3975" s="42"/>
      <c r="F3975" s="45"/>
      <c r="G3975" s="42"/>
    </row>
    <row r="3976" spans="1:7" ht="12.75" hidden="1" customHeight="1">
      <c r="A3976" s="39" t="s">
        <v>156</v>
      </c>
      <c r="B3976" s="43"/>
      <c r="C3976" s="42"/>
      <c r="D3976" s="42"/>
      <c r="E3976" s="42"/>
      <c r="F3976" s="45"/>
      <c r="G3976" s="42"/>
    </row>
    <row r="3977" spans="1:7" ht="12.75" hidden="1" customHeight="1">
      <c r="A3977" s="39" t="s">
        <v>3</v>
      </c>
      <c r="B3977" s="43"/>
      <c r="C3977" s="42"/>
      <c r="D3977" s="42"/>
      <c r="E3977" s="42"/>
      <c r="F3977" s="45"/>
      <c r="G3977" s="42"/>
    </row>
    <row r="3978" spans="1:7" ht="12.75" hidden="1" customHeight="1">
      <c r="A3978" s="39" t="s">
        <v>4</v>
      </c>
      <c r="B3978" s="43"/>
      <c r="C3978" s="42"/>
      <c r="D3978" s="42"/>
      <c r="E3978" s="42"/>
      <c r="F3978" s="45"/>
      <c r="G3978" s="42"/>
    </row>
    <row r="3979" spans="1:7" ht="12.75" hidden="1" customHeight="1">
      <c r="A3979" s="39" t="s">
        <v>5</v>
      </c>
      <c r="B3979" s="43"/>
      <c r="C3979" s="42"/>
      <c r="D3979" s="42"/>
      <c r="E3979" s="42"/>
      <c r="F3979" s="45"/>
      <c r="G3979" s="42"/>
    </row>
    <row r="3980" spans="1:7" ht="12.75" hidden="1" customHeight="1">
      <c r="A3980" s="39" t="s">
        <v>157</v>
      </c>
      <c r="B3980" s="43"/>
      <c r="C3980" s="42"/>
      <c r="D3980" s="42"/>
      <c r="E3980" s="42"/>
      <c r="F3980" s="57"/>
      <c r="G3980" s="42"/>
    </row>
    <row r="3981" spans="1:7" ht="12.75" hidden="1" customHeight="1">
      <c r="A3981" s="39" t="s">
        <v>669</v>
      </c>
      <c r="B3981" s="43"/>
      <c r="C3981" s="42"/>
      <c r="D3981" s="42"/>
      <c r="E3981" s="42"/>
      <c r="F3981" s="57"/>
      <c r="G3981" s="42"/>
    </row>
    <row r="3982" spans="1:7" ht="12.75" hidden="1" customHeight="1">
      <c r="A3982" s="39" t="s">
        <v>159</v>
      </c>
      <c r="B3982" s="43"/>
      <c r="C3982" s="42"/>
      <c r="D3982" s="42"/>
      <c r="E3982" s="42"/>
      <c r="F3982" s="57"/>
      <c r="G3982" s="42"/>
    </row>
    <row r="3983" spans="1:7" ht="12.75" hidden="1" customHeight="1">
      <c r="A3983" s="39" t="s">
        <v>680</v>
      </c>
      <c r="B3983" s="43"/>
      <c r="C3983" s="42"/>
      <c r="D3983" s="42"/>
      <c r="E3983" s="42"/>
      <c r="F3983" s="57"/>
      <c r="G3983" s="42"/>
    </row>
    <row r="3984" spans="1:7" ht="12.75" hidden="1" customHeight="1">
      <c r="A3984" s="39" t="s">
        <v>616</v>
      </c>
      <c r="B3984" s="43">
        <v>1</v>
      </c>
      <c r="C3984" s="44">
        <v>55753.82</v>
      </c>
      <c r="D3984" s="44">
        <v>5164.6000000000004</v>
      </c>
      <c r="E3984" s="44">
        <f>E4057-E4056</f>
        <v>21403.909333333315</v>
      </c>
      <c r="F3984" s="57"/>
      <c r="G3984" s="44">
        <f>SUM(C3984:E3984)</f>
        <v>82322.329333333313</v>
      </c>
    </row>
    <row r="3985" spans="1:7" ht="12.75" hidden="1" customHeight="1">
      <c r="A3985" s="39" t="s">
        <v>616</v>
      </c>
      <c r="B3985" s="43"/>
      <c r="C3985" s="44"/>
      <c r="D3985" s="44"/>
      <c r="E3985" s="44"/>
      <c r="F3985" s="57"/>
      <c r="G3985" s="44"/>
    </row>
    <row r="3986" spans="1:7" ht="12.75" hidden="1" customHeight="1">
      <c r="A3986" s="39" t="s">
        <v>6</v>
      </c>
      <c r="B3986" s="43"/>
      <c r="C3986" s="44"/>
      <c r="D3986" s="44"/>
      <c r="E3986" s="44"/>
      <c r="F3986" s="57"/>
      <c r="G3986" s="44"/>
    </row>
    <row r="3987" spans="1:7" ht="12.75" hidden="1" customHeight="1">
      <c r="A3987" s="39" t="s">
        <v>7</v>
      </c>
      <c r="B3987" s="43"/>
      <c r="C3987" s="44"/>
      <c r="D3987" s="44"/>
      <c r="E3987" s="44"/>
      <c r="F3987" s="57"/>
      <c r="G3987" s="44"/>
    </row>
    <row r="3988" spans="1:7" ht="12.75" hidden="1" customHeight="1">
      <c r="A3988" s="39" t="s">
        <v>162</v>
      </c>
      <c r="B3988" s="43"/>
      <c r="C3988" s="44"/>
      <c r="D3988" s="44"/>
      <c r="E3988" s="44"/>
      <c r="F3988" s="57"/>
      <c r="G3988" s="44"/>
    </row>
    <row r="3989" spans="1:7" ht="12.75" hidden="1" customHeight="1">
      <c r="A3989" s="39" t="s">
        <v>401</v>
      </c>
      <c r="B3989" s="45"/>
      <c r="C3989" s="44"/>
      <c r="D3989" s="44"/>
      <c r="E3989" s="44"/>
      <c r="F3989" s="57"/>
      <c r="G3989" s="44"/>
    </row>
    <row r="3990" spans="1:7" ht="12.75" hidden="1" customHeight="1">
      <c r="A3990" s="39" t="s">
        <v>402</v>
      </c>
      <c r="B3990" s="45"/>
      <c r="C3990" s="44"/>
      <c r="D3990" s="44"/>
      <c r="E3990" s="44"/>
      <c r="F3990" s="57"/>
      <c r="G3990" s="44"/>
    </row>
    <row r="3991" spans="1:7" ht="12.75" hidden="1" customHeight="1">
      <c r="A3991" s="39" t="s">
        <v>604</v>
      </c>
      <c r="B3991" s="43"/>
      <c r="C3991" s="44"/>
      <c r="D3991" s="44"/>
      <c r="E3991" s="44"/>
      <c r="F3991" s="57"/>
      <c r="G3991" s="44"/>
    </row>
    <row r="3992" spans="1:7" ht="12.75" hidden="1" customHeight="1">
      <c r="A3992" s="39" t="s">
        <v>605</v>
      </c>
      <c r="B3992" s="43"/>
      <c r="C3992" s="44"/>
      <c r="D3992" s="44"/>
      <c r="E3992" s="44"/>
      <c r="F3992" s="57"/>
      <c r="G3992" s="44"/>
    </row>
    <row r="3993" spans="1:7" ht="12.75" hidden="1" customHeight="1">
      <c r="A3993" s="39" t="s">
        <v>605</v>
      </c>
      <c r="B3993" s="43"/>
      <c r="C3993" s="44"/>
      <c r="D3993" s="44"/>
      <c r="E3993" s="44"/>
      <c r="F3993" s="57"/>
      <c r="G3993" s="44"/>
    </row>
    <row r="3994" spans="1:7" ht="12.75" hidden="1" customHeight="1">
      <c r="A3994" s="39" t="s">
        <v>617</v>
      </c>
      <c r="B3994" s="43"/>
      <c r="C3994" s="44"/>
      <c r="D3994" s="44"/>
      <c r="E3994" s="44"/>
      <c r="F3994" s="57"/>
      <c r="G3994" s="44"/>
    </row>
    <row r="3995" spans="1:7" ht="12.75" hidden="1" customHeight="1">
      <c r="A3995" s="39" t="s">
        <v>11</v>
      </c>
      <c r="B3995" s="43"/>
      <c r="C3995" s="44"/>
      <c r="D3995" s="44"/>
      <c r="E3995" s="44"/>
      <c r="F3995" s="57"/>
      <c r="G3995" s="44"/>
    </row>
    <row r="3996" spans="1:7" ht="12.75" hidden="1" customHeight="1">
      <c r="A3996" s="39" t="s">
        <v>164</v>
      </c>
      <c r="B3996" s="43"/>
      <c r="C3996" s="44"/>
      <c r="D3996" s="44"/>
      <c r="E3996" s="44"/>
      <c r="F3996" s="57"/>
      <c r="G3996" s="44"/>
    </row>
    <row r="3997" spans="1:7" ht="12.75" hidden="1" customHeight="1">
      <c r="A3997" s="39" t="s">
        <v>606</v>
      </c>
      <c r="B3997" s="43"/>
      <c r="C3997" s="44"/>
      <c r="D3997" s="44"/>
      <c r="E3997" s="44"/>
      <c r="F3997" s="57"/>
      <c r="G3997" s="44"/>
    </row>
    <row r="3998" spans="1:7" ht="12.75" hidden="1" customHeight="1">
      <c r="A3998" s="39" t="s">
        <v>505</v>
      </c>
      <c r="B3998" s="43"/>
      <c r="C3998" s="44"/>
      <c r="D3998" s="44"/>
      <c r="E3998" s="44"/>
      <c r="F3998" s="57"/>
      <c r="G3998" s="44"/>
    </row>
    <row r="3999" spans="1:7" ht="12.75" hidden="1" customHeight="1">
      <c r="A3999" s="39" t="s">
        <v>166</v>
      </c>
      <c r="B3999" s="43"/>
      <c r="C3999" s="44"/>
      <c r="D3999" s="44"/>
      <c r="E3999" s="44"/>
      <c r="F3999" s="57"/>
      <c r="G3999" s="44"/>
    </row>
    <row r="4000" spans="1:7" ht="12.75" hidden="1" customHeight="1">
      <c r="A4000" s="39" t="s">
        <v>679</v>
      </c>
      <c r="B4000" s="43"/>
      <c r="C4000" s="44"/>
      <c r="D4000" s="44"/>
      <c r="E4000" s="44"/>
      <c r="F4000" s="57"/>
      <c r="G4000" s="44"/>
    </row>
    <row r="4001" spans="1:7" ht="12.75" hidden="1" customHeight="1">
      <c r="A4001" s="39" t="s">
        <v>168</v>
      </c>
      <c r="B4001" s="43"/>
      <c r="C4001" s="44"/>
      <c r="D4001" s="44"/>
      <c r="E4001" s="44"/>
      <c r="F4001" s="57"/>
      <c r="G4001" s="44"/>
    </row>
    <row r="4002" spans="1:7" ht="12.75" hidden="1" customHeight="1">
      <c r="A4002" s="39" t="s">
        <v>169</v>
      </c>
      <c r="B4002" s="43"/>
      <c r="C4002" s="44"/>
      <c r="D4002" s="44"/>
      <c r="E4002" s="44"/>
      <c r="F4002" s="57"/>
      <c r="G4002" s="44"/>
    </row>
    <row r="4003" spans="1:7" ht="12.75" hidden="1" customHeight="1">
      <c r="A4003" s="39" t="s">
        <v>170</v>
      </c>
      <c r="B4003" s="43"/>
      <c r="C4003" s="44"/>
      <c r="D4003" s="44"/>
      <c r="E4003" s="44"/>
      <c r="F4003" s="57"/>
      <c r="G4003" s="44"/>
    </row>
    <row r="4004" spans="1:7" ht="12.75" hidden="1" customHeight="1">
      <c r="A4004" s="39" t="s">
        <v>171</v>
      </c>
      <c r="B4004" s="43"/>
      <c r="C4004" s="44"/>
      <c r="D4004" s="44"/>
      <c r="E4004" s="44"/>
      <c r="F4004" s="57"/>
      <c r="G4004" s="44"/>
    </row>
    <row r="4005" spans="1:7" ht="12.75" hidden="1" customHeight="1">
      <c r="A4005" s="39" t="s">
        <v>607</v>
      </c>
      <c r="B4005" s="45"/>
      <c r="C4005" s="44"/>
      <c r="D4005" s="44"/>
      <c r="E4005" s="44"/>
      <c r="F4005" s="57"/>
      <c r="G4005" s="44"/>
    </row>
    <row r="4006" spans="1:7" ht="12.75" hidden="1" customHeight="1">
      <c r="A4006" s="39" t="s">
        <v>670</v>
      </c>
      <c r="B4006" s="43"/>
      <c r="C4006" s="44"/>
      <c r="D4006" s="44"/>
      <c r="E4006" s="44"/>
      <c r="F4006" s="57"/>
      <c r="G4006" s="44"/>
    </row>
    <row r="4007" spans="1:7" ht="12.75" hidden="1" customHeight="1">
      <c r="A4007" s="39" t="s">
        <v>716</v>
      </c>
      <c r="B4007" s="43"/>
      <c r="C4007" s="44"/>
      <c r="D4007" s="44"/>
      <c r="E4007" s="44"/>
      <c r="F4007" s="57"/>
      <c r="G4007" s="44"/>
    </row>
    <row r="4008" spans="1:7" ht="12.75" hidden="1" customHeight="1">
      <c r="A4008" s="39" t="s">
        <v>610</v>
      </c>
      <c r="B4008" s="43"/>
      <c r="C4008" s="44"/>
      <c r="D4008" s="44"/>
      <c r="E4008" s="44"/>
      <c r="F4008" s="57"/>
      <c r="G4008" s="44"/>
    </row>
    <row r="4009" spans="1:7" ht="12.75" hidden="1" customHeight="1">
      <c r="A4009" s="39" t="s">
        <v>610</v>
      </c>
      <c r="B4009" s="43"/>
      <c r="C4009" s="44"/>
      <c r="D4009" s="44"/>
      <c r="E4009" s="44"/>
      <c r="F4009" s="57"/>
      <c r="G4009" s="44"/>
    </row>
    <row r="4010" spans="1:7" ht="12.75" hidden="1" customHeight="1">
      <c r="A4010" s="39" t="s">
        <v>609</v>
      </c>
      <c r="B4010" s="43"/>
      <c r="C4010" s="44"/>
      <c r="D4010" s="44"/>
      <c r="E4010" s="44"/>
      <c r="F4010" s="57"/>
      <c r="G4010" s="44"/>
    </row>
    <row r="4011" spans="1:7" ht="12.75" hidden="1" customHeight="1">
      <c r="A4011" s="39" t="s">
        <v>609</v>
      </c>
      <c r="B4011" s="43"/>
      <c r="C4011" s="44"/>
      <c r="D4011" s="44"/>
      <c r="E4011" s="44"/>
      <c r="F4011" s="57"/>
      <c r="G4011" s="44"/>
    </row>
    <row r="4012" spans="1:7" ht="12.75" hidden="1" customHeight="1">
      <c r="A4012" s="39" t="s">
        <v>16</v>
      </c>
      <c r="B4012" s="43"/>
      <c r="C4012" s="44"/>
      <c r="D4012" s="44"/>
      <c r="E4012" s="44"/>
      <c r="F4012" s="57"/>
      <c r="G4012" s="44"/>
    </row>
    <row r="4013" spans="1:7" ht="12.75" hidden="1" customHeight="1">
      <c r="A4013" s="39" t="s">
        <v>173</v>
      </c>
      <c r="B4013" s="43"/>
      <c r="C4013" s="44"/>
      <c r="D4013" s="44"/>
      <c r="E4013" s="44"/>
      <c r="F4013" s="57"/>
      <c r="G4013" s="44"/>
    </row>
    <row r="4014" spans="1:7" ht="12.75" hidden="1" customHeight="1">
      <c r="A4014" s="39" t="s">
        <v>672</v>
      </c>
      <c r="B4014" s="45"/>
      <c r="C4014" s="44"/>
      <c r="D4014" s="44"/>
      <c r="E4014" s="44"/>
      <c r="F4014" s="57"/>
      <c r="G4014" s="44"/>
    </row>
    <row r="4015" spans="1:7" ht="12.75" hidden="1" customHeight="1">
      <c r="A4015" s="39" t="s">
        <v>677</v>
      </c>
      <c r="B4015" s="45"/>
      <c r="C4015" s="44"/>
      <c r="D4015" s="44"/>
      <c r="E4015" s="44"/>
      <c r="F4015" s="57"/>
      <c r="G4015" s="44"/>
    </row>
    <row r="4016" spans="1:7" ht="12.75" hidden="1" customHeight="1">
      <c r="A4016" s="39" t="s">
        <v>611</v>
      </c>
      <c r="B4016" s="43"/>
      <c r="C4016" s="44"/>
      <c r="D4016" s="44"/>
      <c r="E4016" s="44"/>
      <c r="F4016" s="57"/>
      <c r="G4016" s="44"/>
    </row>
    <row r="4017" spans="1:7" ht="12.75" hidden="1" customHeight="1">
      <c r="A4017" s="39" t="s">
        <v>611</v>
      </c>
      <c r="B4017" s="43"/>
      <c r="C4017" s="44"/>
      <c r="D4017" s="44"/>
      <c r="E4017" s="44"/>
      <c r="F4017" s="57"/>
      <c r="G4017" s="44"/>
    </row>
    <row r="4018" spans="1:7" ht="12.75" hidden="1" customHeight="1">
      <c r="A4018" s="39" t="s">
        <v>673</v>
      </c>
      <c r="B4018" s="43"/>
      <c r="C4018" s="44"/>
      <c r="D4018" s="44"/>
      <c r="E4018" s="44"/>
      <c r="F4018" s="57"/>
      <c r="G4018" s="44"/>
    </row>
    <row r="4019" spans="1:7" ht="12.75" hidden="1" customHeight="1">
      <c r="A4019" s="49" t="s">
        <v>618</v>
      </c>
      <c r="B4019" s="43"/>
      <c r="C4019" s="44"/>
      <c r="D4019" s="44"/>
      <c r="E4019" s="44"/>
      <c r="F4019" s="57"/>
      <c r="G4019" s="44"/>
    </row>
    <row r="4020" spans="1:7" ht="12.75" hidden="1" customHeight="1">
      <c r="A4020" s="39" t="s">
        <v>608</v>
      </c>
      <c r="B4020" s="43"/>
      <c r="C4020" s="44"/>
      <c r="D4020" s="44"/>
      <c r="E4020" s="44"/>
      <c r="F4020" s="57"/>
      <c r="G4020" s="44"/>
    </row>
    <row r="4021" spans="1:7" ht="12.75" hidden="1" customHeight="1">
      <c r="A4021" s="39" t="s">
        <v>608</v>
      </c>
      <c r="B4021" s="43"/>
      <c r="C4021" s="44"/>
      <c r="D4021" s="44"/>
      <c r="E4021" s="44"/>
      <c r="F4021" s="57"/>
      <c r="G4021" s="44"/>
    </row>
    <row r="4022" spans="1:7" ht="12.75" hidden="1" customHeight="1">
      <c r="A4022" s="39" t="s">
        <v>671</v>
      </c>
      <c r="B4022" s="43"/>
      <c r="C4022" s="44"/>
      <c r="D4022" s="44"/>
      <c r="E4022" s="44"/>
      <c r="F4022" s="57"/>
      <c r="G4022" s="44"/>
    </row>
    <row r="4023" spans="1:7" ht="12.75" hidden="1" customHeight="1">
      <c r="A4023" s="49" t="s">
        <v>620</v>
      </c>
      <c r="B4023" s="43"/>
      <c r="C4023" s="44"/>
      <c r="D4023" s="44"/>
      <c r="E4023" s="44"/>
      <c r="F4023" s="57"/>
      <c r="G4023" s="44"/>
    </row>
    <row r="4024" spans="1:7" ht="12.75" hidden="1" customHeight="1">
      <c r="A4024" s="39" t="s">
        <v>715</v>
      </c>
      <c r="B4024" s="45"/>
      <c r="C4024" s="44"/>
      <c r="D4024" s="44"/>
      <c r="E4024" s="44"/>
      <c r="F4024" s="57"/>
      <c r="G4024" s="44"/>
    </row>
    <row r="4025" spans="1:7" ht="12.75" hidden="1" customHeight="1">
      <c r="A4025" s="49" t="s">
        <v>619</v>
      </c>
      <c r="B4025" s="43"/>
      <c r="C4025" s="44"/>
      <c r="D4025" s="44"/>
      <c r="E4025" s="44"/>
      <c r="F4025" s="57"/>
      <c r="G4025" s="44"/>
    </row>
    <row r="4026" spans="1:7" ht="12.75" hidden="1" customHeight="1">
      <c r="A4026" s="39" t="s">
        <v>615</v>
      </c>
      <c r="B4026" s="43"/>
      <c r="C4026" s="44"/>
      <c r="D4026" s="44"/>
      <c r="E4026" s="44"/>
      <c r="F4026" s="57"/>
      <c r="G4026" s="44"/>
    </row>
    <row r="4027" spans="1:7" ht="12.75" hidden="1" customHeight="1">
      <c r="A4027" s="39" t="s">
        <v>612</v>
      </c>
      <c r="B4027" s="43"/>
      <c r="C4027" s="44"/>
      <c r="D4027" s="44"/>
      <c r="E4027" s="44"/>
      <c r="F4027" s="57"/>
      <c r="G4027" s="44"/>
    </row>
    <row r="4028" spans="1:7" ht="12.75" hidden="1" customHeight="1">
      <c r="A4028" s="39" t="s">
        <v>613</v>
      </c>
      <c r="B4028" s="43"/>
      <c r="C4028" s="44"/>
      <c r="D4028" s="44"/>
      <c r="E4028" s="44"/>
      <c r="F4028" s="57"/>
      <c r="G4028" s="44"/>
    </row>
    <row r="4029" spans="1:7" ht="12.75" hidden="1" customHeight="1">
      <c r="A4029" s="39" t="s">
        <v>613</v>
      </c>
      <c r="B4029" s="43"/>
      <c r="C4029" s="44"/>
      <c r="D4029" s="44"/>
      <c r="E4029" s="44"/>
      <c r="F4029" s="57"/>
      <c r="G4029" s="44"/>
    </row>
    <row r="4030" spans="1:7" ht="12.75" hidden="1" customHeight="1">
      <c r="A4030" s="39" t="s">
        <v>678</v>
      </c>
      <c r="B4030" s="43"/>
      <c r="C4030" s="44"/>
      <c r="D4030" s="44"/>
      <c r="E4030" s="44"/>
      <c r="F4030" s="57"/>
      <c r="G4030" s="44"/>
    </row>
    <row r="4031" spans="1:7" ht="12.75" hidden="1" customHeight="1">
      <c r="A4031" s="39" t="s">
        <v>676</v>
      </c>
      <c r="B4031" s="43"/>
      <c r="C4031" s="44"/>
      <c r="D4031" s="44"/>
      <c r="E4031" s="44"/>
      <c r="F4031" s="57"/>
      <c r="G4031" s="44"/>
    </row>
    <row r="4032" spans="1:7" ht="12.75" hidden="1" customHeight="1">
      <c r="A4032" s="39" t="s">
        <v>674</v>
      </c>
      <c r="B4032" s="43"/>
      <c r="C4032" s="44"/>
      <c r="D4032" s="44"/>
      <c r="E4032" s="44"/>
      <c r="F4032" s="57"/>
      <c r="G4032" s="44"/>
    </row>
    <row r="4033" spans="1:7" ht="12.75" hidden="1" customHeight="1">
      <c r="A4033" s="39" t="s">
        <v>614</v>
      </c>
      <c r="B4033" s="43"/>
      <c r="C4033" s="44"/>
      <c r="D4033" s="44"/>
      <c r="E4033" s="44"/>
      <c r="F4033" s="57"/>
      <c r="G4033" s="44"/>
    </row>
    <row r="4034" spans="1:7" ht="12.75" hidden="1" customHeight="1">
      <c r="A4034" s="39" t="s">
        <v>614</v>
      </c>
      <c r="B4034" s="43"/>
      <c r="C4034" s="44"/>
      <c r="D4034" s="44"/>
      <c r="E4034" s="44"/>
      <c r="F4034" s="57"/>
      <c r="G4034" s="44"/>
    </row>
    <row r="4035" spans="1:7" ht="12.75" hidden="1" customHeight="1">
      <c r="A4035" s="39" t="s">
        <v>675</v>
      </c>
      <c r="B4035" s="45"/>
      <c r="C4035" s="44"/>
      <c r="D4035" s="44"/>
      <c r="E4035" s="44"/>
      <c r="F4035" s="57"/>
      <c r="G4035" s="44"/>
    </row>
    <row r="4036" spans="1:7" ht="12.75" hidden="1" customHeight="1">
      <c r="A4036" s="39" t="s">
        <v>603</v>
      </c>
      <c r="B4036" s="45"/>
      <c r="C4036" s="44"/>
      <c r="D4036" s="44"/>
      <c r="E4036" s="44"/>
      <c r="F4036" s="57"/>
      <c r="G4036" s="44"/>
    </row>
    <row r="4037" spans="1:7" ht="12.75" hidden="1" customHeight="1">
      <c r="A4037" s="39" t="s">
        <v>603</v>
      </c>
      <c r="B4037" s="45"/>
      <c r="C4037" s="44"/>
      <c r="D4037" s="44"/>
      <c r="E4037" s="44"/>
      <c r="F4037" s="57"/>
      <c r="G4037" s="44"/>
    </row>
    <row r="4038" spans="1:7" ht="12.75" hidden="1" customHeight="1">
      <c r="A4038" s="39" t="s">
        <v>18</v>
      </c>
      <c r="B4038" s="43"/>
      <c r="C4038" s="44"/>
      <c r="D4038" s="44"/>
      <c r="E4038" s="44"/>
      <c r="F4038" s="57"/>
      <c r="G4038" s="44"/>
    </row>
    <row r="4039" spans="1:7" ht="12.75" hidden="1" customHeight="1">
      <c r="A4039" s="39" t="s">
        <v>192</v>
      </c>
      <c r="B4039" s="43"/>
      <c r="C4039" s="44"/>
      <c r="D4039" s="44"/>
      <c r="E4039" s="44"/>
      <c r="F4039" s="57"/>
      <c r="G4039" s="44"/>
    </row>
    <row r="4040" spans="1:7" ht="12.75" hidden="1" customHeight="1">
      <c r="A4040" s="39" t="s">
        <v>19</v>
      </c>
      <c r="B4040" s="43"/>
      <c r="C4040" s="44"/>
      <c r="D4040" s="44"/>
      <c r="E4040" s="44"/>
      <c r="F4040" s="57"/>
      <c r="G4040" s="44"/>
    </row>
    <row r="4041" spans="1:7" ht="12.75" hidden="1" customHeight="1">
      <c r="A4041" s="39" t="s">
        <v>193</v>
      </c>
      <c r="B4041" s="43"/>
      <c r="C4041" s="44"/>
      <c r="D4041" s="44"/>
      <c r="E4041" s="44"/>
      <c r="F4041" s="57"/>
      <c r="G4041" s="44"/>
    </row>
    <row r="4042" spans="1:7" ht="12.75" hidden="1" customHeight="1">
      <c r="A4042" s="39" t="s">
        <v>194</v>
      </c>
      <c r="B4042" s="43"/>
      <c r="C4042" s="44"/>
      <c r="D4042" s="44"/>
      <c r="E4042" s="44"/>
      <c r="F4042" s="57"/>
      <c r="G4042" s="44"/>
    </row>
    <row r="4043" spans="1:7" ht="12.75" hidden="1" customHeight="1">
      <c r="A4043" s="39" t="s">
        <v>195</v>
      </c>
      <c r="B4043" s="43"/>
      <c r="C4043" s="44"/>
      <c r="D4043" s="44"/>
      <c r="E4043" s="44"/>
      <c r="F4043" s="57"/>
      <c r="G4043" s="44"/>
    </row>
    <row r="4044" spans="1:7" ht="12.75" hidden="1" customHeight="1">
      <c r="A4044" s="39" t="s">
        <v>196</v>
      </c>
      <c r="B4044" s="43"/>
      <c r="C4044" s="44"/>
      <c r="D4044" s="44"/>
      <c r="E4044" s="44"/>
      <c r="F4044" s="57"/>
      <c r="G4044" s="44"/>
    </row>
    <row r="4045" spans="1:7" ht="12.75" hidden="1" customHeight="1">
      <c r="A4045" s="39" t="s">
        <v>197</v>
      </c>
      <c r="B4045" s="43"/>
      <c r="C4045" s="44"/>
      <c r="D4045" s="44"/>
      <c r="E4045" s="44"/>
      <c r="F4045" s="57"/>
      <c r="G4045" s="44"/>
    </row>
    <row r="4046" spans="1:7" ht="12.75" hidden="1" customHeight="1">
      <c r="A4046" s="39" t="s">
        <v>198</v>
      </c>
      <c r="B4046" s="43"/>
      <c r="C4046" s="44"/>
      <c r="D4046" s="44"/>
      <c r="E4046" s="44"/>
      <c r="F4046" s="57"/>
      <c r="G4046" s="44"/>
    </row>
    <row r="4047" spans="1:7" ht="12.75" hidden="1" customHeight="1">
      <c r="A4047" s="39" t="s">
        <v>199</v>
      </c>
      <c r="B4047" s="43"/>
      <c r="C4047" s="44"/>
      <c r="D4047" s="44"/>
      <c r="E4047" s="44"/>
      <c r="F4047" s="57"/>
      <c r="G4047" s="44"/>
    </row>
    <row r="4048" spans="1:7" ht="12.75" hidden="1" customHeight="1">
      <c r="A4048" s="39" t="s">
        <v>200</v>
      </c>
      <c r="B4048" s="43"/>
      <c r="C4048" s="44"/>
      <c r="D4048" s="44"/>
      <c r="E4048" s="44"/>
      <c r="F4048" s="57"/>
      <c r="G4048" s="44"/>
    </row>
    <row r="4049" spans="1:7" ht="12.75" hidden="1" customHeight="1">
      <c r="A4049" s="39" t="s">
        <v>201</v>
      </c>
      <c r="B4049" s="43"/>
      <c r="C4049" s="44"/>
      <c r="D4049" s="44"/>
      <c r="E4049" s="44"/>
      <c r="F4049" s="57"/>
      <c r="G4049" s="44"/>
    </row>
    <row r="4050" spans="1:7" ht="12.75" hidden="1" customHeight="1">
      <c r="A4050" s="49" t="s">
        <v>207</v>
      </c>
      <c r="B4050" s="43"/>
      <c r="C4050" s="44"/>
      <c r="D4050" s="44"/>
      <c r="E4050" s="44"/>
      <c r="F4050" s="44"/>
      <c r="G4050" s="44"/>
    </row>
    <row r="4051" spans="1:7" ht="12.75" hidden="1" customHeight="1">
      <c r="A4051" s="46" t="s">
        <v>203</v>
      </c>
      <c r="B4051" s="43"/>
      <c r="C4051" s="44"/>
      <c r="D4051" s="44"/>
      <c r="E4051" s="44"/>
      <c r="F4051" s="57"/>
      <c r="G4051" s="44"/>
    </row>
    <row r="4052" spans="1:7" ht="12.75" hidden="1" customHeight="1">
      <c r="A4052" s="46" t="s">
        <v>204</v>
      </c>
      <c r="B4052" s="43"/>
      <c r="C4052" s="44"/>
      <c r="D4052" s="44"/>
      <c r="E4052" s="44"/>
      <c r="F4052" s="57"/>
      <c r="G4052" s="44"/>
    </row>
    <row r="4053" spans="1:7" ht="12.75" hidden="1" customHeight="1">
      <c r="A4053" s="46" t="s">
        <v>205</v>
      </c>
      <c r="B4053" s="43"/>
      <c r="C4053" s="44"/>
      <c r="D4053" s="44"/>
      <c r="E4053" s="44"/>
      <c r="F4053" s="57"/>
      <c r="G4053" s="44"/>
    </row>
    <row r="4054" spans="1:7" ht="12.75" hidden="1" customHeight="1">
      <c r="A4054" s="224" t="s">
        <v>622</v>
      </c>
      <c r="B4054" s="48"/>
      <c r="C4054" s="50"/>
      <c r="D4054" s="50"/>
      <c r="E4054" s="50"/>
      <c r="F4054" s="96"/>
      <c r="G4054" s="44"/>
    </row>
    <row r="4055" spans="1:7" ht="12.75" hidden="1" customHeight="1">
      <c r="A4055" s="239" t="s">
        <v>621</v>
      </c>
      <c r="B4055" s="43"/>
      <c r="C4055" s="44"/>
      <c r="D4055" s="44"/>
      <c r="E4055" s="44"/>
      <c r="F4055" s="44"/>
      <c r="G4055" s="44"/>
    </row>
    <row r="4056" spans="1:7" ht="12.75" hidden="1" customHeight="1">
      <c r="A4056" s="239" t="s">
        <v>741</v>
      </c>
      <c r="B4056" s="43"/>
      <c r="C4056" s="44">
        <v>0</v>
      </c>
      <c r="D4056" s="44">
        <v>0</v>
      </c>
      <c r="E4056" s="44">
        <f>141537.28*29/30</f>
        <v>136819.37066666668</v>
      </c>
      <c r="F4056" s="44"/>
      <c r="G4056" s="44">
        <f>SUM(C4056:F4056)</f>
        <v>136819.37066666668</v>
      </c>
    </row>
    <row r="4057" spans="1:7" ht="12.75" hidden="1" customHeight="1">
      <c r="A4057" s="48" t="s">
        <v>209</v>
      </c>
      <c r="B4057" s="48"/>
      <c r="C4057" s="50">
        <f>55753.82</f>
        <v>55753.82</v>
      </c>
      <c r="D4057" s="50">
        <f>5164.6</f>
        <v>5164.6000000000004</v>
      </c>
      <c r="E4057" s="50">
        <f>158223.28</f>
        <v>158223.28</v>
      </c>
      <c r="F4057" s="50"/>
      <c r="G4057" s="96">
        <f>SUM(C4057:F4057)</f>
        <v>219141.7</v>
      </c>
    </row>
    <row r="4058" spans="1:7" ht="12.75" hidden="1" customHeight="1">
      <c r="A4058" s="63" t="s">
        <v>769</v>
      </c>
      <c r="B4058" s="52"/>
      <c r="C4058" s="51"/>
      <c r="D4058" s="51"/>
      <c r="E4058" s="64"/>
      <c r="F4058" s="65"/>
      <c r="G4058" s="40"/>
    </row>
    <row r="4059" spans="1:7" ht="12.75" hidden="1" customHeight="1">
      <c r="A4059" s="63"/>
      <c r="B4059" s="52"/>
      <c r="C4059" s="51"/>
      <c r="D4059" s="51"/>
      <c r="E4059" s="51"/>
      <c r="F4059" s="65"/>
      <c r="G4059" s="40"/>
    </row>
    <row r="4060" spans="1:7" ht="12.75" hidden="1" customHeight="1">
      <c r="A4060" s="51"/>
      <c r="B4060" s="52"/>
      <c r="C4060" s="51"/>
      <c r="D4060" s="51"/>
      <c r="E4060" s="51"/>
      <c r="F4060" s="65"/>
      <c r="G4060" s="40"/>
    </row>
    <row r="4061" spans="1:7" ht="12.75" hidden="1" customHeight="1">
      <c r="A4061" s="269" t="s">
        <v>731</v>
      </c>
      <c r="B4061" s="269"/>
      <c r="C4061" s="269"/>
      <c r="D4061" s="269"/>
      <c r="E4061" s="269"/>
      <c r="F4061" s="269"/>
      <c r="G4061" s="40"/>
    </row>
    <row r="4062" spans="1:7" ht="12.75" hidden="1" customHeight="1">
      <c r="A4062" s="42" t="s">
        <v>86</v>
      </c>
      <c r="B4062" s="43" t="s">
        <v>211</v>
      </c>
      <c r="C4062" s="43" t="s">
        <v>212</v>
      </c>
      <c r="D4062" s="43" t="s">
        <v>88</v>
      </c>
      <c r="E4062" s="43" t="s">
        <v>89</v>
      </c>
      <c r="F4062" s="43" t="s">
        <v>90</v>
      </c>
      <c r="G4062" s="45" t="s">
        <v>213</v>
      </c>
    </row>
    <row r="4063" spans="1:7" ht="12.75" hidden="1" customHeight="1">
      <c r="A4063" s="42" t="s">
        <v>20</v>
      </c>
      <c r="B4063" s="43"/>
      <c r="C4063" s="43"/>
      <c r="D4063" s="44"/>
      <c r="E4063" s="44"/>
      <c r="F4063" s="44"/>
      <c r="G4063" s="39"/>
    </row>
    <row r="4064" spans="1:7" ht="12.75" hidden="1" customHeight="1">
      <c r="A4064" s="42" t="s">
        <v>214</v>
      </c>
      <c r="B4064" s="43"/>
      <c r="C4064" s="43"/>
      <c r="D4064" s="44"/>
      <c r="E4064" s="44"/>
      <c r="F4064" s="44"/>
      <c r="G4064" s="44"/>
    </row>
    <row r="4065" spans="1:7" ht="12.75" hidden="1" customHeight="1">
      <c r="A4065" s="42" t="s">
        <v>215</v>
      </c>
      <c r="B4065" s="43"/>
      <c r="C4065" s="43"/>
      <c r="D4065" s="44"/>
      <c r="E4065" s="44"/>
      <c r="F4065" s="44"/>
      <c r="G4065" s="44"/>
    </row>
    <row r="4066" spans="1:7" ht="12.75" hidden="1" customHeight="1">
      <c r="A4066" s="42" t="s">
        <v>216</v>
      </c>
      <c r="B4066" s="43"/>
      <c r="C4066" s="43"/>
      <c r="D4066" s="44"/>
      <c r="E4066" s="44"/>
      <c r="F4066" s="44"/>
      <c r="G4066" s="44"/>
    </row>
    <row r="4067" spans="1:7" ht="12.75" hidden="1" customHeight="1">
      <c r="A4067" s="42" t="s">
        <v>217</v>
      </c>
      <c r="B4067" s="43"/>
      <c r="C4067" s="43"/>
      <c r="D4067" s="44"/>
      <c r="E4067" s="44"/>
      <c r="F4067" s="44"/>
      <c r="G4067" s="44"/>
    </row>
    <row r="4068" spans="1:7" ht="12.75" hidden="1" customHeight="1">
      <c r="A4068" s="42" t="s">
        <v>218</v>
      </c>
      <c r="B4068" s="45"/>
      <c r="C4068" s="45"/>
      <c r="D4068" s="44"/>
      <c r="E4068" s="44"/>
      <c r="F4068" s="44"/>
      <c r="G4068" s="44"/>
    </row>
    <row r="4069" spans="1:7" ht="12.75" hidden="1" customHeight="1">
      <c r="A4069" s="42" t="s">
        <v>771</v>
      </c>
      <c r="B4069" s="45">
        <v>120</v>
      </c>
      <c r="C4069" s="45">
        <v>320</v>
      </c>
      <c r="D4069" s="66">
        <f>C4069/C$4102*D$4102</f>
        <v>75586.809638554216</v>
      </c>
      <c r="E4069" s="66">
        <f>B4069/B$4102*E$4102</f>
        <v>50107.975000000006</v>
      </c>
      <c r="F4069" s="66">
        <f>C4069/C$4102*F$4102</f>
        <v>62774.766265060243</v>
      </c>
      <c r="G4069" s="44">
        <f>SUM(D4069:F4069)</f>
        <v>188469.55090361446</v>
      </c>
    </row>
    <row r="4070" spans="1:7" ht="12.75" hidden="1" customHeight="1">
      <c r="A4070" s="42" t="s">
        <v>21</v>
      </c>
      <c r="B4070" s="43"/>
      <c r="C4070" s="43"/>
      <c r="D4070" s="44">
        <f t="shared" ref="D4070:D4095" si="348">C4070/C$4102*D$4102</f>
        <v>0</v>
      </c>
      <c r="E4070" s="44">
        <f t="shared" ref="E4070:E4101" si="349">B4070/B$4102*E$4102</f>
        <v>0</v>
      </c>
      <c r="F4070" s="44">
        <f t="shared" ref="F4070:F4095" si="350">C4070/C$4102*F$4102</f>
        <v>0</v>
      </c>
      <c r="G4070" s="44">
        <f t="shared" ref="G4070:G4095" si="351">SUM(D4070:F4070)</f>
        <v>0</v>
      </c>
    </row>
    <row r="4071" spans="1:7" ht="12.75" hidden="1" customHeight="1">
      <c r="A4071" s="42" t="s">
        <v>220</v>
      </c>
      <c r="B4071" s="43"/>
      <c r="C4071" s="43"/>
      <c r="D4071" s="44">
        <f t="shared" si="348"/>
        <v>0</v>
      </c>
      <c r="E4071" s="44">
        <f t="shared" si="349"/>
        <v>0</v>
      </c>
      <c r="F4071" s="44">
        <f t="shared" si="350"/>
        <v>0</v>
      </c>
      <c r="G4071" s="44">
        <f t="shared" si="351"/>
        <v>0</v>
      </c>
    </row>
    <row r="4072" spans="1:7" ht="12.75" hidden="1" customHeight="1">
      <c r="A4072" s="42" t="s">
        <v>221</v>
      </c>
      <c r="B4072" s="43"/>
      <c r="C4072" s="43"/>
      <c r="D4072" s="44">
        <f t="shared" si="348"/>
        <v>0</v>
      </c>
      <c r="E4072" s="44">
        <f t="shared" si="349"/>
        <v>0</v>
      </c>
      <c r="F4072" s="44">
        <f t="shared" si="350"/>
        <v>0</v>
      </c>
      <c r="G4072" s="44">
        <f t="shared" si="351"/>
        <v>0</v>
      </c>
    </row>
    <row r="4073" spans="1:7" ht="12.75" hidden="1" customHeight="1">
      <c r="A4073" s="42" t="s">
        <v>22</v>
      </c>
      <c r="B4073" s="43"/>
      <c r="C4073" s="43"/>
      <c r="D4073" s="44">
        <f t="shared" si="348"/>
        <v>0</v>
      </c>
      <c r="E4073" s="44">
        <f t="shared" si="349"/>
        <v>0</v>
      </c>
      <c r="F4073" s="44">
        <f t="shared" si="350"/>
        <v>0</v>
      </c>
      <c r="G4073" s="44">
        <f t="shared" si="351"/>
        <v>0</v>
      </c>
    </row>
    <row r="4074" spans="1:7" ht="12.75" hidden="1" customHeight="1">
      <c r="A4074" s="42" t="s">
        <v>23</v>
      </c>
      <c r="B4074" s="43"/>
      <c r="C4074" s="43"/>
      <c r="D4074" s="44">
        <f t="shared" si="348"/>
        <v>0</v>
      </c>
      <c r="E4074" s="44">
        <f t="shared" si="349"/>
        <v>0</v>
      </c>
      <c r="F4074" s="44">
        <f t="shared" si="350"/>
        <v>0</v>
      </c>
      <c r="G4074" s="44">
        <f t="shared" si="351"/>
        <v>0</v>
      </c>
    </row>
    <row r="4075" spans="1:7" ht="12.75" hidden="1" customHeight="1">
      <c r="A4075" s="42" t="s">
        <v>24</v>
      </c>
      <c r="B4075" s="43"/>
      <c r="C4075" s="43"/>
      <c r="D4075" s="44">
        <f t="shared" si="348"/>
        <v>0</v>
      </c>
      <c r="E4075" s="44">
        <f t="shared" si="349"/>
        <v>0</v>
      </c>
      <c r="F4075" s="44">
        <f t="shared" si="350"/>
        <v>0</v>
      </c>
      <c r="G4075" s="44">
        <f t="shared" si="351"/>
        <v>0</v>
      </c>
    </row>
    <row r="4076" spans="1:7" ht="12.75" hidden="1" customHeight="1">
      <c r="A4076" s="42" t="s">
        <v>222</v>
      </c>
      <c r="B4076" s="43"/>
      <c r="C4076" s="43"/>
      <c r="D4076" s="44">
        <f t="shared" si="348"/>
        <v>0</v>
      </c>
      <c r="E4076" s="44">
        <f t="shared" si="349"/>
        <v>0</v>
      </c>
      <c r="F4076" s="44">
        <f t="shared" si="350"/>
        <v>0</v>
      </c>
      <c r="G4076" s="44">
        <f t="shared" si="351"/>
        <v>0</v>
      </c>
    </row>
    <row r="4077" spans="1:7" ht="12.75" hidden="1" customHeight="1">
      <c r="A4077" s="42" t="s">
        <v>222</v>
      </c>
      <c r="B4077" s="43"/>
      <c r="C4077" s="43"/>
      <c r="D4077" s="44">
        <f t="shared" si="348"/>
        <v>0</v>
      </c>
      <c r="E4077" s="44">
        <f t="shared" si="349"/>
        <v>0</v>
      </c>
      <c r="F4077" s="44">
        <f t="shared" si="350"/>
        <v>0</v>
      </c>
      <c r="G4077" s="44">
        <f t="shared" si="351"/>
        <v>0</v>
      </c>
    </row>
    <row r="4078" spans="1:7" ht="12.75" hidden="1" customHeight="1">
      <c r="A4078" s="42" t="s">
        <v>224</v>
      </c>
      <c r="B4078" s="43"/>
      <c r="C4078" s="43"/>
      <c r="D4078" s="44">
        <f t="shared" si="348"/>
        <v>0</v>
      </c>
      <c r="E4078" s="44">
        <f t="shared" si="349"/>
        <v>0</v>
      </c>
      <c r="F4078" s="44">
        <f t="shared" si="350"/>
        <v>0</v>
      </c>
      <c r="G4078" s="44">
        <f t="shared" si="351"/>
        <v>0</v>
      </c>
    </row>
    <row r="4079" spans="1:7" ht="12.75" hidden="1" customHeight="1">
      <c r="A4079" s="42" t="s">
        <v>773</v>
      </c>
      <c r="B4079" s="43">
        <v>220</v>
      </c>
      <c r="C4079" s="43">
        <v>512</v>
      </c>
      <c r="D4079" s="66">
        <f t="shared" si="348"/>
        <v>120938.89542168676</v>
      </c>
      <c r="E4079" s="66">
        <f t="shared" si="349"/>
        <v>91864.620833333349</v>
      </c>
      <c r="F4079" s="66">
        <f t="shared" si="350"/>
        <v>100439.62602409639</v>
      </c>
      <c r="G4079" s="44">
        <f t="shared" si="351"/>
        <v>313243.1422791165</v>
      </c>
    </row>
    <row r="4080" spans="1:7" ht="12.75" hidden="1" customHeight="1">
      <c r="A4080" s="42" t="s">
        <v>226</v>
      </c>
      <c r="B4080" s="43"/>
      <c r="C4080" s="43"/>
      <c r="D4080" s="44">
        <f t="shared" si="348"/>
        <v>0</v>
      </c>
      <c r="E4080" s="44">
        <f t="shared" si="349"/>
        <v>0</v>
      </c>
      <c r="F4080" s="44">
        <f t="shared" si="350"/>
        <v>0</v>
      </c>
      <c r="G4080" s="44">
        <f t="shared" si="351"/>
        <v>0</v>
      </c>
    </row>
    <row r="4081" spans="1:7" ht="12.75" hidden="1" customHeight="1">
      <c r="A4081" s="42" t="s">
        <v>774</v>
      </c>
      <c r="B4081" s="43">
        <v>36</v>
      </c>
      <c r="C4081" s="43">
        <v>64</v>
      </c>
      <c r="D4081" s="66">
        <f t="shared" si="348"/>
        <v>15117.361927710845</v>
      </c>
      <c r="E4081" s="66">
        <f t="shared" si="349"/>
        <v>15032.392500000002</v>
      </c>
      <c r="F4081" s="66">
        <f t="shared" si="350"/>
        <v>12554.953253012049</v>
      </c>
      <c r="G4081" s="44">
        <f t="shared" si="351"/>
        <v>42704.707680722895</v>
      </c>
    </row>
    <row r="4082" spans="1:7" ht="12.75" hidden="1" customHeight="1">
      <c r="A4082" s="46" t="s">
        <v>228</v>
      </c>
      <c r="B4082" s="43"/>
      <c r="C4082" s="43"/>
      <c r="D4082" s="44">
        <f t="shared" si="348"/>
        <v>0</v>
      </c>
      <c r="E4082" s="44">
        <f t="shared" si="349"/>
        <v>0</v>
      </c>
      <c r="F4082" s="44">
        <f t="shared" si="350"/>
        <v>0</v>
      </c>
      <c r="G4082" s="44">
        <f t="shared" si="351"/>
        <v>0</v>
      </c>
    </row>
    <row r="4083" spans="1:7" ht="12.75" hidden="1" customHeight="1">
      <c r="A4083" s="42" t="s">
        <v>25</v>
      </c>
      <c r="B4083" s="43"/>
      <c r="C4083" s="43"/>
      <c r="D4083" s="44">
        <f t="shared" si="348"/>
        <v>0</v>
      </c>
      <c r="E4083" s="44">
        <f t="shared" si="349"/>
        <v>0</v>
      </c>
      <c r="F4083" s="44">
        <f t="shared" si="350"/>
        <v>0</v>
      </c>
      <c r="G4083" s="44">
        <f t="shared" si="351"/>
        <v>0</v>
      </c>
    </row>
    <row r="4084" spans="1:7" ht="12.75" hidden="1" customHeight="1">
      <c r="A4084" s="46" t="s">
        <v>463</v>
      </c>
      <c r="B4084" s="43"/>
      <c r="C4084" s="43"/>
      <c r="D4084" s="44">
        <f t="shared" si="348"/>
        <v>0</v>
      </c>
      <c r="E4084" s="44">
        <f t="shared" si="349"/>
        <v>0</v>
      </c>
      <c r="F4084" s="44">
        <f t="shared" si="350"/>
        <v>0</v>
      </c>
      <c r="G4084" s="44">
        <f t="shared" si="351"/>
        <v>0</v>
      </c>
    </row>
    <row r="4085" spans="1:7" ht="12.75" hidden="1" customHeight="1">
      <c r="A4085" s="46" t="s">
        <v>464</v>
      </c>
      <c r="B4085" s="43"/>
      <c r="C4085" s="43"/>
      <c r="D4085" s="44">
        <f t="shared" si="348"/>
        <v>0</v>
      </c>
      <c r="E4085" s="44">
        <f t="shared" si="349"/>
        <v>0</v>
      </c>
      <c r="F4085" s="44">
        <f t="shared" si="350"/>
        <v>0</v>
      </c>
      <c r="G4085" s="44">
        <f t="shared" si="351"/>
        <v>0</v>
      </c>
    </row>
    <row r="4086" spans="1:7" ht="12.75" hidden="1" customHeight="1">
      <c r="A4086" s="42" t="s">
        <v>772</v>
      </c>
      <c r="B4086" s="43">
        <v>24</v>
      </c>
      <c r="C4086" s="43">
        <v>64</v>
      </c>
      <c r="D4086" s="66">
        <f t="shared" si="348"/>
        <v>15117.361927710845</v>
      </c>
      <c r="E4086" s="66">
        <f t="shared" si="349"/>
        <v>10021.595000000001</v>
      </c>
      <c r="F4086" s="66">
        <f t="shared" si="350"/>
        <v>12554.953253012049</v>
      </c>
      <c r="G4086" s="44">
        <f t="shared" si="351"/>
        <v>37693.910180722894</v>
      </c>
    </row>
    <row r="4087" spans="1:7" ht="12.75" hidden="1" customHeight="1">
      <c r="A4087" s="60" t="s">
        <v>772</v>
      </c>
      <c r="B4087" s="59">
        <v>68</v>
      </c>
      <c r="C4087" s="59">
        <v>88</v>
      </c>
      <c r="D4087" s="181">
        <f t="shared" si="348"/>
        <v>20786.37265060241</v>
      </c>
      <c r="E4087" s="181">
        <f t="shared" si="349"/>
        <v>28394.519166666669</v>
      </c>
      <c r="F4087" s="181">
        <f t="shared" si="350"/>
        <v>17263.060722891569</v>
      </c>
      <c r="G4087" s="181">
        <f t="shared" si="351"/>
        <v>66443.952540160652</v>
      </c>
    </row>
    <row r="4088" spans="1:7" ht="12.75" hidden="1" customHeight="1">
      <c r="A4088" s="42" t="s">
        <v>231</v>
      </c>
      <c r="B4088" s="43"/>
      <c r="C4088" s="43"/>
      <c r="D4088" s="44">
        <f t="shared" si="348"/>
        <v>0</v>
      </c>
      <c r="E4088" s="44">
        <f t="shared" si="349"/>
        <v>0</v>
      </c>
      <c r="F4088" s="44">
        <f t="shared" si="350"/>
        <v>0</v>
      </c>
      <c r="G4088" s="44">
        <f t="shared" si="351"/>
        <v>0</v>
      </c>
    </row>
    <row r="4089" spans="1:7" ht="12.75" hidden="1" customHeight="1">
      <c r="A4089" s="42" t="s">
        <v>232</v>
      </c>
      <c r="B4089" s="43"/>
      <c r="C4089" s="43"/>
      <c r="D4089" s="44">
        <f t="shared" si="348"/>
        <v>0</v>
      </c>
      <c r="E4089" s="44">
        <f t="shared" si="349"/>
        <v>0</v>
      </c>
      <c r="F4089" s="44">
        <f t="shared" si="350"/>
        <v>0</v>
      </c>
      <c r="G4089" s="44">
        <f t="shared" si="351"/>
        <v>0</v>
      </c>
    </row>
    <row r="4090" spans="1:7" ht="12.75" hidden="1" customHeight="1">
      <c r="A4090" s="42" t="s">
        <v>26</v>
      </c>
      <c r="B4090" s="43"/>
      <c r="C4090" s="43"/>
      <c r="D4090" s="44">
        <f t="shared" si="348"/>
        <v>0</v>
      </c>
      <c r="E4090" s="44">
        <f t="shared" si="349"/>
        <v>0</v>
      </c>
      <c r="F4090" s="44">
        <f t="shared" si="350"/>
        <v>0</v>
      </c>
      <c r="G4090" s="44">
        <f t="shared" si="351"/>
        <v>0</v>
      </c>
    </row>
    <row r="4091" spans="1:7" ht="12.75" hidden="1" customHeight="1">
      <c r="A4091" s="42" t="s">
        <v>27</v>
      </c>
      <c r="B4091" s="43"/>
      <c r="C4091" s="43"/>
      <c r="D4091" s="44">
        <f t="shared" si="348"/>
        <v>0</v>
      </c>
      <c r="E4091" s="44">
        <f t="shared" si="349"/>
        <v>0</v>
      </c>
      <c r="F4091" s="44">
        <f t="shared" si="350"/>
        <v>0</v>
      </c>
      <c r="G4091" s="44">
        <f t="shared" si="351"/>
        <v>0</v>
      </c>
    </row>
    <row r="4092" spans="1:7" ht="12.75" hidden="1" customHeight="1">
      <c r="A4092" s="42" t="s">
        <v>28</v>
      </c>
      <c r="B4092" s="43"/>
      <c r="C4092" s="43"/>
      <c r="D4092" s="44">
        <f t="shared" si="348"/>
        <v>0</v>
      </c>
      <c r="E4092" s="44">
        <f t="shared" si="349"/>
        <v>0</v>
      </c>
      <c r="F4092" s="44">
        <f t="shared" si="350"/>
        <v>0</v>
      </c>
      <c r="G4092" s="44">
        <f t="shared" si="351"/>
        <v>0</v>
      </c>
    </row>
    <row r="4093" spans="1:7" ht="12.75" hidden="1" customHeight="1">
      <c r="A4093" s="46" t="s">
        <v>233</v>
      </c>
      <c r="B4093" s="43"/>
      <c r="C4093" s="43"/>
      <c r="D4093" s="44">
        <f t="shared" si="348"/>
        <v>0</v>
      </c>
      <c r="E4093" s="44">
        <f t="shared" si="349"/>
        <v>0</v>
      </c>
      <c r="F4093" s="44">
        <f t="shared" si="350"/>
        <v>0</v>
      </c>
      <c r="G4093" s="44">
        <f t="shared" si="351"/>
        <v>0</v>
      </c>
    </row>
    <row r="4094" spans="1:7" ht="12.75" hidden="1" customHeight="1">
      <c r="A4094" s="46" t="s">
        <v>235</v>
      </c>
      <c r="B4094" s="43"/>
      <c r="C4094" s="43"/>
      <c r="D4094" s="44">
        <f t="shared" si="348"/>
        <v>0</v>
      </c>
      <c r="E4094" s="44">
        <f t="shared" si="349"/>
        <v>0</v>
      </c>
      <c r="F4094" s="44">
        <f t="shared" si="350"/>
        <v>0</v>
      </c>
      <c r="G4094" s="44">
        <f t="shared" si="351"/>
        <v>0</v>
      </c>
    </row>
    <row r="4095" spans="1:7" ht="12.75" hidden="1" customHeight="1">
      <c r="A4095" s="46" t="s">
        <v>775</v>
      </c>
      <c r="B4095" s="43">
        <v>156</v>
      </c>
      <c r="C4095" s="43">
        <v>280</v>
      </c>
      <c r="D4095" s="66">
        <f t="shared" si="348"/>
        <v>66138.458433734952</v>
      </c>
      <c r="E4095" s="66">
        <f t="shared" si="349"/>
        <v>65140.367500000008</v>
      </c>
      <c r="F4095" s="66">
        <f t="shared" si="350"/>
        <v>54927.920481927715</v>
      </c>
      <c r="G4095" s="44">
        <f t="shared" si="351"/>
        <v>186206.74641566267</v>
      </c>
    </row>
    <row r="4096" spans="1:7" ht="12.75" hidden="1" customHeight="1">
      <c r="A4096" s="39" t="s">
        <v>239</v>
      </c>
      <c r="B4096" s="43"/>
      <c r="C4096" s="45"/>
      <c r="D4096" s="44"/>
      <c r="E4096" s="44">
        <f t="shared" si="349"/>
        <v>0</v>
      </c>
      <c r="F4096" s="44"/>
      <c r="G4096" s="44"/>
    </row>
    <row r="4097" spans="1:7" ht="12.75" hidden="1" customHeight="1">
      <c r="A4097" s="110" t="s">
        <v>529</v>
      </c>
      <c r="B4097" s="43"/>
      <c r="C4097" s="45"/>
      <c r="D4097" s="44"/>
      <c r="E4097" s="44">
        <f t="shared" si="349"/>
        <v>0</v>
      </c>
      <c r="F4097" s="44"/>
      <c r="G4097" s="44"/>
    </row>
    <row r="4098" spans="1:7" ht="12.75" hidden="1" customHeight="1">
      <c r="A4098" s="110" t="s">
        <v>530</v>
      </c>
      <c r="B4098" s="43"/>
      <c r="C4098" s="45"/>
      <c r="D4098" s="44"/>
      <c r="E4098" s="44">
        <f t="shared" si="349"/>
        <v>0</v>
      </c>
      <c r="F4098" s="44"/>
      <c r="G4098" s="44"/>
    </row>
    <row r="4099" spans="1:7" ht="12.75" hidden="1" customHeight="1">
      <c r="A4099" s="110" t="s">
        <v>531</v>
      </c>
      <c r="B4099" s="43"/>
      <c r="C4099" s="45"/>
      <c r="D4099" s="44"/>
      <c r="E4099" s="44">
        <f t="shared" si="349"/>
        <v>0</v>
      </c>
      <c r="F4099" s="44"/>
      <c r="G4099" s="44"/>
    </row>
    <row r="4100" spans="1:7" ht="12.75" hidden="1" customHeight="1">
      <c r="A4100" s="49" t="s">
        <v>238</v>
      </c>
      <c r="B4100" s="45"/>
      <c r="C4100" s="45"/>
      <c r="D4100" s="44"/>
      <c r="E4100" s="44">
        <f t="shared" si="349"/>
        <v>0</v>
      </c>
      <c r="F4100" s="44"/>
      <c r="G4100" s="44"/>
    </row>
    <row r="4101" spans="1:7" ht="12.75" hidden="1" customHeight="1">
      <c r="A4101" s="225" t="s">
        <v>624</v>
      </c>
      <c r="B4101" s="43"/>
      <c r="C4101" s="39"/>
      <c r="D4101" s="44"/>
      <c r="E4101" s="44">
        <f t="shared" si="349"/>
        <v>0</v>
      </c>
      <c r="F4101" s="44"/>
      <c r="G4101" s="44"/>
    </row>
    <row r="4102" spans="1:7" ht="12.75" hidden="1" customHeight="1">
      <c r="A4102" s="200" t="s">
        <v>625</v>
      </c>
      <c r="B4102" s="45">
        <f>SUM(B4063:B4101)</f>
        <v>624</v>
      </c>
      <c r="C4102" s="45">
        <f>SUM(C4063:C4101)</f>
        <v>1328</v>
      </c>
      <c r="D4102" s="44">
        <f>313685.26</f>
        <v>313685.26</v>
      </c>
      <c r="E4102" s="44">
        <f>27734.4+84941.8+23625.47+96537.8+27722</f>
        <v>260561.47000000003</v>
      </c>
      <c r="F4102" s="44">
        <f>260515.28</f>
        <v>260515.28</v>
      </c>
      <c r="G4102" s="44">
        <f>SUM(D4102:F4102)</f>
        <v>834762.01</v>
      </c>
    </row>
    <row r="4103" spans="1:7" ht="12.75" hidden="1" customHeight="1">
      <c r="A4103" s="268" t="s">
        <v>377</v>
      </c>
      <c r="B4103" s="268"/>
      <c r="C4103" s="268"/>
      <c r="D4103" s="268"/>
      <c r="E4103" s="268"/>
      <c r="F4103" s="268"/>
      <c r="G4103" s="268"/>
    </row>
    <row r="4104" spans="1:7" ht="12.75" hidden="1" customHeight="1">
      <c r="A4104" s="233"/>
      <c r="B4104" s="64"/>
      <c r="C4104" s="65"/>
      <c r="D4104" s="65"/>
      <c r="E4104" s="64"/>
      <c r="F4104" s="65"/>
      <c r="G4104" s="40"/>
    </row>
    <row r="4105" spans="1:7" ht="12.75" hidden="1" customHeight="1">
      <c r="A4105" s="65"/>
      <c r="B4105" s="64"/>
      <c r="C4105" s="65"/>
      <c r="D4105" s="65"/>
      <c r="E4105" s="64"/>
      <c r="F4105" s="65"/>
      <c r="G4105" s="40"/>
    </row>
    <row r="4106" spans="1:7" ht="12.75" hidden="1" customHeight="1">
      <c r="A4106" s="65"/>
      <c r="B4106" s="64"/>
      <c r="C4106" s="65"/>
      <c r="D4106" s="65"/>
      <c r="E4106" s="64"/>
      <c r="F4106" s="65"/>
      <c r="G4106" s="40"/>
    </row>
    <row r="4107" spans="1:7" ht="12.75" hidden="1" customHeight="1">
      <c r="A4107" s="65"/>
      <c r="B4107" s="64"/>
      <c r="C4107" s="65"/>
      <c r="D4107" s="65"/>
      <c r="E4107" s="64"/>
      <c r="F4107" s="65"/>
      <c r="G4107" s="40"/>
    </row>
    <row r="4108" spans="1:7">
      <c r="A4108" s="269" t="s">
        <v>732</v>
      </c>
      <c r="B4108" s="269"/>
      <c r="C4108" s="269"/>
      <c r="D4108" s="269"/>
      <c r="E4108" s="269"/>
      <c r="F4108" s="269"/>
      <c r="G4108" s="40"/>
    </row>
    <row r="4109" spans="1:7">
      <c r="A4109" s="42" t="s">
        <v>86</v>
      </c>
      <c r="B4109" s="43" t="s">
        <v>246</v>
      </c>
      <c r="C4109" s="43" t="s">
        <v>88</v>
      </c>
      <c r="D4109" s="43" t="s">
        <v>89</v>
      </c>
      <c r="E4109" s="43" t="s">
        <v>90</v>
      </c>
      <c r="F4109" s="43" t="s">
        <v>91</v>
      </c>
      <c r="G4109" s="40"/>
    </row>
    <row r="4110" spans="1:7" hidden="1">
      <c r="A4110" s="67" t="s">
        <v>627</v>
      </c>
      <c r="B4110" s="43"/>
      <c r="C4110" s="42"/>
      <c r="D4110" s="42"/>
      <c r="E4110" s="42"/>
      <c r="F4110" s="42"/>
      <c r="G4110" s="40"/>
    </row>
    <row r="4111" spans="1:7" hidden="1">
      <c r="A4111" s="67" t="s">
        <v>248</v>
      </c>
      <c r="B4111" s="43"/>
      <c r="C4111" s="42"/>
      <c r="D4111" s="42"/>
      <c r="E4111" s="42"/>
      <c r="F4111" s="42"/>
      <c r="G4111" s="40"/>
    </row>
    <row r="4112" spans="1:7" hidden="1">
      <c r="A4112" s="67" t="s">
        <v>249</v>
      </c>
      <c r="B4112" s="45"/>
      <c r="C4112" s="42"/>
      <c r="D4112" s="42"/>
      <c r="E4112" s="42"/>
      <c r="F4112" s="42"/>
      <c r="G4112" s="40"/>
    </row>
    <row r="4113" spans="1:7" hidden="1">
      <c r="A4113" s="159" t="s">
        <v>633</v>
      </c>
      <c r="B4113" s="43"/>
      <c r="C4113" s="42"/>
      <c r="D4113" s="42"/>
      <c r="E4113" s="42"/>
      <c r="F4113" s="42"/>
      <c r="G4113" s="40"/>
    </row>
    <row r="4114" spans="1:7" hidden="1">
      <c r="A4114" s="159" t="s">
        <v>634</v>
      </c>
      <c r="B4114" s="43"/>
      <c r="C4114" s="42"/>
      <c r="D4114" s="42"/>
      <c r="E4114" s="42"/>
      <c r="F4114" s="42"/>
      <c r="G4114" s="40"/>
    </row>
    <row r="4115" spans="1:7" hidden="1">
      <c r="A4115" s="67" t="s">
        <v>251</v>
      </c>
      <c r="B4115" s="43"/>
      <c r="C4115" s="42"/>
      <c r="D4115" s="42"/>
      <c r="E4115" s="42"/>
      <c r="F4115" s="42"/>
      <c r="G4115" s="40"/>
    </row>
    <row r="4116" spans="1:7" hidden="1">
      <c r="A4116" s="68" t="s">
        <v>252</v>
      </c>
      <c r="B4116" s="69"/>
      <c r="C4116" s="42"/>
      <c r="D4116" s="42"/>
      <c r="E4116" s="42"/>
      <c r="F4116" s="42"/>
      <c r="G4116" s="40"/>
    </row>
    <row r="4117" spans="1:7" hidden="1">
      <c r="A4117" s="68" t="s">
        <v>582</v>
      </c>
      <c r="B4117" s="69"/>
      <c r="C4117" s="42"/>
      <c r="D4117" s="42"/>
      <c r="E4117" s="42"/>
      <c r="F4117" s="42"/>
      <c r="G4117" s="40"/>
    </row>
    <row r="4118" spans="1:7">
      <c r="A4118" s="68" t="s">
        <v>745</v>
      </c>
      <c r="B4118" s="69">
        <v>20</v>
      </c>
      <c r="C4118" s="53">
        <f>B4118/B$4154*C$4154</f>
        <v>8242.4145833333332</v>
      </c>
      <c r="D4118" s="53">
        <f t="shared" ref="D4118:E4118" si="352">C4118/C$4154*D$4154</f>
        <v>7964.124305555556</v>
      </c>
      <c r="E4118" s="53">
        <f t="shared" si="352"/>
        <v>6010.7097222222228</v>
      </c>
      <c r="F4118" s="42">
        <f>SUM(C4118:E4118)</f>
        <v>22217.24861111111</v>
      </c>
      <c r="G4118" s="40"/>
    </row>
    <row r="4119" spans="1:7">
      <c r="A4119" s="67" t="s">
        <v>719</v>
      </c>
      <c r="B4119" s="70">
        <v>72</v>
      </c>
      <c r="C4119" s="53">
        <f t="shared" ref="C4119:E4119" si="353">B4119/B$4154*C$4154</f>
        <v>29672.692500000001</v>
      </c>
      <c r="D4119" s="53">
        <f t="shared" si="353"/>
        <v>28670.8475</v>
      </c>
      <c r="E4119" s="53">
        <f t="shared" si="353"/>
        <v>21638.555</v>
      </c>
      <c r="F4119" s="42">
        <f t="shared" ref="F4119:F4142" si="354">SUM(C4119:E4119)</f>
        <v>79982.095000000001</v>
      </c>
      <c r="G4119" s="40"/>
    </row>
    <row r="4120" spans="1:7">
      <c r="A4120" s="217" t="s">
        <v>719</v>
      </c>
      <c r="B4120" s="226">
        <v>37</v>
      </c>
      <c r="C4120" s="60">
        <f t="shared" ref="C4120:E4120" si="355">B4120/B$4154*C$4154</f>
        <v>15248.466979166666</v>
      </c>
      <c r="D4120" s="60">
        <f t="shared" si="355"/>
        <v>14733.629965277776</v>
      </c>
      <c r="E4120" s="60">
        <f t="shared" si="355"/>
        <v>11119.81298611111</v>
      </c>
      <c r="F4120" s="60">
        <f t="shared" si="354"/>
        <v>41101.90993055555</v>
      </c>
      <c r="G4120" s="40"/>
    </row>
    <row r="4121" spans="1:7" hidden="1">
      <c r="A4121" s="67" t="s">
        <v>255</v>
      </c>
      <c r="B4121" s="70"/>
      <c r="C4121" s="42">
        <f t="shared" ref="C4121:E4121" si="356">B4121/B$4154*C$4154</f>
        <v>0</v>
      </c>
      <c r="D4121" s="42">
        <f t="shared" si="356"/>
        <v>0</v>
      </c>
      <c r="E4121" s="42">
        <f t="shared" si="356"/>
        <v>0</v>
      </c>
      <c r="F4121" s="42">
        <f t="shared" si="354"/>
        <v>0</v>
      </c>
      <c r="G4121" s="40"/>
    </row>
    <row r="4122" spans="1:7" hidden="1">
      <c r="A4122" s="67" t="s">
        <v>256</v>
      </c>
      <c r="B4122" s="196"/>
      <c r="C4122" s="42">
        <f t="shared" ref="C4122:E4122" si="357">B4122/B$4154*C$4154</f>
        <v>0</v>
      </c>
      <c r="D4122" s="42">
        <f t="shared" si="357"/>
        <v>0</v>
      </c>
      <c r="E4122" s="42">
        <f t="shared" si="357"/>
        <v>0</v>
      </c>
      <c r="F4122" s="42">
        <f t="shared" si="354"/>
        <v>0</v>
      </c>
      <c r="G4122" s="40"/>
    </row>
    <row r="4123" spans="1:7">
      <c r="A4123" s="67" t="s">
        <v>720</v>
      </c>
      <c r="B4123" s="70">
        <v>42</v>
      </c>
      <c r="C4123" s="53">
        <f t="shared" ref="C4123:E4123" si="358">B4123/B$4154*C$4154</f>
        <v>17309.070625</v>
      </c>
      <c r="D4123" s="53">
        <f t="shared" si="358"/>
        <v>16724.661041666666</v>
      </c>
      <c r="E4123" s="53">
        <f t="shared" si="358"/>
        <v>12622.490416666667</v>
      </c>
      <c r="F4123" s="42">
        <f t="shared" si="354"/>
        <v>46656.222083333334</v>
      </c>
      <c r="G4123" s="40"/>
    </row>
    <row r="4124" spans="1:7" hidden="1">
      <c r="A4124" s="67" t="s">
        <v>720</v>
      </c>
      <c r="B4124" s="70"/>
      <c r="C4124" s="42">
        <f t="shared" ref="C4124:E4124" si="359">B4124/B$4154*C$4154</f>
        <v>0</v>
      </c>
      <c r="D4124" s="42">
        <f t="shared" si="359"/>
        <v>0</v>
      </c>
      <c r="E4124" s="42">
        <f t="shared" si="359"/>
        <v>0</v>
      </c>
      <c r="F4124" s="42">
        <f t="shared" si="354"/>
        <v>0</v>
      </c>
      <c r="G4124" s="40"/>
    </row>
    <row r="4125" spans="1:7" ht="26.4">
      <c r="A4125" s="67" t="s">
        <v>743</v>
      </c>
      <c r="B4125" s="70">
        <v>15</v>
      </c>
      <c r="C4125" s="53">
        <f t="shared" ref="C4125:E4125" si="360">B4125/B$4154*C$4154</f>
        <v>6181.8109375000004</v>
      </c>
      <c r="D4125" s="53">
        <f t="shared" si="360"/>
        <v>5973.0932291666668</v>
      </c>
      <c r="E4125" s="53">
        <f t="shared" si="360"/>
        <v>4508.0322916666673</v>
      </c>
      <c r="F4125" s="42">
        <f t="shared" si="354"/>
        <v>16662.936458333334</v>
      </c>
      <c r="G4125" s="40"/>
    </row>
    <row r="4126" spans="1:7" hidden="1">
      <c r="A4126" s="71" t="s">
        <v>258</v>
      </c>
      <c r="B4126" s="72"/>
      <c r="C4126" s="42">
        <f t="shared" ref="C4126:E4126" si="361">B4126/B$4154*C$4154</f>
        <v>0</v>
      </c>
      <c r="D4126" s="42">
        <f t="shared" si="361"/>
        <v>0</v>
      </c>
      <c r="E4126" s="42">
        <f t="shared" si="361"/>
        <v>0</v>
      </c>
      <c r="F4126" s="42">
        <f t="shared" si="354"/>
        <v>0</v>
      </c>
      <c r="G4126" s="40"/>
    </row>
    <row r="4127" spans="1:7" hidden="1">
      <c r="A4127" s="67" t="s">
        <v>259</v>
      </c>
      <c r="B4127" s="43"/>
      <c r="C4127" s="42">
        <f t="shared" ref="C4127:E4127" si="362">B4127/B$4154*C$4154</f>
        <v>0</v>
      </c>
      <c r="D4127" s="42">
        <f t="shared" si="362"/>
        <v>0</v>
      </c>
      <c r="E4127" s="42">
        <f t="shared" si="362"/>
        <v>0</v>
      </c>
      <c r="F4127" s="42">
        <f t="shared" si="354"/>
        <v>0</v>
      </c>
      <c r="G4127" s="40"/>
    </row>
    <row r="4128" spans="1:7" hidden="1">
      <c r="A4128" s="73" t="s">
        <v>584</v>
      </c>
      <c r="B4128" s="43"/>
      <c r="C4128" s="42">
        <f t="shared" ref="C4128:E4128" si="363">B4128/B$4154*C$4154</f>
        <v>0</v>
      </c>
      <c r="D4128" s="42">
        <f t="shared" si="363"/>
        <v>0</v>
      </c>
      <c r="E4128" s="42">
        <f t="shared" si="363"/>
        <v>0</v>
      </c>
      <c r="F4128" s="42">
        <f t="shared" si="354"/>
        <v>0</v>
      </c>
      <c r="G4128" s="40"/>
    </row>
    <row r="4129" spans="1:7" ht="26.4" hidden="1">
      <c r="A4129" s="73" t="s">
        <v>722</v>
      </c>
      <c r="B4129" s="43"/>
      <c r="C4129" s="42">
        <f t="shared" ref="C4129:E4129" si="364">B4129/B$4154*C$4154</f>
        <v>0</v>
      </c>
      <c r="D4129" s="42">
        <f t="shared" si="364"/>
        <v>0</v>
      </c>
      <c r="E4129" s="42">
        <f t="shared" si="364"/>
        <v>0</v>
      </c>
      <c r="F4129" s="42">
        <f t="shared" si="354"/>
        <v>0</v>
      </c>
      <c r="G4129" s="40"/>
    </row>
    <row r="4130" spans="1:7" ht="26.4">
      <c r="A4130" s="73" t="s">
        <v>632</v>
      </c>
      <c r="B4130" s="43">
        <v>40</v>
      </c>
      <c r="C4130" s="53">
        <f t="shared" ref="C4130:E4130" si="365">B4130/B$4154*C$4154</f>
        <v>16484.829166666666</v>
      </c>
      <c r="D4130" s="53">
        <f t="shared" si="365"/>
        <v>15928.248611111112</v>
      </c>
      <c r="E4130" s="53">
        <f t="shared" si="365"/>
        <v>12021.419444444446</v>
      </c>
      <c r="F4130" s="42">
        <f t="shared" si="354"/>
        <v>44434.49722222222</v>
      </c>
      <c r="G4130" s="40"/>
    </row>
    <row r="4131" spans="1:7" hidden="1">
      <c r="A4131" s="73" t="s">
        <v>262</v>
      </c>
      <c r="B4131" s="43"/>
      <c r="C4131" s="42">
        <f t="shared" ref="C4131:E4131" si="366">B4131/B$4154*C$4154</f>
        <v>0</v>
      </c>
      <c r="D4131" s="42">
        <f t="shared" si="366"/>
        <v>0</v>
      </c>
      <c r="E4131" s="42">
        <f t="shared" si="366"/>
        <v>0</v>
      </c>
      <c r="F4131" s="42">
        <f t="shared" si="354"/>
        <v>0</v>
      </c>
      <c r="G4131" s="40"/>
    </row>
    <row r="4132" spans="1:7">
      <c r="A4132" s="74" t="s">
        <v>628</v>
      </c>
      <c r="B4132" s="43">
        <v>19</v>
      </c>
      <c r="C4132" s="53">
        <f t="shared" ref="C4132:E4132" si="367">B4132/B$4154*C$4154</f>
        <v>7830.2938541666672</v>
      </c>
      <c r="D4132" s="53">
        <f t="shared" si="367"/>
        <v>7565.918090277778</v>
      </c>
      <c r="E4132" s="53">
        <f t="shared" si="367"/>
        <v>5710.174236111111</v>
      </c>
      <c r="F4132" s="42">
        <f t="shared" si="354"/>
        <v>21106.386180555557</v>
      </c>
      <c r="G4132" s="40"/>
    </row>
    <row r="4133" spans="1:7" hidden="1">
      <c r="A4133" s="74" t="s">
        <v>264</v>
      </c>
      <c r="B4133" s="196"/>
      <c r="C4133" s="42">
        <f t="shared" ref="C4133:E4133" si="368">B4133/B$4154*C$4154</f>
        <v>0</v>
      </c>
      <c r="D4133" s="42">
        <f t="shared" si="368"/>
        <v>0</v>
      </c>
      <c r="E4133" s="42">
        <f t="shared" si="368"/>
        <v>0</v>
      </c>
      <c r="F4133" s="42">
        <f t="shared" si="354"/>
        <v>0</v>
      </c>
      <c r="G4133" s="40"/>
    </row>
    <row r="4134" spans="1:7" hidden="1">
      <c r="A4134" s="74" t="s">
        <v>549</v>
      </c>
      <c r="B4134" s="43"/>
      <c r="C4134" s="42">
        <f t="shared" ref="C4134:E4134" si="369">B4134/B$4154*C$4154</f>
        <v>0</v>
      </c>
      <c r="D4134" s="42">
        <f t="shared" si="369"/>
        <v>0</v>
      </c>
      <c r="E4134" s="42">
        <f t="shared" si="369"/>
        <v>0</v>
      </c>
      <c r="F4134" s="42">
        <f t="shared" si="354"/>
        <v>0</v>
      </c>
      <c r="G4134" s="40"/>
    </row>
    <row r="4135" spans="1:7">
      <c r="A4135" s="74" t="s">
        <v>742</v>
      </c>
      <c r="B4135" s="43">
        <v>15</v>
      </c>
      <c r="C4135" s="53">
        <f t="shared" ref="C4135:E4135" si="370">B4135/B$4154*C$4154</f>
        <v>6181.8109375000004</v>
      </c>
      <c r="D4135" s="53">
        <f t="shared" si="370"/>
        <v>5973.0932291666668</v>
      </c>
      <c r="E4135" s="53">
        <f t="shared" si="370"/>
        <v>4508.0322916666673</v>
      </c>
      <c r="F4135" s="42">
        <f t="shared" si="354"/>
        <v>16662.936458333334</v>
      </c>
      <c r="G4135" s="40"/>
    </row>
    <row r="4136" spans="1:7" ht="26.4" hidden="1">
      <c r="A4136" s="74" t="s">
        <v>631</v>
      </c>
      <c r="B4136" s="43"/>
      <c r="C4136" s="42">
        <f t="shared" ref="C4136:E4136" si="371">B4136/B$4154*C$4154</f>
        <v>0</v>
      </c>
      <c r="D4136" s="42">
        <f t="shared" si="371"/>
        <v>0</v>
      </c>
      <c r="E4136" s="42">
        <f t="shared" si="371"/>
        <v>0</v>
      </c>
      <c r="F4136" s="42">
        <f t="shared" si="354"/>
        <v>0</v>
      </c>
      <c r="G4136" s="40"/>
    </row>
    <row r="4137" spans="1:7" hidden="1">
      <c r="A4137" s="74" t="s">
        <v>267</v>
      </c>
      <c r="B4137" s="48"/>
      <c r="C4137" s="42">
        <f t="shared" ref="C4137:E4137" si="372">B4137/B$4154*C$4154</f>
        <v>0</v>
      </c>
      <c r="D4137" s="42">
        <f t="shared" si="372"/>
        <v>0</v>
      </c>
      <c r="E4137" s="42">
        <f t="shared" si="372"/>
        <v>0</v>
      </c>
      <c r="F4137" s="42">
        <f t="shared" si="354"/>
        <v>0</v>
      </c>
      <c r="G4137" s="40"/>
    </row>
    <row r="4138" spans="1:7" ht="26.4">
      <c r="A4138" s="74" t="s">
        <v>744</v>
      </c>
      <c r="B4138" s="43">
        <v>20</v>
      </c>
      <c r="C4138" s="53">
        <f t="shared" ref="C4138:E4138" si="373">B4138/B$4154*C$4154</f>
        <v>8242.4145833333332</v>
      </c>
      <c r="D4138" s="53">
        <f t="shared" si="373"/>
        <v>7964.124305555556</v>
      </c>
      <c r="E4138" s="53">
        <f t="shared" si="373"/>
        <v>6010.7097222222228</v>
      </c>
      <c r="F4138" s="42">
        <f t="shared" si="354"/>
        <v>22217.24861111111</v>
      </c>
      <c r="G4138" s="40"/>
    </row>
    <row r="4139" spans="1:7" hidden="1">
      <c r="A4139" s="67" t="s">
        <v>269</v>
      </c>
      <c r="B4139" s="43"/>
      <c r="C4139" s="42">
        <f t="shared" ref="C4139:E4139" si="374">B4139/B$4154*C$4154</f>
        <v>0</v>
      </c>
      <c r="D4139" s="42">
        <f t="shared" si="374"/>
        <v>0</v>
      </c>
      <c r="E4139" s="42">
        <f t="shared" si="374"/>
        <v>0</v>
      </c>
      <c r="F4139" s="42">
        <f t="shared" si="354"/>
        <v>0</v>
      </c>
      <c r="G4139" s="40"/>
    </row>
    <row r="4140" spans="1:7" hidden="1">
      <c r="A4140" s="159" t="s">
        <v>629</v>
      </c>
      <c r="B4140" s="43"/>
      <c r="C4140" s="42">
        <f t="shared" ref="C4140:E4140" si="375">B4140/B$4154*C$4154</f>
        <v>0</v>
      </c>
      <c r="D4140" s="42">
        <f t="shared" si="375"/>
        <v>0</v>
      </c>
      <c r="E4140" s="42">
        <f t="shared" si="375"/>
        <v>0</v>
      </c>
      <c r="F4140" s="42">
        <f t="shared" si="354"/>
        <v>0</v>
      </c>
      <c r="G4140" s="40"/>
    </row>
    <row r="4141" spans="1:7" hidden="1">
      <c r="A4141" s="159" t="s">
        <v>630</v>
      </c>
      <c r="B4141" s="43"/>
      <c r="C4141" s="42">
        <f t="shared" ref="C4141:E4141" si="376">B4141/B$4154*C$4154</f>
        <v>0</v>
      </c>
      <c r="D4141" s="42">
        <f t="shared" si="376"/>
        <v>0</v>
      </c>
      <c r="E4141" s="42">
        <f t="shared" si="376"/>
        <v>0</v>
      </c>
      <c r="F4141" s="42">
        <f t="shared" si="354"/>
        <v>0</v>
      </c>
      <c r="G4141" s="40"/>
    </row>
    <row r="4142" spans="1:7">
      <c r="A4142" s="218" t="s">
        <v>721</v>
      </c>
      <c r="B4142" s="59">
        <v>8</v>
      </c>
      <c r="C4142" s="60">
        <f t="shared" ref="C4142:E4142" si="377">B4142/B$4154*C$4154</f>
        <v>3296.9658333333332</v>
      </c>
      <c r="D4142" s="60">
        <f t="shared" si="377"/>
        <v>3185.649722222222</v>
      </c>
      <c r="E4142" s="60">
        <f t="shared" si="377"/>
        <v>2404.2838888888887</v>
      </c>
      <c r="F4142" s="60">
        <f t="shared" si="354"/>
        <v>8886.8994444444434</v>
      </c>
      <c r="G4142" s="40"/>
    </row>
    <row r="4143" spans="1:7" hidden="1">
      <c r="A4143" s="67" t="s">
        <v>271</v>
      </c>
      <c r="B4143" s="43"/>
      <c r="C4143" s="42"/>
      <c r="D4143" s="42"/>
      <c r="E4143" s="42"/>
      <c r="F4143" s="42"/>
      <c r="G4143" s="40"/>
    </row>
    <row r="4144" spans="1:7" hidden="1">
      <c r="A4144" s="67" t="s">
        <v>272</v>
      </c>
      <c r="B4144" s="43"/>
      <c r="C4144" s="42"/>
      <c r="D4144" s="42"/>
      <c r="E4144" s="42"/>
      <c r="F4144" s="42"/>
      <c r="G4144" s="40"/>
    </row>
    <row r="4145" spans="1:7" hidden="1">
      <c r="A4145" s="67" t="s">
        <v>273</v>
      </c>
      <c r="B4145" s="43"/>
      <c r="C4145" s="42"/>
      <c r="D4145" s="42"/>
      <c r="E4145" s="42"/>
      <c r="F4145" s="42"/>
      <c r="G4145" s="40"/>
    </row>
    <row r="4146" spans="1:7" hidden="1">
      <c r="A4146" s="67" t="s">
        <v>274</v>
      </c>
      <c r="B4146" s="43"/>
      <c r="C4146" s="42"/>
      <c r="D4146" s="42"/>
      <c r="E4146" s="42"/>
      <c r="F4146" s="42"/>
      <c r="G4146" s="40"/>
    </row>
    <row r="4147" spans="1:7" hidden="1">
      <c r="A4147" s="67" t="s">
        <v>275</v>
      </c>
      <c r="B4147" s="43"/>
      <c r="C4147" s="42"/>
      <c r="D4147" s="42"/>
      <c r="E4147" s="42"/>
      <c r="F4147" s="42"/>
      <c r="G4147" s="40"/>
    </row>
    <row r="4148" spans="1:7" hidden="1">
      <c r="A4148" s="67" t="s">
        <v>276</v>
      </c>
      <c r="B4148" s="43"/>
      <c r="C4148" s="42"/>
      <c r="D4148" s="42"/>
      <c r="E4148" s="42"/>
      <c r="F4148" s="42"/>
      <c r="G4148" s="40"/>
    </row>
    <row r="4149" spans="1:7" hidden="1">
      <c r="A4149" s="67" t="s">
        <v>277</v>
      </c>
      <c r="B4149" s="43"/>
      <c r="C4149" s="42"/>
      <c r="D4149" s="42"/>
      <c r="E4149" s="42"/>
      <c r="F4149" s="42"/>
      <c r="G4149" s="40"/>
    </row>
    <row r="4150" spans="1:7" hidden="1">
      <c r="A4150" s="67" t="s">
        <v>536</v>
      </c>
      <c r="B4150" s="43"/>
      <c r="C4150" s="42"/>
      <c r="D4150" s="42"/>
      <c r="E4150" s="42"/>
      <c r="F4150" s="42"/>
      <c r="G4150" s="40"/>
    </row>
    <row r="4151" spans="1:7" hidden="1">
      <c r="A4151" s="79" t="s">
        <v>533</v>
      </c>
      <c r="B4151" s="43"/>
      <c r="C4151" s="42"/>
      <c r="D4151" s="42"/>
      <c r="E4151" s="42"/>
      <c r="F4151" s="42"/>
      <c r="G4151" s="40"/>
    </row>
    <row r="4152" spans="1:7" hidden="1">
      <c r="A4152" s="49" t="s">
        <v>278</v>
      </c>
      <c r="B4152" s="43"/>
      <c r="C4152" s="42"/>
      <c r="D4152" s="42"/>
      <c r="E4152" s="42"/>
      <c r="F4152" s="42"/>
      <c r="G4152" s="40"/>
    </row>
    <row r="4153" spans="1:7" hidden="1">
      <c r="A4153" s="225" t="s">
        <v>621</v>
      </c>
      <c r="B4153" s="43"/>
      <c r="C4153" s="42"/>
      <c r="D4153" s="42"/>
      <c r="E4153" s="42"/>
      <c r="F4153" s="42"/>
      <c r="G4153" s="40"/>
    </row>
    <row r="4154" spans="1:7">
      <c r="A4154" s="75" t="s">
        <v>281</v>
      </c>
      <c r="B4154" s="43">
        <f>SUM(B4118:B4142)</f>
        <v>288</v>
      </c>
      <c r="C4154" s="42">
        <f>118690.77</f>
        <v>118690.77</v>
      </c>
      <c r="D4154" s="42">
        <f>13587.6+56849.4+21701.39+15583+6962</f>
        <v>114683.39</v>
      </c>
      <c r="E4154" s="44">
        <f>86554.22</f>
        <v>86554.22</v>
      </c>
      <c r="F4154" s="42">
        <f>SUM(C4154:E4154)</f>
        <v>319928.38</v>
      </c>
      <c r="G4154" s="40"/>
    </row>
    <row r="4155" spans="1:7" ht="36.75" customHeight="1">
      <c r="A4155" s="274" t="s">
        <v>825</v>
      </c>
      <c r="B4155" s="274"/>
      <c r="C4155" s="274"/>
      <c r="D4155" s="274"/>
      <c r="E4155" s="274"/>
      <c r="F4155" s="274"/>
      <c r="G4155" s="40"/>
    </row>
    <row r="4156" spans="1:7">
      <c r="B4156" s="52"/>
      <c r="C4156" s="51"/>
      <c r="D4156" s="51"/>
      <c r="E4156" s="267"/>
      <c r="F4156" s="51"/>
      <c r="G4156" s="40"/>
    </row>
    <row r="4157" spans="1:7">
      <c r="B4157" s="52"/>
      <c r="C4157" s="51"/>
      <c r="D4157" s="51">
        <v>114683.39</v>
      </c>
      <c r="E4157" s="267"/>
      <c r="F4157" s="51"/>
      <c r="G4157" s="40"/>
    </row>
    <row r="4158" spans="1:7">
      <c r="B4158" s="52"/>
      <c r="C4158" s="51"/>
      <c r="D4158" s="51"/>
      <c r="E4158" s="267"/>
      <c r="F4158" s="51"/>
      <c r="G4158" s="40"/>
    </row>
    <row r="4159" spans="1:7">
      <c r="B4159" s="52"/>
      <c r="C4159" s="51"/>
      <c r="D4159" s="51"/>
      <c r="E4159" s="267"/>
      <c r="F4159" s="51"/>
      <c r="G4159" s="40"/>
    </row>
    <row r="4160" spans="1:7">
      <c r="B4160" s="52"/>
      <c r="C4160" s="51"/>
      <c r="D4160" s="51"/>
      <c r="E4160" s="267"/>
      <c r="F4160" s="51"/>
      <c r="G4160" s="40"/>
    </row>
    <row r="4161" spans="1:7">
      <c r="A4161" s="141" t="s">
        <v>826</v>
      </c>
      <c r="B4161" s="52"/>
      <c r="C4161" s="51"/>
      <c r="D4161" s="51"/>
      <c r="E4161" s="267"/>
      <c r="F4161" s="51"/>
      <c r="G4161" s="40"/>
    </row>
    <row r="4162" spans="1:7" ht="38.25" customHeight="1">
      <c r="A4162" s="275" t="s">
        <v>827</v>
      </c>
      <c r="B4162" s="275"/>
      <c r="C4162" s="275"/>
      <c r="D4162" s="275"/>
      <c r="E4162" s="275"/>
      <c r="F4162" s="275"/>
      <c r="G4162" s="40"/>
    </row>
    <row r="4163" spans="1:7">
      <c r="A4163" s="266"/>
      <c r="B4163" s="52"/>
      <c r="C4163" s="51"/>
      <c r="D4163" s="51"/>
      <c r="E4163" s="267"/>
      <c r="F4163" s="51"/>
      <c r="G4163" s="40"/>
    </row>
    <row r="4164" spans="1:7">
      <c r="A4164" s="266"/>
      <c r="B4164" s="52"/>
      <c r="C4164" s="51"/>
      <c r="D4164" s="51"/>
      <c r="E4164" s="267"/>
      <c r="F4164" s="51"/>
      <c r="G4164" s="40"/>
    </row>
    <row r="4165" spans="1:7">
      <c r="A4165" s="266"/>
      <c r="B4165" s="52"/>
      <c r="C4165" s="51"/>
      <c r="D4165" s="51"/>
      <c r="E4165" s="267"/>
      <c r="F4165" s="51"/>
      <c r="G4165" s="40"/>
    </row>
    <row r="4166" spans="1:7">
      <c r="A4166" s="266"/>
      <c r="B4166" s="52"/>
      <c r="C4166" s="51"/>
      <c r="D4166" s="51"/>
      <c r="E4166" s="267"/>
      <c r="F4166" s="51"/>
      <c r="G4166" s="40"/>
    </row>
    <row r="4167" spans="1:7">
      <c r="A4167" s="219"/>
      <c r="B4167" s="41"/>
      <c r="C4167" s="40"/>
      <c r="D4167" s="40"/>
      <c r="E4167" s="41"/>
      <c r="F4167" s="40"/>
      <c r="G4167" s="40"/>
    </row>
    <row r="4169" spans="1:7">
      <c r="A4169" s="269" t="s">
        <v>733</v>
      </c>
      <c r="B4169" s="269"/>
      <c r="C4169" s="269"/>
      <c r="D4169" s="269"/>
      <c r="E4169" s="269"/>
      <c r="F4169" s="269"/>
      <c r="G4169" s="40"/>
    </row>
    <row r="4170" spans="1:7">
      <c r="A4170" s="42" t="s">
        <v>86</v>
      </c>
      <c r="B4170" s="43" t="s">
        <v>87</v>
      </c>
      <c r="C4170" s="43" t="s">
        <v>88</v>
      </c>
      <c r="D4170" s="43" t="s">
        <v>89</v>
      </c>
      <c r="E4170" s="43" t="s">
        <v>90</v>
      </c>
      <c r="F4170" s="43" t="s">
        <v>91</v>
      </c>
      <c r="G4170" s="40"/>
    </row>
    <row r="4171" spans="1:7">
      <c r="A4171" s="39" t="s">
        <v>746</v>
      </c>
      <c r="B4171" s="43">
        <v>23</v>
      </c>
      <c r="C4171" s="66">
        <f>B4171/B$4234*C$4234</f>
        <v>29103.42304250559</v>
      </c>
      <c r="D4171" s="66">
        <f t="shared" ref="D4171:E4171" si="378">C4171/C$4234*D$4234</f>
        <v>59852.123042505591</v>
      </c>
      <c r="E4171" s="66">
        <f t="shared" si="378"/>
        <v>17781.555212527965</v>
      </c>
      <c r="F4171" s="44">
        <f>SUM(C4171:E4171)</f>
        <v>106737.10129753915</v>
      </c>
      <c r="G4171" s="40"/>
    </row>
    <row r="4172" spans="1:7">
      <c r="A4172" s="58" t="s">
        <v>750</v>
      </c>
      <c r="B4172" s="59">
        <v>23</v>
      </c>
      <c r="C4172" s="181">
        <f t="shared" ref="C4172:E4172" si="379">B4172/B$4234*C$4234</f>
        <v>29103.42304250559</v>
      </c>
      <c r="D4172" s="181">
        <f t="shared" si="379"/>
        <v>59852.123042505591</v>
      </c>
      <c r="E4172" s="181">
        <f t="shared" si="379"/>
        <v>17781.555212527965</v>
      </c>
      <c r="F4172" s="181">
        <f t="shared" ref="F4172:F4214" si="380">SUM(C4172:E4172)</f>
        <v>106737.10129753915</v>
      </c>
      <c r="G4172" s="40"/>
    </row>
    <row r="4173" spans="1:7" hidden="1">
      <c r="A4173" s="39" t="s">
        <v>92</v>
      </c>
      <c r="B4173" s="43"/>
      <c r="C4173" s="44">
        <f t="shared" ref="C4173:E4173" si="381">B4173/B$4234*C$4234</f>
        <v>0</v>
      </c>
      <c r="D4173" s="44">
        <f t="shared" si="381"/>
        <v>0</v>
      </c>
      <c r="E4173" s="44">
        <f t="shared" si="381"/>
        <v>0</v>
      </c>
      <c r="F4173" s="44">
        <f t="shared" si="380"/>
        <v>0</v>
      </c>
      <c r="G4173" s="40"/>
    </row>
    <row r="4174" spans="1:7">
      <c r="A4174" s="39" t="s">
        <v>642</v>
      </c>
      <c r="B4174" s="43">
        <v>28.5</v>
      </c>
      <c r="C4174" s="66">
        <f t="shared" ref="C4174:E4174" si="382">B4174/B$4234*C$4234</f>
        <v>36062.937248322145</v>
      </c>
      <c r="D4174" s="66">
        <f t="shared" si="382"/>
        <v>74164.587248322146</v>
      </c>
      <c r="E4174" s="66">
        <f t="shared" si="382"/>
        <v>22033.666241610739</v>
      </c>
      <c r="F4174" s="44">
        <f t="shared" si="380"/>
        <v>132261.19073825504</v>
      </c>
      <c r="G4174" s="40"/>
    </row>
    <row r="4175" spans="1:7">
      <c r="A4175" s="58" t="s">
        <v>644</v>
      </c>
      <c r="B4175" s="59">
        <v>6</v>
      </c>
      <c r="C4175" s="181">
        <f t="shared" ref="C4175:E4175" si="383">B4175/B$4234*C$4234</f>
        <v>7592.1973154362404</v>
      </c>
      <c r="D4175" s="181">
        <f t="shared" si="383"/>
        <v>15613.597315436242</v>
      </c>
      <c r="E4175" s="181">
        <f t="shared" si="383"/>
        <v>4638.6665771812077</v>
      </c>
      <c r="F4175" s="181">
        <f t="shared" si="380"/>
        <v>27844.46120805369</v>
      </c>
      <c r="G4175" s="40"/>
    </row>
    <row r="4176" spans="1:7" hidden="1">
      <c r="A4176" s="39" t="s">
        <v>95</v>
      </c>
      <c r="B4176" s="43"/>
      <c r="C4176" s="44">
        <f t="shared" ref="C4176:E4176" si="384">B4176/B$4234*C$4234</f>
        <v>0</v>
      </c>
      <c r="D4176" s="44">
        <f t="shared" si="384"/>
        <v>0</v>
      </c>
      <c r="E4176" s="44">
        <f t="shared" si="384"/>
        <v>0</v>
      </c>
      <c r="F4176" s="44">
        <f t="shared" si="380"/>
        <v>0</v>
      </c>
      <c r="G4176" s="40"/>
    </row>
    <row r="4177" spans="1:7" hidden="1">
      <c r="A4177" s="39" t="s">
        <v>96</v>
      </c>
      <c r="B4177" s="43"/>
      <c r="C4177" s="44">
        <f t="shared" ref="C4177:E4177" si="385">B4177/B$4234*C$4234</f>
        <v>0</v>
      </c>
      <c r="D4177" s="44">
        <f t="shared" si="385"/>
        <v>0</v>
      </c>
      <c r="E4177" s="44">
        <f t="shared" si="385"/>
        <v>0</v>
      </c>
      <c r="F4177" s="44">
        <f t="shared" si="380"/>
        <v>0</v>
      </c>
      <c r="G4177" s="40"/>
    </row>
    <row r="4178" spans="1:7" hidden="1">
      <c r="A4178" s="39" t="s">
        <v>97</v>
      </c>
      <c r="B4178" s="43"/>
      <c r="C4178" s="44">
        <f t="shared" ref="C4178:E4178" si="386">B4178/B$4234*C$4234</f>
        <v>0</v>
      </c>
      <c r="D4178" s="44">
        <f t="shared" si="386"/>
        <v>0</v>
      </c>
      <c r="E4178" s="44">
        <f t="shared" si="386"/>
        <v>0</v>
      </c>
      <c r="F4178" s="44">
        <f t="shared" si="380"/>
        <v>0</v>
      </c>
      <c r="G4178" s="40"/>
    </row>
    <row r="4179" spans="1:7" hidden="1">
      <c r="A4179" s="39" t="s">
        <v>98</v>
      </c>
      <c r="B4179" s="43"/>
      <c r="C4179" s="44">
        <f t="shared" ref="C4179:E4179" si="387">B4179/B$4234*C$4234</f>
        <v>0</v>
      </c>
      <c r="D4179" s="44">
        <f t="shared" si="387"/>
        <v>0</v>
      </c>
      <c r="E4179" s="44">
        <f t="shared" si="387"/>
        <v>0</v>
      </c>
      <c r="F4179" s="44">
        <f t="shared" si="380"/>
        <v>0</v>
      </c>
      <c r="G4179" s="40"/>
    </row>
    <row r="4180" spans="1:7" hidden="1">
      <c r="A4180" s="39" t="s">
        <v>99</v>
      </c>
      <c r="B4180" s="43"/>
      <c r="C4180" s="44">
        <f t="shared" ref="C4180:E4180" si="388">B4180/B$4234*C$4234</f>
        <v>0</v>
      </c>
      <c r="D4180" s="44">
        <f t="shared" si="388"/>
        <v>0</v>
      </c>
      <c r="E4180" s="44">
        <f t="shared" si="388"/>
        <v>0</v>
      </c>
      <c r="F4180" s="44">
        <f t="shared" si="380"/>
        <v>0</v>
      </c>
      <c r="G4180" s="40"/>
    </row>
    <row r="4181" spans="1:7">
      <c r="A4181" s="39" t="s">
        <v>646</v>
      </c>
      <c r="B4181" s="45">
        <v>9.5</v>
      </c>
      <c r="C4181" s="66">
        <f t="shared" ref="C4181:E4181" si="389">B4181/B$4234*C$4234</f>
        <v>12020.979082774049</v>
      </c>
      <c r="D4181" s="66">
        <f t="shared" si="389"/>
        <v>24721.52908277405</v>
      </c>
      <c r="E4181" s="66">
        <f t="shared" si="389"/>
        <v>7344.5554138702464</v>
      </c>
      <c r="F4181" s="44">
        <f t="shared" si="380"/>
        <v>44087.063579418347</v>
      </c>
      <c r="G4181" s="40"/>
    </row>
    <row r="4182" spans="1:7" hidden="1">
      <c r="A4182" s="39" t="s">
        <v>653</v>
      </c>
      <c r="B4182" s="43"/>
      <c r="C4182" s="44">
        <f t="shared" ref="C4182:E4182" si="390">B4182/B$4234*C$4234</f>
        <v>0</v>
      </c>
      <c r="D4182" s="44">
        <f t="shared" si="390"/>
        <v>0</v>
      </c>
      <c r="E4182" s="44">
        <f t="shared" si="390"/>
        <v>0</v>
      </c>
      <c r="F4182" s="44">
        <f t="shared" si="380"/>
        <v>0</v>
      </c>
      <c r="G4182" s="40"/>
    </row>
    <row r="4183" spans="1:7" hidden="1">
      <c r="A4183" s="39" t="s">
        <v>102</v>
      </c>
      <c r="B4183" s="43"/>
      <c r="C4183" s="44">
        <f t="shared" ref="C4183:E4183" si="391">B4183/B$4234*C$4234</f>
        <v>0</v>
      </c>
      <c r="D4183" s="44">
        <f t="shared" si="391"/>
        <v>0</v>
      </c>
      <c r="E4183" s="44">
        <f t="shared" si="391"/>
        <v>0</v>
      </c>
      <c r="F4183" s="44">
        <f t="shared" si="380"/>
        <v>0</v>
      </c>
      <c r="G4183" s="40"/>
    </row>
    <row r="4184" spans="1:7" hidden="1">
      <c r="A4184" s="39" t="s">
        <v>103</v>
      </c>
      <c r="B4184" s="43"/>
      <c r="C4184" s="44">
        <f t="shared" ref="C4184:E4184" si="392">B4184/B$4234*C$4234</f>
        <v>0</v>
      </c>
      <c r="D4184" s="44">
        <f t="shared" si="392"/>
        <v>0</v>
      </c>
      <c r="E4184" s="44">
        <f t="shared" si="392"/>
        <v>0</v>
      </c>
      <c r="F4184" s="44">
        <f t="shared" si="380"/>
        <v>0</v>
      </c>
      <c r="G4184" s="40"/>
    </row>
    <row r="4185" spans="1:7" hidden="1">
      <c r="A4185" s="39" t="s">
        <v>647</v>
      </c>
      <c r="B4185" s="45"/>
      <c r="C4185" s="44">
        <f t="shared" ref="C4185:E4185" si="393">B4185/B$4234*C$4234</f>
        <v>0</v>
      </c>
      <c r="D4185" s="44">
        <f t="shared" si="393"/>
        <v>0</v>
      </c>
      <c r="E4185" s="44">
        <f t="shared" si="393"/>
        <v>0</v>
      </c>
      <c r="F4185" s="44">
        <f t="shared" si="380"/>
        <v>0</v>
      </c>
      <c r="G4185" s="40"/>
    </row>
    <row r="4186" spans="1:7" hidden="1">
      <c r="A4186" s="39" t="s">
        <v>104</v>
      </c>
      <c r="B4186" s="45"/>
      <c r="C4186" s="44">
        <f t="shared" ref="C4186:E4186" si="394">B4186/B$4234*C$4234</f>
        <v>0</v>
      </c>
      <c r="D4186" s="44">
        <f t="shared" si="394"/>
        <v>0</v>
      </c>
      <c r="E4186" s="44">
        <f t="shared" si="394"/>
        <v>0</v>
      </c>
      <c r="F4186" s="44">
        <f t="shared" si="380"/>
        <v>0</v>
      </c>
      <c r="G4186" s="40"/>
    </row>
    <row r="4187" spans="1:7" hidden="1">
      <c r="A4187" s="39" t="s">
        <v>105</v>
      </c>
      <c r="B4187" s="43"/>
      <c r="C4187" s="44">
        <f t="shared" ref="C4187:E4187" si="395">B4187/B$4234*C$4234</f>
        <v>0</v>
      </c>
      <c r="D4187" s="44">
        <f t="shared" si="395"/>
        <v>0</v>
      </c>
      <c r="E4187" s="44">
        <f t="shared" si="395"/>
        <v>0</v>
      </c>
      <c r="F4187" s="44">
        <f t="shared" si="380"/>
        <v>0</v>
      </c>
      <c r="G4187" s="40"/>
    </row>
    <row r="4188" spans="1:7" hidden="1">
      <c r="A4188" s="39" t="s">
        <v>654</v>
      </c>
      <c r="B4188" s="43"/>
      <c r="C4188" s="44">
        <f t="shared" ref="C4188:E4188" si="396">B4188/B$4234*C$4234</f>
        <v>0</v>
      </c>
      <c r="D4188" s="44">
        <f t="shared" si="396"/>
        <v>0</v>
      </c>
      <c r="E4188" s="44">
        <f t="shared" si="396"/>
        <v>0</v>
      </c>
      <c r="F4188" s="44">
        <f t="shared" si="380"/>
        <v>0</v>
      </c>
      <c r="G4188" s="40"/>
    </row>
    <row r="4189" spans="1:7" hidden="1">
      <c r="A4189" s="39" t="s">
        <v>655</v>
      </c>
      <c r="B4189" s="43"/>
      <c r="C4189" s="44">
        <f t="shared" ref="C4189:E4189" si="397">B4189/B$4234*C$4234</f>
        <v>0</v>
      </c>
      <c r="D4189" s="44">
        <f t="shared" si="397"/>
        <v>0</v>
      </c>
      <c r="E4189" s="44">
        <f t="shared" si="397"/>
        <v>0</v>
      </c>
      <c r="F4189" s="44">
        <f t="shared" si="380"/>
        <v>0</v>
      </c>
      <c r="G4189" s="40"/>
    </row>
    <row r="4190" spans="1:7" hidden="1">
      <c r="A4190" s="39" t="s">
        <v>108</v>
      </c>
      <c r="B4190" s="45"/>
      <c r="C4190" s="44">
        <f t="shared" ref="C4190:E4190" si="398">B4190/B$4234*C$4234</f>
        <v>0</v>
      </c>
      <c r="D4190" s="44">
        <f t="shared" si="398"/>
        <v>0</v>
      </c>
      <c r="E4190" s="44">
        <f t="shared" si="398"/>
        <v>0</v>
      </c>
      <c r="F4190" s="44">
        <f t="shared" si="380"/>
        <v>0</v>
      </c>
      <c r="G4190" s="40"/>
    </row>
    <row r="4191" spans="1:7" hidden="1">
      <c r="A4191" s="39" t="s">
        <v>109</v>
      </c>
      <c r="B4191" s="43"/>
      <c r="C4191" s="44">
        <f t="shared" ref="C4191:E4191" si="399">B4191/B$4234*C$4234</f>
        <v>0</v>
      </c>
      <c r="D4191" s="44">
        <f t="shared" si="399"/>
        <v>0</v>
      </c>
      <c r="E4191" s="44">
        <f t="shared" si="399"/>
        <v>0</v>
      </c>
      <c r="F4191" s="44">
        <f t="shared" si="380"/>
        <v>0</v>
      </c>
      <c r="G4191" s="40"/>
    </row>
    <row r="4192" spans="1:7" hidden="1">
      <c r="A4192" s="39" t="s">
        <v>110</v>
      </c>
      <c r="B4192" s="43"/>
      <c r="C4192" s="44">
        <f t="shared" ref="C4192:E4192" si="400">B4192/B$4234*C$4234</f>
        <v>0</v>
      </c>
      <c r="D4192" s="44">
        <f t="shared" si="400"/>
        <v>0</v>
      </c>
      <c r="E4192" s="44">
        <f t="shared" si="400"/>
        <v>0</v>
      </c>
      <c r="F4192" s="44">
        <f t="shared" si="380"/>
        <v>0</v>
      </c>
      <c r="G4192" s="40"/>
    </row>
    <row r="4193" spans="1:7" hidden="1">
      <c r="A4193" s="39" t="s">
        <v>656</v>
      </c>
      <c r="B4193" s="45"/>
      <c r="C4193" s="44">
        <f t="shared" ref="C4193:E4193" si="401">B4193/B$4234*C$4234</f>
        <v>0</v>
      </c>
      <c r="D4193" s="44">
        <f t="shared" si="401"/>
        <v>0</v>
      </c>
      <c r="E4193" s="44">
        <f t="shared" si="401"/>
        <v>0</v>
      </c>
      <c r="F4193" s="44">
        <f t="shared" si="380"/>
        <v>0</v>
      </c>
      <c r="G4193" s="40"/>
    </row>
    <row r="4194" spans="1:7" hidden="1">
      <c r="A4194" s="39" t="s">
        <v>652</v>
      </c>
      <c r="B4194" s="45"/>
      <c r="C4194" s="44">
        <f t="shared" ref="C4194:E4194" si="402">B4194/B$4234*C$4234</f>
        <v>0</v>
      </c>
      <c r="D4194" s="44">
        <f t="shared" si="402"/>
        <v>0</v>
      </c>
      <c r="E4194" s="44">
        <f t="shared" si="402"/>
        <v>0</v>
      </c>
      <c r="F4194" s="44">
        <f t="shared" si="380"/>
        <v>0</v>
      </c>
      <c r="G4194" s="40"/>
    </row>
    <row r="4195" spans="1:7">
      <c r="A4195" s="39" t="s">
        <v>748</v>
      </c>
      <c r="B4195" s="43">
        <v>13.5</v>
      </c>
      <c r="C4195" s="66">
        <f t="shared" ref="C4195:E4195" si="403">B4195/B$4234*C$4234</f>
        <v>17082.443959731543</v>
      </c>
      <c r="D4195" s="66">
        <f t="shared" si="403"/>
        <v>35130.593959731545</v>
      </c>
      <c r="E4195" s="66">
        <f t="shared" si="403"/>
        <v>10436.999798657718</v>
      </c>
      <c r="F4195" s="44">
        <f t="shared" si="380"/>
        <v>62650.037718120802</v>
      </c>
      <c r="G4195" s="40"/>
    </row>
    <row r="4196" spans="1:7" hidden="1">
      <c r="A4196" s="39" t="s">
        <v>501</v>
      </c>
      <c r="B4196" s="43"/>
      <c r="C4196" s="44">
        <f t="shared" ref="C4196:E4196" si="404">B4196/B$4234*C$4234</f>
        <v>0</v>
      </c>
      <c r="D4196" s="44">
        <f t="shared" si="404"/>
        <v>0</v>
      </c>
      <c r="E4196" s="44">
        <f t="shared" si="404"/>
        <v>0</v>
      </c>
      <c r="F4196" s="44">
        <f t="shared" si="380"/>
        <v>0</v>
      </c>
      <c r="G4196" s="40"/>
    </row>
    <row r="4197" spans="1:7" hidden="1">
      <c r="A4197" s="39" t="s">
        <v>645</v>
      </c>
      <c r="B4197" s="43"/>
      <c r="C4197" s="44">
        <f t="shared" ref="C4197:E4197" si="405">B4197/B$4234*C$4234</f>
        <v>0</v>
      </c>
      <c r="D4197" s="44">
        <f t="shared" si="405"/>
        <v>0</v>
      </c>
      <c r="E4197" s="44">
        <f t="shared" si="405"/>
        <v>0</v>
      </c>
      <c r="F4197" s="44">
        <f t="shared" si="380"/>
        <v>0</v>
      </c>
      <c r="G4197" s="40"/>
    </row>
    <row r="4198" spans="1:7">
      <c r="A4198" s="39" t="s">
        <v>747</v>
      </c>
      <c r="B4198" s="43">
        <v>5.5</v>
      </c>
      <c r="C4198" s="66">
        <f t="shared" ref="C4198:E4198" si="406">B4198/B$4234*C$4234</f>
        <v>6959.5142058165547</v>
      </c>
      <c r="D4198" s="66">
        <f t="shared" si="406"/>
        <v>14312.464205816555</v>
      </c>
      <c r="E4198" s="66">
        <f t="shared" si="406"/>
        <v>4252.1110290827737</v>
      </c>
      <c r="F4198" s="44">
        <f t="shared" si="380"/>
        <v>25524.089440715885</v>
      </c>
      <c r="G4198" s="40"/>
    </row>
    <row r="4199" spans="1:7" hidden="1">
      <c r="A4199" s="39" t="s">
        <v>117</v>
      </c>
      <c r="B4199" s="43"/>
      <c r="C4199" s="44">
        <f t="shared" ref="C4199:E4199" si="407">B4199/B$4234*C$4234</f>
        <v>0</v>
      </c>
      <c r="D4199" s="44">
        <f t="shared" si="407"/>
        <v>0</v>
      </c>
      <c r="E4199" s="44">
        <f t="shared" si="407"/>
        <v>0</v>
      </c>
      <c r="F4199" s="44">
        <f t="shared" si="380"/>
        <v>0</v>
      </c>
      <c r="G4199" s="40"/>
    </row>
    <row r="4200" spans="1:7" hidden="1">
      <c r="A4200" s="39" t="s">
        <v>118</v>
      </c>
      <c r="B4200" s="45"/>
      <c r="C4200" s="44">
        <f t="shared" ref="C4200:E4200" si="408">B4200/B$4234*C$4234</f>
        <v>0</v>
      </c>
      <c r="D4200" s="44">
        <f t="shared" si="408"/>
        <v>0</v>
      </c>
      <c r="E4200" s="44">
        <f t="shared" si="408"/>
        <v>0</v>
      </c>
      <c r="F4200" s="44">
        <f t="shared" si="380"/>
        <v>0</v>
      </c>
      <c r="G4200" s="40"/>
    </row>
    <row r="4201" spans="1:7" hidden="1">
      <c r="A4201" s="39" t="s">
        <v>643</v>
      </c>
      <c r="B4201" s="43"/>
      <c r="C4201" s="44">
        <f t="shared" ref="C4201:E4201" si="409">B4201/B$4234*C$4234</f>
        <v>0</v>
      </c>
      <c r="D4201" s="44">
        <f t="shared" si="409"/>
        <v>0</v>
      </c>
      <c r="E4201" s="44">
        <f t="shared" si="409"/>
        <v>0</v>
      </c>
      <c r="F4201" s="44">
        <f t="shared" si="380"/>
        <v>0</v>
      </c>
      <c r="G4201" s="40"/>
    </row>
    <row r="4202" spans="1:7" hidden="1">
      <c r="A4202" s="39" t="s">
        <v>643</v>
      </c>
      <c r="B4202" s="43"/>
      <c r="C4202" s="44">
        <f t="shared" ref="C4202:E4202" si="410">B4202/B$4234*C$4234</f>
        <v>0</v>
      </c>
      <c r="D4202" s="44">
        <f t="shared" si="410"/>
        <v>0</v>
      </c>
      <c r="E4202" s="44">
        <f t="shared" si="410"/>
        <v>0</v>
      </c>
      <c r="F4202" s="44">
        <f t="shared" si="380"/>
        <v>0</v>
      </c>
      <c r="G4202" s="40"/>
    </row>
    <row r="4203" spans="1:7" hidden="1">
      <c r="A4203" s="39" t="s">
        <v>120</v>
      </c>
      <c r="B4203" s="45"/>
      <c r="C4203" s="44">
        <f t="shared" ref="C4203:E4203" si="411">B4203/B$4234*C$4234</f>
        <v>0</v>
      </c>
      <c r="D4203" s="44">
        <f t="shared" si="411"/>
        <v>0</v>
      </c>
      <c r="E4203" s="44">
        <f t="shared" si="411"/>
        <v>0</v>
      </c>
      <c r="F4203" s="44">
        <f t="shared" si="380"/>
        <v>0</v>
      </c>
      <c r="G4203" s="40"/>
    </row>
    <row r="4204" spans="1:7" hidden="1">
      <c r="A4204" s="39" t="s">
        <v>121</v>
      </c>
      <c r="B4204" s="45"/>
      <c r="C4204" s="44">
        <f t="shared" ref="C4204:E4204" si="412">B4204/B$4234*C$4234</f>
        <v>0</v>
      </c>
      <c r="D4204" s="44">
        <f t="shared" si="412"/>
        <v>0</v>
      </c>
      <c r="E4204" s="44">
        <f t="shared" si="412"/>
        <v>0</v>
      </c>
      <c r="F4204" s="44">
        <f t="shared" si="380"/>
        <v>0</v>
      </c>
      <c r="G4204" s="40"/>
    </row>
    <row r="4205" spans="1:7" hidden="1">
      <c r="A4205" s="39" t="s">
        <v>122</v>
      </c>
      <c r="B4205" s="43"/>
      <c r="C4205" s="44">
        <f t="shared" ref="C4205:E4205" si="413">B4205/B$4234*C$4234</f>
        <v>0</v>
      </c>
      <c r="D4205" s="44">
        <f t="shared" si="413"/>
        <v>0</v>
      </c>
      <c r="E4205" s="44">
        <f t="shared" si="413"/>
        <v>0</v>
      </c>
      <c r="F4205" s="44">
        <f t="shared" si="380"/>
        <v>0</v>
      </c>
      <c r="G4205" s="40"/>
    </row>
    <row r="4206" spans="1:7" hidden="1">
      <c r="A4206" s="39" t="s">
        <v>123</v>
      </c>
      <c r="B4206" s="43"/>
      <c r="C4206" s="44">
        <f t="shared" ref="C4206:E4206" si="414">B4206/B$4234*C$4234</f>
        <v>0</v>
      </c>
      <c r="D4206" s="44">
        <f t="shared" si="414"/>
        <v>0</v>
      </c>
      <c r="E4206" s="44">
        <f t="shared" si="414"/>
        <v>0</v>
      </c>
      <c r="F4206" s="44">
        <f t="shared" si="380"/>
        <v>0</v>
      </c>
      <c r="G4206" s="40"/>
    </row>
    <row r="4207" spans="1:7">
      <c r="A4207" s="39" t="s">
        <v>749</v>
      </c>
      <c r="B4207" s="43">
        <v>4</v>
      </c>
      <c r="C4207" s="66">
        <f t="shared" ref="C4207:E4207" si="415">B4207/B$4234*C$4234</f>
        <v>5061.4648769574942</v>
      </c>
      <c r="D4207" s="66">
        <f t="shared" si="415"/>
        <v>10409.064876957495</v>
      </c>
      <c r="E4207" s="66">
        <f t="shared" si="415"/>
        <v>3092.4443847874718</v>
      </c>
      <c r="F4207" s="44">
        <f t="shared" si="380"/>
        <v>18562.974138702462</v>
      </c>
      <c r="G4207" s="40"/>
    </row>
    <row r="4208" spans="1:7" hidden="1">
      <c r="A4208" s="39" t="s">
        <v>125</v>
      </c>
      <c r="B4208" s="43"/>
      <c r="C4208" s="44">
        <f t="shared" ref="C4208:E4208" si="416">B4208/B$4234*C$4234</f>
        <v>0</v>
      </c>
      <c r="D4208" s="44">
        <f t="shared" si="416"/>
        <v>0</v>
      </c>
      <c r="E4208" s="44">
        <f t="shared" si="416"/>
        <v>0</v>
      </c>
      <c r="F4208" s="44">
        <f t="shared" si="380"/>
        <v>0</v>
      </c>
      <c r="G4208" s="40"/>
    </row>
    <row r="4209" spans="1:7" hidden="1">
      <c r="A4209" s="39" t="s">
        <v>126</v>
      </c>
      <c r="B4209" s="45"/>
      <c r="C4209" s="44">
        <f t="shared" ref="C4209:E4209" si="417">B4209/B$4234*C$4234</f>
        <v>0</v>
      </c>
      <c r="D4209" s="44">
        <f t="shared" si="417"/>
        <v>0</v>
      </c>
      <c r="E4209" s="44">
        <f t="shared" si="417"/>
        <v>0</v>
      </c>
      <c r="F4209" s="44">
        <f t="shared" si="380"/>
        <v>0</v>
      </c>
      <c r="G4209" s="40"/>
    </row>
    <row r="4210" spans="1:7" hidden="1">
      <c r="A4210" s="39" t="s">
        <v>127</v>
      </c>
      <c r="B4210" s="43"/>
      <c r="C4210" s="44">
        <f t="shared" ref="C4210:E4210" si="418">B4210/B$4234*C$4234</f>
        <v>0</v>
      </c>
      <c r="D4210" s="44">
        <f t="shared" si="418"/>
        <v>0</v>
      </c>
      <c r="E4210" s="44">
        <f t="shared" si="418"/>
        <v>0</v>
      </c>
      <c r="F4210" s="44">
        <f t="shared" si="380"/>
        <v>0</v>
      </c>
      <c r="G4210" s="40"/>
    </row>
    <row r="4211" spans="1:7" hidden="1">
      <c r="A4211" s="39" t="s">
        <v>648</v>
      </c>
      <c r="B4211" s="43"/>
      <c r="C4211" s="44">
        <f t="shared" ref="C4211:E4211" si="419">B4211/B$4234*C$4234</f>
        <v>0</v>
      </c>
      <c r="D4211" s="44">
        <f t="shared" si="419"/>
        <v>0</v>
      </c>
      <c r="E4211" s="44">
        <f t="shared" si="419"/>
        <v>0</v>
      </c>
      <c r="F4211" s="44">
        <f t="shared" si="380"/>
        <v>0</v>
      </c>
      <c r="G4211" s="40"/>
    </row>
    <row r="4212" spans="1:7" hidden="1">
      <c r="A4212" s="39" t="s">
        <v>129</v>
      </c>
      <c r="B4212" s="45"/>
      <c r="C4212" s="44">
        <f t="shared" ref="C4212:E4212" si="420">B4212/B$4234*C$4234</f>
        <v>0</v>
      </c>
      <c r="D4212" s="44">
        <f t="shared" si="420"/>
        <v>0</v>
      </c>
      <c r="E4212" s="44">
        <f t="shared" si="420"/>
        <v>0</v>
      </c>
      <c r="F4212" s="44">
        <f t="shared" si="380"/>
        <v>0</v>
      </c>
      <c r="G4212" s="40"/>
    </row>
    <row r="4213" spans="1:7">
      <c r="A4213" s="39" t="s">
        <v>651</v>
      </c>
      <c r="B4213" s="45">
        <v>99</v>
      </c>
      <c r="C4213" s="66">
        <f t="shared" ref="C4213:E4213" si="421">B4213/B$4234*C$4234</f>
        <v>125271.25570469798</v>
      </c>
      <c r="D4213" s="66">
        <f t="shared" si="421"/>
        <v>257624.35570469801</v>
      </c>
      <c r="E4213" s="66">
        <f t="shared" si="421"/>
        <v>76537.998523489936</v>
      </c>
      <c r="F4213" s="44">
        <f t="shared" si="380"/>
        <v>459433.60993288591</v>
      </c>
      <c r="G4213" s="40"/>
    </row>
    <row r="4214" spans="1:7">
      <c r="A4214" s="58" t="s">
        <v>649</v>
      </c>
      <c r="B4214" s="121">
        <v>11.5</v>
      </c>
      <c r="C4214" s="181">
        <f t="shared" ref="C4214:E4214" si="422">B4214/B$4234*C$4234</f>
        <v>14551.711521252795</v>
      </c>
      <c r="D4214" s="181">
        <f t="shared" si="422"/>
        <v>29926.061521252796</v>
      </c>
      <c r="E4214" s="181">
        <f t="shared" si="422"/>
        <v>8890.7776062639823</v>
      </c>
      <c r="F4214" s="181">
        <f t="shared" si="380"/>
        <v>53368.550648769575</v>
      </c>
      <c r="G4214" s="40"/>
    </row>
    <row r="4215" spans="1:7" hidden="1">
      <c r="A4215" s="39" t="s">
        <v>132</v>
      </c>
      <c r="B4215" s="43"/>
      <c r="C4215" s="44"/>
      <c r="D4215" s="44"/>
      <c r="E4215" s="44"/>
      <c r="F4215" s="44"/>
      <c r="G4215" s="40"/>
    </row>
    <row r="4216" spans="1:7" hidden="1">
      <c r="A4216" s="39" t="s">
        <v>133</v>
      </c>
      <c r="B4216" s="43"/>
      <c r="C4216" s="44"/>
      <c r="D4216" s="44"/>
      <c r="E4216" s="44"/>
      <c r="F4216" s="44"/>
      <c r="G4216" s="40"/>
    </row>
    <row r="4217" spans="1:7" hidden="1">
      <c r="A4217" s="39" t="s">
        <v>134</v>
      </c>
      <c r="B4217" s="45"/>
      <c r="C4217" s="44"/>
      <c r="D4217" s="44"/>
      <c r="E4217" s="44"/>
      <c r="F4217" s="44"/>
      <c r="G4217" s="40"/>
    </row>
    <row r="4218" spans="1:7" hidden="1">
      <c r="A4218" s="39" t="s">
        <v>135</v>
      </c>
      <c r="B4218" s="45"/>
      <c r="C4218" s="44"/>
      <c r="D4218" s="44"/>
      <c r="E4218" s="44"/>
      <c r="F4218" s="44"/>
      <c r="G4218" s="40"/>
    </row>
    <row r="4219" spans="1:7" hidden="1">
      <c r="A4219" s="39" t="s">
        <v>136</v>
      </c>
      <c r="B4219" s="43"/>
      <c r="C4219" s="44"/>
      <c r="D4219" s="44"/>
      <c r="E4219" s="44"/>
      <c r="F4219" s="44"/>
      <c r="G4219" s="40"/>
    </row>
    <row r="4220" spans="1:7" hidden="1">
      <c r="A4220" s="39" t="s">
        <v>137</v>
      </c>
      <c r="B4220" s="45"/>
      <c r="C4220" s="44"/>
      <c r="D4220" s="44"/>
      <c r="E4220" s="44"/>
      <c r="F4220" s="44"/>
      <c r="G4220" s="40"/>
    </row>
    <row r="4221" spans="1:7" hidden="1">
      <c r="A4221" s="39" t="s">
        <v>650</v>
      </c>
      <c r="B4221" s="45"/>
      <c r="C4221" s="44"/>
      <c r="D4221" s="44"/>
      <c r="E4221" s="44"/>
      <c r="F4221" s="44"/>
      <c r="G4221" s="40"/>
    </row>
    <row r="4222" spans="1:7" hidden="1">
      <c r="A4222" s="39" t="s">
        <v>138</v>
      </c>
      <c r="B4222" s="45"/>
      <c r="C4222" s="44"/>
      <c r="D4222" s="44"/>
      <c r="E4222" s="44"/>
      <c r="F4222" s="44"/>
      <c r="G4222" s="40"/>
    </row>
    <row r="4223" spans="1:7" hidden="1">
      <c r="A4223" s="39" t="s">
        <v>502</v>
      </c>
      <c r="B4223" s="45"/>
      <c r="C4223" s="44"/>
      <c r="D4223" s="44"/>
      <c r="E4223" s="44"/>
      <c r="F4223" s="44"/>
      <c r="G4223" s="40"/>
    </row>
    <row r="4224" spans="1:7" hidden="1">
      <c r="A4224" s="39" t="s">
        <v>503</v>
      </c>
      <c r="B4224" s="45"/>
      <c r="C4224" s="44"/>
      <c r="D4224" s="44"/>
      <c r="E4224" s="44"/>
      <c r="F4224" s="44"/>
      <c r="G4224" s="40"/>
    </row>
    <row r="4225" spans="1:7" hidden="1">
      <c r="A4225" s="46" t="s">
        <v>140</v>
      </c>
      <c r="B4225" s="45"/>
      <c r="C4225" s="44"/>
      <c r="D4225" s="44"/>
      <c r="E4225" s="44"/>
      <c r="F4225" s="44"/>
      <c r="G4225" s="40"/>
    </row>
    <row r="4226" spans="1:7" hidden="1">
      <c r="A4226" s="46" t="s">
        <v>141</v>
      </c>
      <c r="B4226" s="45"/>
      <c r="C4226" s="44"/>
      <c r="D4226" s="44"/>
      <c r="E4226" s="44"/>
      <c r="F4226" s="44"/>
      <c r="G4226" s="40"/>
    </row>
    <row r="4227" spans="1:7" hidden="1">
      <c r="A4227" s="46" t="s">
        <v>142</v>
      </c>
      <c r="B4227" s="45"/>
      <c r="C4227" s="44"/>
      <c r="D4227" s="44"/>
      <c r="E4227" s="44"/>
      <c r="F4227" s="44"/>
      <c r="G4227" s="40"/>
    </row>
    <row r="4228" spans="1:7" hidden="1">
      <c r="A4228" s="46" t="s">
        <v>143</v>
      </c>
      <c r="B4228" s="45"/>
      <c r="C4228" s="44"/>
      <c r="D4228" s="44"/>
      <c r="E4228" s="44"/>
      <c r="F4228" s="44"/>
      <c r="G4228" s="40"/>
    </row>
    <row r="4229" spans="1:7" hidden="1">
      <c r="A4229" s="46" t="s">
        <v>146</v>
      </c>
      <c r="B4229" s="45"/>
      <c r="C4229" s="44"/>
      <c r="D4229" s="44"/>
      <c r="E4229" s="44"/>
      <c r="F4229" s="44"/>
      <c r="G4229" s="40"/>
    </row>
    <row r="4230" spans="1:7" hidden="1">
      <c r="A4230" s="46" t="s">
        <v>147</v>
      </c>
      <c r="B4230" s="45"/>
      <c r="C4230" s="44"/>
      <c r="D4230" s="44"/>
      <c r="E4230" s="44"/>
      <c r="F4230" s="44"/>
      <c r="G4230" s="40"/>
    </row>
    <row r="4231" spans="1:7" hidden="1">
      <c r="A4231" s="46" t="s">
        <v>148</v>
      </c>
      <c r="B4231" s="45"/>
      <c r="C4231" s="44"/>
      <c r="D4231" s="44"/>
      <c r="E4231" s="44"/>
      <c r="F4231" s="44"/>
      <c r="G4231" s="40"/>
    </row>
    <row r="4232" spans="1:7" hidden="1">
      <c r="A4232" s="126" t="s">
        <v>526</v>
      </c>
      <c r="B4232" s="47"/>
      <c r="C4232" s="44"/>
      <c r="D4232" s="44"/>
      <c r="E4232" s="44"/>
      <c r="F4232" s="44"/>
      <c r="G4232" s="40"/>
    </row>
    <row r="4233" spans="1:7" hidden="1">
      <c r="A4233" s="126" t="s">
        <v>601</v>
      </c>
      <c r="B4233" s="47"/>
      <c r="C4233" s="44"/>
      <c r="D4233" s="44"/>
      <c r="E4233" s="44"/>
      <c r="F4233" s="44"/>
      <c r="G4233" s="40"/>
    </row>
    <row r="4234" spans="1:7">
      <c r="A4234" s="48" t="s">
        <v>150</v>
      </c>
      <c r="B4234" s="48">
        <f>SUM(B4171:B4214)</f>
        <v>223.5</v>
      </c>
      <c r="C4234" s="49">
        <f>282809.35</f>
        <v>282809.34999999998</v>
      </c>
      <c r="D4234" s="50">
        <f>43225+385449.2+76326.2+56676+19930.1</f>
        <v>581606.5</v>
      </c>
      <c r="E4234" s="50">
        <f>172790.33</f>
        <v>172790.33</v>
      </c>
      <c r="F4234" s="50">
        <f>SUM(C4234:E4234)</f>
        <v>1037206.1799999999</v>
      </c>
      <c r="G4234" s="40"/>
    </row>
    <row r="4237" spans="1:7">
      <c r="A4237" s="77" t="s">
        <v>780</v>
      </c>
      <c r="B4237" s="39"/>
      <c r="C4237" s="78"/>
      <c r="D4237" s="78"/>
      <c r="E4237" s="78"/>
      <c r="F4237" s="78"/>
      <c r="G4237" s="40"/>
    </row>
    <row r="4238" spans="1:7">
      <c r="A4238" s="206" t="s">
        <v>337</v>
      </c>
      <c r="B4238" s="81" t="s">
        <v>87</v>
      </c>
      <c r="C4238" s="81" t="s">
        <v>338</v>
      </c>
      <c r="D4238" s="78" t="s">
        <v>339</v>
      </c>
      <c r="E4238" s="78" t="s">
        <v>340</v>
      </c>
      <c r="F4238" s="78" t="s">
        <v>341</v>
      </c>
      <c r="G4238" s="40"/>
    </row>
    <row r="4239" spans="1:7">
      <c r="A4239" s="206" t="s">
        <v>0</v>
      </c>
      <c r="B4239" s="81">
        <f>20*41</f>
        <v>820</v>
      </c>
      <c r="C4239" s="234">
        <f>B4239/B$4246*C$4241</f>
        <v>189372.78540630182</v>
      </c>
      <c r="D4239" s="234">
        <f>B4239/B$4246*D$4241</f>
        <v>69761.676782752897</v>
      </c>
      <c r="E4239" s="234">
        <f>B4239/B$4246*E$4241</f>
        <v>84351.904145936991</v>
      </c>
      <c r="F4239" s="81">
        <f>SUM(C4239:E4239)</f>
        <v>343486.3663349917</v>
      </c>
      <c r="G4239" s="40"/>
    </row>
    <row r="4240" spans="1:7">
      <c r="A4240" s="206" t="s">
        <v>342</v>
      </c>
      <c r="B4240" s="81">
        <f>20*19+6</f>
        <v>386</v>
      </c>
      <c r="C4240" s="234">
        <f>B4240/B$4246*C$4241</f>
        <v>89143.774593698166</v>
      </c>
      <c r="D4240" s="234">
        <f>B4240/B$4246*D$4241</f>
        <v>32839.033217247095</v>
      </c>
      <c r="E4240" s="234">
        <f>B4240/B$4246*E$4241</f>
        <v>39707.11585406302</v>
      </c>
      <c r="F4240" s="81">
        <f>SUM(C4240:E4240)</f>
        <v>161689.92366500827</v>
      </c>
      <c r="G4240" s="40"/>
    </row>
    <row r="4241" spans="1:7">
      <c r="A4241" s="258" t="s">
        <v>796</v>
      </c>
      <c r="B4241" s="81"/>
      <c r="C4241" s="81">
        <f>C4246-C4245</f>
        <v>278516.56</v>
      </c>
      <c r="D4241" s="81">
        <f t="shared" ref="D4241:F4241" si="423">D4246-D4245</f>
        <v>102600.70999999999</v>
      </c>
      <c r="E4241" s="81">
        <f t="shared" si="423"/>
        <v>124059.02</v>
      </c>
      <c r="F4241" s="81">
        <f t="shared" si="423"/>
        <v>505176.29000000004</v>
      </c>
      <c r="G4241" s="40"/>
    </row>
    <row r="4242" spans="1:7" hidden="1">
      <c r="A4242" s="206" t="s">
        <v>344</v>
      </c>
      <c r="B4242" s="81"/>
      <c r="C4242" s="81"/>
      <c r="D4242" s="81"/>
      <c r="E4242" s="81"/>
      <c r="F4242" s="81"/>
      <c r="G4242" s="40"/>
    </row>
    <row r="4243" spans="1:7" hidden="1">
      <c r="A4243" s="206" t="s">
        <v>345</v>
      </c>
      <c r="B4243" s="81"/>
      <c r="C4243" s="81"/>
      <c r="D4243" s="81"/>
      <c r="E4243" s="81"/>
      <c r="F4243" s="81"/>
      <c r="G4243" s="40"/>
    </row>
    <row r="4244" spans="1:7" hidden="1">
      <c r="A4244" s="229" t="s">
        <v>485</v>
      </c>
      <c r="B4244" s="81"/>
      <c r="C4244" s="81"/>
      <c r="D4244" s="81"/>
      <c r="E4244" s="81"/>
      <c r="F4244" s="81"/>
      <c r="G4244" s="40"/>
    </row>
    <row r="4245" spans="1:7" hidden="1">
      <c r="A4245" s="227" t="s">
        <v>794</v>
      </c>
      <c r="B4245" s="81"/>
      <c r="C4245" s="81"/>
      <c r="D4245" s="81"/>
      <c r="E4245" s="81"/>
      <c r="F4245" s="81">
        <f>SUM(C4245:E4245)</f>
        <v>0</v>
      </c>
      <c r="G4245" s="40"/>
    </row>
    <row r="4246" spans="1:7">
      <c r="A4246" s="206" t="s">
        <v>346</v>
      </c>
      <c r="B4246" s="205">
        <f>SUM(B4239:B4245)</f>
        <v>1206</v>
      </c>
      <c r="C4246" s="205">
        <f>278516.56</f>
        <v>278516.56</v>
      </c>
      <c r="D4246" s="82">
        <f>6156+33606.2+8552.31+38408.7+15877.5</f>
        <v>102600.70999999999</v>
      </c>
      <c r="E4246" s="82">
        <f>124059.02</f>
        <v>124059.02</v>
      </c>
      <c r="F4246" s="82">
        <f>SUM(C4246:E4246)</f>
        <v>505176.29000000004</v>
      </c>
      <c r="G4246" s="40"/>
    </row>
    <row r="4247" spans="1:7">
      <c r="A4247" s="270"/>
      <c r="B4247" s="271"/>
      <c r="C4247" s="271"/>
      <c r="D4247" s="271"/>
      <c r="E4247" s="271"/>
      <c r="F4247" s="271"/>
      <c r="G4247" s="40"/>
    </row>
    <row r="4248" spans="1:7">
      <c r="A4248" s="272"/>
      <c r="B4248" s="273"/>
      <c r="C4248" s="273"/>
      <c r="D4248" s="273"/>
      <c r="E4248" s="273"/>
      <c r="F4248" s="273"/>
      <c r="G4248" s="40"/>
    </row>
    <row r="4249" spans="1:7">
      <c r="A4249" s="83"/>
      <c r="B4249" s="84"/>
      <c r="C4249" s="40"/>
      <c r="D4249" s="40"/>
      <c r="E4249" s="41"/>
      <c r="F4249" s="40"/>
      <c r="G4249" s="40"/>
    </row>
    <row r="4250" spans="1:7">
      <c r="A4250" s="85"/>
      <c r="B4250" s="84"/>
      <c r="C4250" s="40"/>
      <c r="D4250" s="40"/>
      <c r="E4250" s="41"/>
      <c r="F4250" s="40"/>
      <c r="G4250" s="40"/>
    </row>
    <row r="4251" spans="1:7">
      <c r="A4251" s="77"/>
      <c r="B4251" s="82"/>
      <c r="C4251" s="82"/>
      <c r="D4251" s="82"/>
      <c r="E4251" s="82"/>
      <c r="F4251" s="82"/>
      <c r="G4251" s="40"/>
    </row>
    <row r="4252" spans="1:7">
      <c r="A4252" s="77" t="s">
        <v>781</v>
      </c>
      <c r="B4252" s="43" t="s">
        <v>87</v>
      </c>
      <c r="C4252" s="86" t="s">
        <v>88</v>
      </c>
      <c r="D4252" s="86" t="s">
        <v>89</v>
      </c>
      <c r="E4252" s="86" t="s">
        <v>90</v>
      </c>
      <c r="F4252" s="86" t="s">
        <v>91</v>
      </c>
      <c r="G4252" s="40"/>
    </row>
    <row r="4253" spans="1:7" hidden="1">
      <c r="A4253" s="87" t="s">
        <v>349</v>
      </c>
      <c r="C4253" s="88"/>
      <c r="D4253" s="88"/>
      <c r="E4253" s="88"/>
      <c r="F4253" s="88"/>
      <c r="G4253" s="40"/>
    </row>
    <row r="4254" spans="1:7">
      <c r="A4254" s="87" t="s">
        <v>350</v>
      </c>
      <c r="B4254" s="88">
        <f>9*48</f>
        <v>432</v>
      </c>
      <c r="C4254" s="228">
        <f>B4254/B$4264*C$4260</f>
        <v>49102.972741935482</v>
      </c>
      <c r="D4254" s="228">
        <f>B4254/B$4264*D$4260</f>
        <v>21099.333387096773</v>
      </c>
      <c r="E4254" s="228">
        <f>B4254/B$4264*E$4260</f>
        <v>80359.480524193554</v>
      </c>
      <c r="F4254" s="88">
        <f>SUM(C4254:E4254)</f>
        <v>150561.7866532258</v>
      </c>
      <c r="G4254" s="40"/>
    </row>
    <row r="4255" spans="1:7" hidden="1">
      <c r="A4255" s="87" t="s">
        <v>351</v>
      </c>
      <c r="B4255" s="88"/>
      <c r="C4255" s="88">
        <f t="shared" ref="C4255:C4256" si="424">B4255/B$4264*C$4260</f>
        <v>0</v>
      </c>
      <c r="D4255" s="88">
        <f t="shared" ref="D4255:D4259" si="425">B4255/B$4264*D$4260</f>
        <v>0</v>
      </c>
      <c r="E4255" s="88">
        <f t="shared" ref="E4255:E4256" si="426">B4255/B$4264*E$4260</f>
        <v>0</v>
      </c>
      <c r="F4255" s="88">
        <f t="shared" ref="F4255:F4256" si="427">SUM(C4255:E4255)</f>
        <v>0</v>
      </c>
      <c r="G4255" s="40"/>
    </row>
    <row r="4256" spans="1:7">
      <c r="A4256" s="87" t="s">
        <v>352</v>
      </c>
      <c r="B4256" s="57">
        <f>10*72</f>
        <v>720</v>
      </c>
      <c r="C4256" s="228">
        <f t="shared" si="424"/>
        <v>81838.287903225806</v>
      </c>
      <c r="D4256" s="228">
        <f t="shared" si="425"/>
        <v>35165.555645161287</v>
      </c>
      <c r="E4256" s="228">
        <f t="shared" si="426"/>
        <v>133932.46754032257</v>
      </c>
      <c r="F4256" s="88">
        <f t="shared" si="427"/>
        <v>250936.31108870966</v>
      </c>
      <c r="G4256" s="40"/>
    </row>
    <row r="4257" spans="1:7" hidden="1">
      <c r="A4257" s="87" t="s">
        <v>556</v>
      </c>
      <c r="B4257" s="88"/>
      <c r="C4257" s="88"/>
      <c r="D4257" s="88">
        <f t="shared" si="425"/>
        <v>0</v>
      </c>
      <c r="E4257" s="88"/>
      <c r="F4257" s="88"/>
      <c r="G4257" s="40"/>
    </row>
    <row r="4258" spans="1:7" hidden="1">
      <c r="A4258" s="87" t="s">
        <v>354</v>
      </c>
      <c r="B4258" s="88"/>
      <c r="C4258" s="88"/>
      <c r="D4258" s="88">
        <f t="shared" si="425"/>
        <v>0</v>
      </c>
      <c r="E4258" s="88"/>
      <c r="F4258" s="88"/>
      <c r="G4258" s="40"/>
    </row>
    <row r="4259" spans="1:7" hidden="1">
      <c r="A4259" s="87" t="s">
        <v>355</v>
      </c>
      <c r="B4259" s="88"/>
      <c r="C4259" s="88"/>
      <c r="D4259" s="88">
        <f t="shared" si="425"/>
        <v>0</v>
      </c>
      <c r="E4259" s="88"/>
      <c r="F4259" s="88"/>
      <c r="G4259" s="40"/>
    </row>
    <row r="4260" spans="1:7">
      <c r="A4260" s="227" t="s">
        <v>795</v>
      </c>
      <c r="B4260" s="88"/>
      <c r="C4260" s="88">
        <f>C4264-C4263</f>
        <v>130941.26064516128</v>
      </c>
      <c r="D4260" s="88">
        <f t="shared" ref="D4260:F4260" si="428">D4264-D4263</f>
        <v>56264.889032258063</v>
      </c>
      <c r="E4260" s="88">
        <f t="shared" si="428"/>
        <v>214291.94806451612</v>
      </c>
      <c r="F4260" s="88">
        <f t="shared" si="428"/>
        <v>401498.09774193546</v>
      </c>
      <c r="G4260" s="40"/>
    </row>
    <row r="4261" spans="1:7" hidden="1">
      <c r="A4261" s="87" t="s">
        <v>357</v>
      </c>
      <c r="B4261" s="57"/>
      <c r="C4261" s="88"/>
      <c r="D4261" s="88"/>
      <c r="E4261" s="88"/>
      <c r="F4261" s="88"/>
      <c r="G4261" s="40"/>
    </row>
    <row r="4262" spans="1:7" hidden="1">
      <c r="A4262" s="227" t="s">
        <v>639</v>
      </c>
      <c r="B4262" s="57"/>
      <c r="C4262" s="88"/>
      <c r="D4262" s="88"/>
      <c r="E4262" s="88"/>
      <c r="F4262" s="88"/>
      <c r="G4262" s="40"/>
    </row>
    <row r="4263" spans="1:7">
      <c r="A4263" s="227" t="s">
        <v>794</v>
      </c>
      <c r="B4263" s="57"/>
      <c r="C4263" s="88">
        <f>14/31*C4264</f>
        <v>107833.97935483871</v>
      </c>
      <c r="D4263" s="88">
        <f>14/31*D4264</f>
        <v>46335.79096774193</v>
      </c>
      <c r="E4263" s="88">
        <f>14/31*E4264</f>
        <v>176475.72193548386</v>
      </c>
      <c r="F4263" s="88">
        <f>SUM(C4263:E4263)</f>
        <v>330645.49225806451</v>
      </c>
      <c r="G4263" s="40"/>
    </row>
    <row r="4264" spans="1:7">
      <c r="A4264" s="77" t="s">
        <v>346</v>
      </c>
      <c r="B4264" s="82">
        <f>SUM(B4254:B4263)</f>
        <v>1152</v>
      </c>
      <c r="C4264" s="82">
        <f>238775.24</f>
        <v>238775.24</v>
      </c>
      <c r="D4264" s="82">
        <f>6156+33606.2+8552.28+38408.7+15877.5</f>
        <v>102600.68</v>
      </c>
      <c r="E4264" s="82">
        <v>390767.67</v>
      </c>
      <c r="F4264" s="82">
        <f>SUM(C4264:E4264)</f>
        <v>732143.59</v>
      </c>
      <c r="G4264" s="40"/>
    </row>
    <row r="4265" spans="1:7">
      <c r="A4265" s="151" t="s">
        <v>793</v>
      </c>
      <c r="B4265" s="84"/>
      <c r="C4265" s="84"/>
      <c r="D4265" s="84"/>
      <c r="E4265" s="84"/>
      <c r="F4265" s="84"/>
      <c r="G4265" s="90"/>
    </row>
    <row r="4266" spans="1:7">
      <c r="A4266" s="85"/>
      <c r="B4266" s="84"/>
      <c r="C4266" s="84"/>
      <c r="D4266" s="84"/>
      <c r="E4266" s="84"/>
      <c r="F4266" s="84"/>
      <c r="G4266" s="90"/>
    </row>
    <row r="4267" spans="1:7">
      <c r="A4267" s="91"/>
      <c r="B4267" s="84"/>
      <c r="C4267" s="84"/>
      <c r="D4267" s="84"/>
      <c r="E4267" s="84"/>
      <c r="F4267" s="84"/>
      <c r="G4267" s="90"/>
    </row>
    <row r="4268" spans="1:7">
      <c r="A4268" s="91"/>
      <c r="B4268" s="84"/>
      <c r="C4268" s="84"/>
      <c r="D4268" s="84"/>
      <c r="E4268" s="84"/>
      <c r="F4268" s="84"/>
      <c r="G4268" s="40"/>
    </row>
    <row r="4269" spans="1:7">
      <c r="A4269" s="83"/>
      <c r="B4269" s="92"/>
      <c r="C4269" s="92"/>
      <c r="D4269" s="92"/>
      <c r="E4269" s="92"/>
      <c r="F4269" s="92"/>
      <c r="G4269" s="40"/>
    </row>
    <row r="4270" spans="1:7">
      <c r="A4270" s="77" t="s">
        <v>782</v>
      </c>
      <c r="B4270" s="43" t="s">
        <v>87</v>
      </c>
      <c r="C4270" s="78" t="s">
        <v>338</v>
      </c>
      <c r="D4270" s="78" t="s">
        <v>339</v>
      </c>
      <c r="E4270" s="78" t="s">
        <v>340</v>
      </c>
      <c r="F4270" s="78" t="s">
        <v>341</v>
      </c>
      <c r="G4270" s="40"/>
    </row>
    <row r="4271" spans="1:7" hidden="1">
      <c r="A4271" s="80" t="s">
        <v>361</v>
      </c>
      <c r="B4271" s="93"/>
      <c r="C4271" s="94"/>
      <c r="D4271" s="94"/>
      <c r="E4271" s="94"/>
      <c r="F4271" s="94"/>
      <c r="G4271" s="40"/>
    </row>
    <row r="4272" spans="1:7">
      <c r="A4272" s="80" t="s">
        <v>362</v>
      </c>
      <c r="B4272" s="93">
        <f>48*48</f>
        <v>2304</v>
      </c>
      <c r="C4272" s="204">
        <f>B4272/B$4282*C$4282</f>
        <v>65479.2679245283</v>
      </c>
      <c r="D4272" s="204">
        <f>B4272/B$4282*D$4282</f>
        <v>16504.306415094339</v>
      </c>
      <c r="E4272" s="204">
        <f>B4272/B$4282*E$4282</f>
        <v>28467.024905660379</v>
      </c>
      <c r="F4272" s="94">
        <f>SUM(C4272:E4272)</f>
        <v>110450.59924528301</v>
      </c>
      <c r="G4272" s="40"/>
    </row>
    <row r="4273" spans="1:7">
      <c r="A4273" s="80" t="s">
        <v>363</v>
      </c>
      <c r="B4273" s="93">
        <f>48*48</f>
        <v>2304</v>
      </c>
      <c r="C4273" s="204">
        <f t="shared" ref="C4273:C4280" si="429">B4273/B$4282*C$4282</f>
        <v>65479.2679245283</v>
      </c>
      <c r="D4273" s="204">
        <f t="shared" ref="D4273:D4280" si="430">B4273/B$4282*D$4282</f>
        <v>16504.306415094339</v>
      </c>
      <c r="E4273" s="204">
        <f t="shared" ref="E4273:E4280" si="431">B4273/B$4282*E$4282</f>
        <v>28467.024905660379</v>
      </c>
      <c r="F4273" s="94">
        <f t="shared" ref="F4273:F4280" si="432">SUM(C4273:E4273)</f>
        <v>110450.59924528301</v>
      </c>
      <c r="G4273" s="40"/>
    </row>
    <row r="4274" spans="1:7" hidden="1">
      <c r="A4274" s="80" t="s">
        <v>364</v>
      </c>
      <c r="B4274" s="93"/>
      <c r="C4274" s="94">
        <f t="shared" si="429"/>
        <v>0</v>
      </c>
      <c r="D4274" s="94">
        <f t="shared" si="430"/>
        <v>0</v>
      </c>
      <c r="E4274" s="94">
        <f t="shared" si="431"/>
        <v>0</v>
      </c>
      <c r="F4274" s="94">
        <f t="shared" si="432"/>
        <v>0</v>
      </c>
      <c r="G4274" s="40"/>
    </row>
    <row r="4275" spans="1:7">
      <c r="A4275" s="203" t="s">
        <v>798</v>
      </c>
      <c r="B4275" s="93">
        <f>23*12</f>
        <v>276</v>
      </c>
      <c r="C4275" s="94">
        <f t="shared" si="429"/>
        <v>7843.8706367924524</v>
      </c>
      <c r="D4275" s="94">
        <f t="shared" si="430"/>
        <v>1977.0783726415095</v>
      </c>
      <c r="E4275" s="94">
        <f t="shared" si="431"/>
        <v>3410.1123584905663</v>
      </c>
      <c r="F4275" s="94">
        <f t="shared" si="432"/>
        <v>13231.061367924529</v>
      </c>
      <c r="G4275" s="40"/>
    </row>
    <row r="4276" spans="1:7">
      <c r="A4276" s="203" t="s">
        <v>799</v>
      </c>
      <c r="B4276" s="93">
        <f>10*12</f>
        <v>120</v>
      </c>
      <c r="C4276" s="94">
        <f t="shared" si="429"/>
        <v>3410.378537735849</v>
      </c>
      <c r="D4276" s="94">
        <f t="shared" si="430"/>
        <v>859.59929245283035</v>
      </c>
      <c r="E4276" s="94">
        <f t="shared" si="431"/>
        <v>1482.6575471698113</v>
      </c>
      <c r="F4276" s="94">
        <f t="shared" si="432"/>
        <v>5752.6353773584906</v>
      </c>
      <c r="G4276" s="40"/>
    </row>
    <row r="4277" spans="1:7">
      <c r="A4277" s="203" t="s">
        <v>800</v>
      </c>
      <c r="B4277" s="93">
        <f>6*12</f>
        <v>72</v>
      </c>
      <c r="C4277" s="94">
        <f t="shared" si="429"/>
        <v>2046.2271226415094</v>
      </c>
      <c r="D4277" s="94">
        <f t="shared" si="430"/>
        <v>515.7595754716981</v>
      </c>
      <c r="E4277" s="94">
        <f t="shared" si="431"/>
        <v>889.59452830188684</v>
      </c>
      <c r="F4277" s="94">
        <f t="shared" si="432"/>
        <v>3451.5812264150941</v>
      </c>
      <c r="G4277" s="40"/>
    </row>
    <row r="4278" spans="1:7" hidden="1">
      <c r="A4278" s="80" t="s">
        <v>368</v>
      </c>
      <c r="B4278" s="40"/>
      <c r="C4278" s="94">
        <f t="shared" si="429"/>
        <v>0</v>
      </c>
      <c r="D4278" s="94">
        <f t="shared" si="430"/>
        <v>0</v>
      </c>
      <c r="E4278" s="94">
        <f t="shared" si="431"/>
        <v>0</v>
      </c>
      <c r="F4278" s="94">
        <f t="shared" si="432"/>
        <v>0</v>
      </c>
      <c r="G4278" s="40"/>
    </row>
    <row r="4279" spans="1:7" hidden="1">
      <c r="A4279" s="80" t="s">
        <v>369</v>
      </c>
      <c r="B4279" s="93"/>
      <c r="C4279" s="94">
        <f t="shared" si="429"/>
        <v>0</v>
      </c>
      <c r="D4279" s="94">
        <f t="shared" si="430"/>
        <v>0</v>
      </c>
      <c r="E4279" s="94">
        <f t="shared" si="431"/>
        <v>0</v>
      </c>
      <c r="F4279" s="94">
        <f t="shared" si="432"/>
        <v>0</v>
      </c>
      <c r="G4279" s="40"/>
    </row>
    <row r="4280" spans="1:7">
      <c r="A4280" s="203" t="s">
        <v>801</v>
      </c>
      <c r="B4280" s="93">
        <f>1*12</f>
        <v>12</v>
      </c>
      <c r="C4280" s="94">
        <f t="shared" si="429"/>
        <v>341.03785377358486</v>
      </c>
      <c r="D4280" s="94">
        <f t="shared" si="430"/>
        <v>85.959929245283021</v>
      </c>
      <c r="E4280" s="94">
        <f t="shared" si="431"/>
        <v>148.26575471698112</v>
      </c>
      <c r="F4280" s="94">
        <f t="shared" si="432"/>
        <v>575.26353773584901</v>
      </c>
      <c r="G4280" s="40"/>
    </row>
    <row r="4281" spans="1:7" hidden="1">
      <c r="A4281" s="80" t="s">
        <v>524</v>
      </c>
      <c r="B4281" s="93"/>
      <c r="C4281" s="94"/>
      <c r="D4281" s="94"/>
      <c r="E4281" s="94"/>
      <c r="F4281" s="94"/>
      <c r="G4281" s="40"/>
    </row>
    <row r="4282" spans="1:7">
      <c r="A4282" s="77" t="s">
        <v>346</v>
      </c>
      <c r="B4282" s="95">
        <f>SUM(B4271:B4281)</f>
        <v>5088</v>
      </c>
      <c r="C4282" s="96">
        <v>144600.04999999999</v>
      </c>
      <c r="D4282" s="96">
        <f>12385.2+3300.81+17126.6+3634.4</f>
        <v>36447.01</v>
      </c>
      <c r="E4282" s="96">
        <f>62864.68</f>
        <v>62864.68</v>
      </c>
      <c r="F4282" s="97">
        <f>SUM(C4282:E4282)</f>
        <v>243911.74</v>
      </c>
      <c r="G4282" s="40"/>
    </row>
    <row r="4283" spans="1:7">
      <c r="A4283" s="140" t="s">
        <v>797</v>
      </c>
      <c r="B4283" s="99"/>
      <c r="C4283" s="100"/>
      <c r="D4283" s="100"/>
      <c r="E4283" s="100"/>
      <c r="F4283" s="100"/>
      <c r="G4283" s="40"/>
    </row>
    <row r="4284" spans="1:7">
      <c r="A4284" s="140" t="s">
        <v>802</v>
      </c>
      <c r="B4284" s="99"/>
      <c r="C4284" s="100"/>
      <c r="D4284" s="100"/>
      <c r="E4284" s="100"/>
      <c r="F4284" s="100"/>
      <c r="G4284" s="40"/>
    </row>
    <row r="4285" spans="1:7">
      <c r="A4285" s="98"/>
      <c r="B4285" s="99"/>
      <c r="C4285" s="100"/>
      <c r="D4285" s="115"/>
      <c r="E4285" s="115"/>
      <c r="F4285" s="100"/>
      <c r="G4285" s="40"/>
    </row>
    <row r="4286" spans="1:7">
      <c r="A4286" s="101"/>
      <c r="B4286" s="92"/>
      <c r="C4286" s="92"/>
      <c r="D4286" s="115"/>
      <c r="E4286" s="116"/>
      <c r="F4286" s="92"/>
      <c r="G4286" s="40"/>
    </row>
    <row r="4287" spans="1:7">
      <c r="A4287" s="101"/>
      <c r="B4287" s="92"/>
      <c r="C4287" s="92"/>
      <c r="D4287" s="92"/>
      <c r="E4287" s="92"/>
      <c r="F4287" s="92"/>
      <c r="G4287" s="40"/>
    </row>
    <row r="4288" spans="1:7">
      <c r="A4288" s="101"/>
      <c r="B4288" s="92"/>
      <c r="C4288" s="92"/>
      <c r="D4288" s="92"/>
      <c r="E4288" s="92"/>
      <c r="F4288" s="92"/>
      <c r="G4288" s="40"/>
    </row>
    <row r="4289" spans="1:7">
      <c r="A4289" s="77" t="s">
        <v>783</v>
      </c>
      <c r="B4289" s="43" t="s">
        <v>87</v>
      </c>
      <c r="C4289" s="78" t="s">
        <v>338</v>
      </c>
      <c r="D4289" s="78" t="s">
        <v>339</v>
      </c>
      <c r="E4289" s="78" t="s">
        <v>340</v>
      </c>
      <c r="F4289" s="78" t="s">
        <v>341</v>
      </c>
      <c r="G4289" s="40"/>
    </row>
    <row r="4290" spans="1:7" hidden="1">
      <c r="A4290" s="87" t="s">
        <v>449</v>
      </c>
      <c r="B4290" s="42"/>
      <c r="C4290" s="112"/>
      <c r="D4290" s="112"/>
      <c r="E4290" s="112"/>
      <c r="F4290" s="112"/>
      <c r="G4290" s="40"/>
    </row>
    <row r="4291" spans="1:7" hidden="1">
      <c r="A4291" s="87" t="s">
        <v>482</v>
      </c>
      <c r="B4291" s="42"/>
      <c r="C4291" s="112"/>
      <c r="D4291" s="112"/>
      <c r="E4291" s="112"/>
      <c r="F4291" s="112"/>
      <c r="G4291" s="40"/>
    </row>
    <row r="4292" spans="1:7" hidden="1">
      <c r="A4292" s="87" t="s">
        <v>451</v>
      </c>
      <c r="B4292" s="42"/>
      <c r="C4292" s="112"/>
      <c r="D4292" s="112"/>
      <c r="E4292" s="112"/>
      <c r="F4292" s="112"/>
      <c r="G4292" s="40"/>
    </row>
    <row r="4293" spans="1:7">
      <c r="A4293" s="87" t="s">
        <v>452</v>
      </c>
      <c r="B4293" s="42">
        <v>20.239999999999998</v>
      </c>
      <c r="C4293" s="112">
        <f>B4293/B$4304*C$4304</f>
        <v>32793.644640960396</v>
      </c>
      <c r="D4293" s="112">
        <f t="shared" ref="D4293:F4293" si="433">C4293/C$4304*D$4304</f>
        <v>35533.886559790531</v>
      </c>
      <c r="E4293" s="112">
        <f t="shared" si="433"/>
        <v>35497.614247955935</v>
      </c>
      <c r="F4293" s="112">
        <f t="shared" si="433"/>
        <v>103825.14544870685</v>
      </c>
      <c r="G4293" s="40"/>
    </row>
    <row r="4294" spans="1:7" hidden="1">
      <c r="A4294" s="87" t="s">
        <v>453</v>
      </c>
      <c r="B4294" s="42"/>
      <c r="C4294" s="112">
        <f t="shared" ref="C4294:F4294" si="434">B4294/B$4304*C$4304</f>
        <v>0</v>
      </c>
      <c r="D4294" s="112">
        <f t="shared" si="434"/>
        <v>0</v>
      </c>
      <c r="E4294" s="112">
        <f t="shared" si="434"/>
        <v>0</v>
      </c>
      <c r="F4294" s="112">
        <f t="shared" si="434"/>
        <v>0</v>
      </c>
      <c r="G4294" s="40"/>
    </row>
    <row r="4295" spans="1:7" hidden="1">
      <c r="A4295" s="87" t="s">
        <v>454</v>
      </c>
      <c r="B4295" s="184"/>
      <c r="C4295" s="112">
        <f t="shared" ref="C4295:F4295" si="435">B4295/B$4304*C$4304</f>
        <v>0</v>
      </c>
      <c r="D4295" s="112">
        <f t="shared" si="435"/>
        <v>0</v>
      </c>
      <c r="E4295" s="112">
        <f t="shared" si="435"/>
        <v>0</v>
      </c>
      <c r="F4295" s="112">
        <f t="shared" si="435"/>
        <v>0</v>
      </c>
      <c r="G4295" s="40"/>
    </row>
    <row r="4296" spans="1:7" hidden="1">
      <c r="A4296" s="87" t="s">
        <v>455</v>
      </c>
      <c r="B4296" s="42"/>
      <c r="C4296" s="112">
        <f t="shared" ref="C4296:F4296" si="436">B4296/B$4304*C$4304</f>
        <v>0</v>
      </c>
      <c r="D4296" s="112">
        <f t="shared" si="436"/>
        <v>0</v>
      </c>
      <c r="E4296" s="112">
        <f t="shared" si="436"/>
        <v>0</v>
      </c>
      <c r="F4296" s="112">
        <f t="shared" si="436"/>
        <v>0</v>
      </c>
      <c r="G4296" s="40"/>
    </row>
    <row r="4297" spans="1:7" hidden="1">
      <c r="A4297" s="87" t="s">
        <v>456</v>
      </c>
      <c r="B4297" s="93"/>
      <c r="C4297" s="112">
        <f t="shared" ref="C4297:F4297" si="437">B4297/B$4304*C$4304</f>
        <v>0</v>
      </c>
      <c r="D4297" s="112">
        <f t="shared" si="437"/>
        <v>0</v>
      </c>
      <c r="E4297" s="112">
        <f t="shared" si="437"/>
        <v>0</v>
      </c>
      <c r="F4297" s="112">
        <f t="shared" si="437"/>
        <v>0</v>
      </c>
      <c r="G4297" s="40"/>
    </row>
    <row r="4298" spans="1:7" hidden="1">
      <c r="A4298" s="87" t="s">
        <v>457</v>
      </c>
      <c r="B4298" s="93"/>
      <c r="C4298" s="112">
        <f t="shared" ref="C4298:F4298" si="438">B4298/B$4304*C$4304</f>
        <v>0</v>
      </c>
      <c r="D4298" s="112">
        <f t="shared" si="438"/>
        <v>0</v>
      </c>
      <c r="E4298" s="112">
        <f t="shared" si="438"/>
        <v>0</v>
      </c>
      <c r="F4298" s="112">
        <f t="shared" si="438"/>
        <v>0</v>
      </c>
      <c r="G4298" s="40"/>
    </row>
    <row r="4299" spans="1:7" hidden="1">
      <c r="A4299" s="87" t="s">
        <v>458</v>
      </c>
      <c r="B4299" s="93"/>
      <c r="C4299" s="112">
        <f t="shared" ref="C4299:F4299" si="439">B4299/B$4304*C$4304</f>
        <v>0</v>
      </c>
      <c r="D4299" s="112">
        <f t="shared" si="439"/>
        <v>0</v>
      </c>
      <c r="E4299" s="112">
        <f t="shared" si="439"/>
        <v>0</v>
      </c>
      <c r="F4299" s="112">
        <f t="shared" si="439"/>
        <v>0</v>
      </c>
      <c r="G4299" s="40"/>
    </row>
    <row r="4300" spans="1:7" hidden="1">
      <c r="A4300" s="111" t="s">
        <v>480</v>
      </c>
      <c r="B4300" s="93"/>
      <c r="C4300" s="112">
        <f t="shared" ref="C4300:F4300" si="440">B4300/B$4304*C$4304</f>
        <v>0</v>
      </c>
      <c r="D4300" s="112">
        <f t="shared" si="440"/>
        <v>0</v>
      </c>
      <c r="E4300" s="112">
        <f t="shared" si="440"/>
        <v>0</v>
      </c>
      <c r="F4300" s="112">
        <f t="shared" si="440"/>
        <v>0</v>
      </c>
      <c r="G4300" s="40"/>
    </row>
    <row r="4301" spans="1:7">
      <c r="A4301" s="111" t="s">
        <v>751</v>
      </c>
      <c r="B4301" s="93">
        <f>5.4</f>
        <v>5.4</v>
      </c>
      <c r="C4301" s="112">
        <f t="shared" ref="C4301:F4301" si="441">B4301/B$4304*C$4304</f>
        <v>8749.2925425487228</v>
      </c>
      <c r="D4301" s="112">
        <f t="shared" si="441"/>
        <v>9480.3847540943116</v>
      </c>
      <c r="E4301" s="112">
        <f t="shared" si="441"/>
        <v>9470.7073586443694</v>
      </c>
      <c r="F4301" s="112">
        <f t="shared" si="441"/>
        <v>27700.384655287402</v>
      </c>
      <c r="G4301" s="40"/>
    </row>
    <row r="4302" spans="1:7">
      <c r="A4302" s="111" t="s">
        <v>752</v>
      </c>
      <c r="B4302" s="93">
        <v>14.843</v>
      </c>
      <c r="C4302" s="112">
        <f t="shared" ref="C4302:F4302" si="442">B4302/B$4304*C$4304</f>
        <v>24049.212816490868</v>
      </c>
      <c r="D4302" s="112">
        <f t="shared" si="442"/>
        <v>26058.76868611516</v>
      </c>
      <c r="E4302" s="112">
        <f t="shared" si="442"/>
        <v>26032.168393399697</v>
      </c>
      <c r="F4302" s="112">
        <f t="shared" si="442"/>
        <v>76140.149896005722</v>
      </c>
      <c r="G4302" s="40"/>
    </row>
    <row r="4303" spans="1:7" hidden="1">
      <c r="A4303" s="111"/>
      <c r="B4303" s="93"/>
      <c r="C4303" s="112"/>
      <c r="D4303" s="112"/>
      <c r="E4303" s="112"/>
      <c r="F4303" s="112"/>
      <c r="G4303" s="40"/>
    </row>
    <row r="4304" spans="1:7">
      <c r="A4304" s="77" t="s">
        <v>346</v>
      </c>
      <c r="B4304" s="95">
        <f>SUM(B4293:B4302)</f>
        <v>40.483000000000004</v>
      </c>
      <c r="C4304" s="108">
        <f>65592.15</f>
        <v>65592.149999999994</v>
      </c>
      <c r="D4304" s="108">
        <f>3844.8+1054.04+28692.2+37482</f>
        <v>71073.040000000008</v>
      </c>
      <c r="E4304" s="108">
        <f>71000.49</f>
        <v>71000.490000000005</v>
      </c>
      <c r="F4304" s="207">
        <f>SUM(C4304:E4304)</f>
        <v>207665.68</v>
      </c>
      <c r="G4304" s="40"/>
    </row>
    <row r="4305" spans="1:7">
      <c r="A4305" s="151" t="s">
        <v>804</v>
      </c>
      <c r="B4305" s="235"/>
      <c r="C4305" s="236"/>
      <c r="D4305" s="236"/>
      <c r="E4305" s="236"/>
      <c r="F4305" s="236"/>
      <c r="G4305" s="90"/>
    </row>
    <row r="4306" spans="1:7">
      <c r="A4306" s="151"/>
      <c r="B4306" s="235"/>
      <c r="C4306" s="236"/>
      <c r="D4306" s="236"/>
      <c r="E4306" s="236"/>
      <c r="F4306" s="236"/>
      <c r="G4306" s="90"/>
    </row>
    <row r="4307" spans="1:7">
      <c r="A4307" s="151"/>
      <c r="B4307" s="235"/>
      <c r="C4307" s="236"/>
      <c r="D4307" s="236"/>
      <c r="E4307" s="236"/>
      <c r="F4307" s="236"/>
      <c r="G4307" s="90"/>
    </row>
    <row r="4308" spans="1:7">
      <c r="A4308" s="269" t="s">
        <v>784</v>
      </c>
      <c r="B4308" s="269"/>
      <c r="C4308" s="269"/>
      <c r="D4308" s="269"/>
      <c r="E4308" s="269"/>
      <c r="F4308" s="269"/>
      <c r="G4308" s="90"/>
    </row>
    <row r="4309" spans="1:7">
      <c r="A4309" s="42" t="s">
        <v>86</v>
      </c>
      <c r="B4309" s="43" t="s">
        <v>87</v>
      </c>
      <c r="C4309" s="43" t="s">
        <v>88</v>
      </c>
      <c r="D4309" s="43" t="s">
        <v>89</v>
      </c>
      <c r="E4309" s="43" t="s">
        <v>90</v>
      </c>
      <c r="F4309" s="43" t="s">
        <v>91</v>
      </c>
      <c r="G4309" s="90"/>
    </row>
    <row r="4310" spans="1:7">
      <c r="A4310" s="39" t="s">
        <v>284</v>
      </c>
      <c r="B4310" s="43">
        <v>67</v>
      </c>
      <c r="C4310" s="66">
        <f>B4310/B$4380*C$4380</f>
        <v>80615.675508021392</v>
      </c>
      <c r="D4310" s="66">
        <f t="shared" ref="D4310:F4310" si="443">C4310/C$4380*D$4380</f>
        <v>121443.67689839573</v>
      </c>
      <c r="E4310" s="66">
        <f t="shared" si="443"/>
        <v>54345.080606060605</v>
      </c>
      <c r="F4310" s="44">
        <f t="shared" si="443"/>
        <v>256404.43301247776</v>
      </c>
      <c r="G4310" s="116"/>
    </row>
    <row r="4311" spans="1:7" hidden="1">
      <c r="A4311" s="39" t="s">
        <v>285</v>
      </c>
      <c r="B4311" s="43"/>
      <c r="C4311" s="44">
        <f t="shared" ref="C4311:F4311" si="444">B4311/B$4380*C$4380</f>
        <v>0</v>
      </c>
      <c r="D4311" s="44">
        <f t="shared" si="444"/>
        <v>0</v>
      </c>
      <c r="E4311" s="44">
        <f t="shared" si="444"/>
        <v>0</v>
      </c>
      <c r="F4311" s="44">
        <f t="shared" si="444"/>
        <v>0</v>
      </c>
    </row>
    <row r="4312" spans="1:7" hidden="1">
      <c r="A4312" s="39" t="s">
        <v>286</v>
      </c>
      <c r="B4312" s="43"/>
      <c r="C4312" s="44">
        <f t="shared" ref="C4312:F4312" si="445">B4312/B$4380*C$4380</f>
        <v>0</v>
      </c>
      <c r="D4312" s="44">
        <f t="shared" si="445"/>
        <v>0</v>
      </c>
      <c r="E4312" s="44">
        <f t="shared" si="445"/>
        <v>0</v>
      </c>
      <c r="F4312" s="44">
        <f t="shared" si="445"/>
        <v>0</v>
      </c>
    </row>
    <row r="4313" spans="1:7">
      <c r="A4313" s="39" t="s">
        <v>806</v>
      </c>
      <c r="B4313" s="43">
        <v>19.5</v>
      </c>
      <c r="C4313" s="66">
        <f t="shared" ref="C4313:F4313" si="446">B4313/B$4380*C$4380</f>
        <v>23462.771229946524</v>
      </c>
      <c r="D4313" s="66">
        <f t="shared" si="446"/>
        <v>35345.547754010695</v>
      </c>
      <c r="E4313" s="66">
        <f t="shared" si="446"/>
        <v>15816.851818181818</v>
      </c>
      <c r="F4313" s="44">
        <f t="shared" si="446"/>
        <v>74625.170802139051</v>
      </c>
    </row>
    <row r="4314" spans="1:7" hidden="1">
      <c r="A4314" s="39" t="s">
        <v>288</v>
      </c>
      <c r="B4314" s="43"/>
      <c r="C4314" s="44">
        <f t="shared" ref="C4314:F4314" si="447">B4314/B$4380*C$4380</f>
        <v>0</v>
      </c>
      <c r="D4314" s="44">
        <f t="shared" si="447"/>
        <v>0</v>
      </c>
      <c r="E4314" s="44">
        <f t="shared" si="447"/>
        <v>0</v>
      </c>
      <c r="F4314" s="44">
        <f t="shared" si="447"/>
        <v>0</v>
      </c>
    </row>
    <row r="4315" spans="1:7" hidden="1">
      <c r="A4315" s="39" t="s">
        <v>289</v>
      </c>
      <c r="B4315" s="43"/>
      <c r="C4315" s="44">
        <f t="shared" ref="C4315:F4315" si="448">B4315/B$4380*C$4380</f>
        <v>0</v>
      </c>
      <c r="D4315" s="44">
        <f t="shared" si="448"/>
        <v>0</v>
      </c>
      <c r="E4315" s="44">
        <f t="shared" si="448"/>
        <v>0</v>
      </c>
      <c r="F4315" s="44">
        <f t="shared" si="448"/>
        <v>0</v>
      </c>
    </row>
    <row r="4316" spans="1:7" hidden="1">
      <c r="A4316" s="39" t="s">
        <v>290</v>
      </c>
      <c r="B4316" s="43"/>
      <c r="C4316" s="44">
        <f t="shared" ref="C4316:F4316" si="449">B4316/B$4380*C$4380</f>
        <v>0</v>
      </c>
      <c r="D4316" s="44">
        <f t="shared" si="449"/>
        <v>0</v>
      </c>
      <c r="E4316" s="44">
        <f t="shared" si="449"/>
        <v>0</v>
      </c>
      <c r="F4316" s="44">
        <f t="shared" si="449"/>
        <v>0</v>
      </c>
    </row>
    <row r="4317" spans="1:7" hidden="1">
      <c r="A4317" s="39" t="s">
        <v>291</v>
      </c>
      <c r="B4317" s="43"/>
      <c r="C4317" s="44">
        <f t="shared" ref="C4317:F4317" si="450">B4317/B$4380*C$4380</f>
        <v>0</v>
      </c>
      <c r="D4317" s="44">
        <f t="shared" si="450"/>
        <v>0</v>
      </c>
      <c r="E4317" s="44">
        <f t="shared" si="450"/>
        <v>0</v>
      </c>
      <c r="F4317" s="44">
        <f t="shared" si="450"/>
        <v>0</v>
      </c>
    </row>
    <row r="4318" spans="1:7" hidden="1">
      <c r="A4318" s="39" t="s">
        <v>292</v>
      </c>
      <c r="B4318" s="43"/>
      <c r="C4318" s="44">
        <f t="shared" ref="C4318:F4318" si="451">B4318/B$4380*C$4380</f>
        <v>0</v>
      </c>
      <c r="D4318" s="44">
        <f t="shared" si="451"/>
        <v>0</v>
      </c>
      <c r="E4318" s="44">
        <f t="shared" si="451"/>
        <v>0</v>
      </c>
      <c r="F4318" s="44">
        <f t="shared" si="451"/>
        <v>0</v>
      </c>
    </row>
    <row r="4319" spans="1:7" hidden="1">
      <c r="A4319" s="39" t="s">
        <v>293</v>
      </c>
      <c r="B4319" s="43"/>
      <c r="C4319" s="44">
        <f t="shared" ref="C4319:F4319" si="452">B4319/B$4380*C$4380</f>
        <v>0</v>
      </c>
      <c r="D4319" s="44">
        <f t="shared" si="452"/>
        <v>0</v>
      </c>
      <c r="E4319" s="44">
        <f t="shared" si="452"/>
        <v>0</v>
      </c>
      <c r="F4319" s="44">
        <f t="shared" si="452"/>
        <v>0</v>
      </c>
    </row>
    <row r="4320" spans="1:7" hidden="1">
      <c r="A4320" s="39" t="s">
        <v>30</v>
      </c>
      <c r="B4320" s="45"/>
      <c r="C4320" s="44">
        <f t="shared" ref="C4320:F4320" si="453">B4320/B$4380*C$4380</f>
        <v>0</v>
      </c>
      <c r="D4320" s="44">
        <f t="shared" si="453"/>
        <v>0</v>
      </c>
      <c r="E4320" s="44">
        <f t="shared" si="453"/>
        <v>0</v>
      </c>
      <c r="F4320" s="44">
        <f t="shared" si="453"/>
        <v>0</v>
      </c>
    </row>
    <row r="4321" spans="1:6">
      <c r="A4321" s="39" t="s">
        <v>809</v>
      </c>
      <c r="B4321" s="43">
        <v>19</v>
      </c>
      <c r="C4321" s="66">
        <f t="shared" ref="C4321:F4321" si="454">B4321/B$4380*C$4380</f>
        <v>22861.161711229946</v>
      </c>
      <c r="D4321" s="66">
        <f t="shared" si="454"/>
        <v>34439.251657754015</v>
      </c>
      <c r="E4321" s="66">
        <f t="shared" si="454"/>
        <v>15411.291515151514</v>
      </c>
      <c r="F4321" s="44">
        <f t="shared" si="454"/>
        <v>72711.704884135484</v>
      </c>
    </row>
    <row r="4322" spans="1:6" hidden="1">
      <c r="A4322" s="39" t="s">
        <v>754</v>
      </c>
      <c r="B4322" s="43"/>
      <c r="C4322" s="44">
        <f t="shared" ref="C4322:F4322" si="455">B4322/B$4380*C$4380</f>
        <v>0</v>
      </c>
      <c r="D4322" s="44">
        <f t="shared" si="455"/>
        <v>0</v>
      </c>
      <c r="E4322" s="44">
        <f t="shared" si="455"/>
        <v>0</v>
      </c>
      <c r="F4322" s="44">
        <f t="shared" si="455"/>
        <v>0</v>
      </c>
    </row>
    <row r="4323" spans="1:6" hidden="1">
      <c r="A4323" s="39" t="s">
        <v>295</v>
      </c>
      <c r="B4323" s="43"/>
      <c r="C4323" s="44">
        <f t="shared" ref="C4323:F4323" si="456">B4323/B$4380*C$4380</f>
        <v>0</v>
      </c>
      <c r="D4323" s="44">
        <f t="shared" si="456"/>
        <v>0</v>
      </c>
      <c r="E4323" s="44">
        <f t="shared" si="456"/>
        <v>0</v>
      </c>
      <c r="F4323" s="44">
        <f t="shared" si="456"/>
        <v>0</v>
      </c>
    </row>
    <row r="4324" spans="1:6" hidden="1">
      <c r="A4324" s="39" t="s">
        <v>647</v>
      </c>
      <c r="B4324" s="41"/>
      <c r="C4324" s="44">
        <f t="shared" ref="C4324:F4324" si="457">B4324/B$4380*C$4380</f>
        <v>0</v>
      </c>
      <c r="D4324" s="44">
        <f t="shared" si="457"/>
        <v>0</v>
      </c>
      <c r="E4324" s="44">
        <f t="shared" si="457"/>
        <v>0</v>
      </c>
      <c r="F4324" s="44">
        <f t="shared" si="457"/>
        <v>0</v>
      </c>
    </row>
    <row r="4325" spans="1:6" hidden="1">
      <c r="A4325" s="39" t="s">
        <v>297</v>
      </c>
      <c r="B4325" s="43"/>
      <c r="C4325" s="44">
        <f t="shared" ref="C4325:F4325" si="458">B4325/B$4380*C$4380</f>
        <v>0</v>
      </c>
      <c r="D4325" s="44">
        <f t="shared" si="458"/>
        <v>0</v>
      </c>
      <c r="E4325" s="44">
        <f t="shared" si="458"/>
        <v>0</v>
      </c>
      <c r="F4325" s="44">
        <f t="shared" si="458"/>
        <v>0</v>
      </c>
    </row>
    <row r="4326" spans="1:6" hidden="1">
      <c r="A4326" s="39" t="s">
        <v>755</v>
      </c>
      <c r="B4326" s="43"/>
      <c r="C4326" s="44">
        <f t="shared" ref="C4326:F4326" si="459">B4326/B$4380*C$4380</f>
        <v>0</v>
      </c>
      <c r="D4326" s="44">
        <f t="shared" si="459"/>
        <v>0</v>
      </c>
      <c r="E4326" s="44">
        <f t="shared" si="459"/>
        <v>0</v>
      </c>
      <c r="F4326" s="44">
        <f t="shared" si="459"/>
        <v>0</v>
      </c>
    </row>
    <row r="4327" spans="1:6">
      <c r="A4327" s="39" t="s">
        <v>757</v>
      </c>
      <c r="B4327" s="43">
        <v>21</v>
      </c>
      <c r="C4327" s="66">
        <f t="shared" ref="C4327:F4327" si="460">B4327/B$4380*C$4380</f>
        <v>25267.599786096256</v>
      </c>
      <c r="D4327" s="66">
        <f t="shared" si="460"/>
        <v>38064.436042780748</v>
      </c>
      <c r="E4327" s="66">
        <f t="shared" si="460"/>
        <v>17033.532727272726</v>
      </c>
      <c r="F4327" s="44">
        <f t="shared" si="460"/>
        <v>80365.568556149738</v>
      </c>
    </row>
    <row r="4328" spans="1:6" hidden="1">
      <c r="A4328" s="39" t="s">
        <v>756</v>
      </c>
      <c r="B4328" s="45"/>
      <c r="C4328" s="44">
        <f t="shared" ref="C4328:F4328" si="461">B4328/B$4380*C$4380</f>
        <v>0</v>
      </c>
      <c r="D4328" s="44">
        <f t="shared" si="461"/>
        <v>0</v>
      </c>
      <c r="E4328" s="44">
        <f t="shared" si="461"/>
        <v>0</v>
      </c>
      <c r="F4328" s="44">
        <f t="shared" si="461"/>
        <v>0</v>
      </c>
    </row>
    <row r="4329" spans="1:6" hidden="1">
      <c r="A4329" s="39" t="s">
        <v>301</v>
      </c>
      <c r="B4329" s="43"/>
      <c r="C4329" s="44">
        <f t="shared" ref="C4329:F4329" si="462">B4329/B$4380*C$4380</f>
        <v>0</v>
      </c>
      <c r="D4329" s="44">
        <f t="shared" si="462"/>
        <v>0</v>
      </c>
      <c r="E4329" s="44">
        <f t="shared" si="462"/>
        <v>0</v>
      </c>
      <c r="F4329" s="44">
        <f t="shared" si="462"/>
        <v>0</v>
      </c>
    </row>
    <row r="4330" spans="1:6">
      <c r="A4330" s="39" t="s">
        <v>810</v>
      </c>
      <c r="B4330" s="43">
        <v>11</v>
      </c>
      <c r="C4330" s="66">
        <f t="shared" ref="C4330:F4330" si="463">B4330/B$4380*C$4380</f>
        <v>13235.409411764706</v>
      </c>
      <c r="D4330" s="66">
        <f t="shared" si="463"/>
        <v>19938.514117647061</v>
      </c>
      <c r="E4330" s="66">
        <f t="shared" si="463"/>
        <v>8922.3266666666659</v>
      </c>
      <c r="F4330" s="44">
        <f t="shared" si="463"/>
        <v>42096.250196078436</v>
      </c>
    </row>
    <row r="4331" spans="1:6">
      <c r="A4331" s="58" t="s">
        <v>811</v>
      </c>
      <c r="B4331" s="59">
        <v>10.5</v>
      </c>
      <c r="C4331" s="181">
        <f t="shared" ref="C4331:F4331" si="464">B4331/B$4380*C$4380</f>
        <v>12633.799893048128</v>
      </c>
      <c r="D4331" s="181">
        <f t="shared" si="464"/>
        <v>19032.218021390374</v>
      </c>
      <c r="E4331" s="181">
        <f t="shared" si="464"/>
        <v>8516.7663636363632</v>
      </c>
      <c r="F4331" s="181">
        <f t="shared" si="464"/>
        <v>40182.784278074869</v>
      </c>
    </row>
    <row r="4332" spans="1:6">
      <c r="A4332" s="39" t="s">
        <v>656</v>
      </c>
      <c r="B4332" s="45">
        <v>16.5</v>
      </c>
      <c r="C4332" s="66">
        <f t="shared" ref="C4332:F4332" si="465">B4332/B$4380*C$4380</f>
        <v>19853.114117647059</v>
      </c>
      <c r="D4332" s="66">
        <f t="shared" si="465"/>
        <v>29907.771176470589</v>
      </c>
      <c r="E4332" s="66">
        <f t="shared" si="465"/>
        <v>13383.49</v>
      </c>
      <c r="F4332" s="44">
        <f t="shared" si="465"/>
        <v>63144.37529411765</v>
      </c>
    </row>
    <row r="4333" spans="1:6" hidden="1">
      <c r="A4333" s="39" t="s">
        <v>656</v>
      </c>
      <c r="B4333" s="45"/>
      <c r="C4333" s="44">
        <f t="shared" ref="C4333:F4333" si="466">B4333/B$4380*C$4380</f>
        <v>0</v>
      </c>
      <c r="D4333" s="44">
        <f t="shared" si="466"/>
        <v>0</v>
      </c>
      <c r="E4333" s="44">
        <f t="shared" si="466"/>
        <v>0</v>
      </c>
      <c r="F4333" s="44">
        <f t="shared" si="466"/>
        <v>0</v>
      </c>
    </row>
    <row r="4334" spans="1:6">
      <c r="A4334" s="39" t="s">
        <v>758</v>
      </c>
      <c r="B4334" s="45">
        <v>5</v>
      </c>
      <c r="C4334" s="66">
        <f t="shared" ref="C4334:F4334" si="467">B4334/B$4380*C$4380</f>
        <v>6016.0951871657753</v>
      </c>
      <c r="D4334" s="66">
        <f t="shared" si="467"/>
        <v>9062.9609625668454</v>
      </c>
      <c r="E4334" s="66">
        <f t="shared" si="467"/>
        <v>4055.6030303030302</v>
      </c>
      <c r="F4334" s="44">
        <f t="shared" si="467"/>
        <v>19134.659180035655</v>
      </c>
    </row>
    <row r="4335" spans="1:6" hidden="1">
      <c r="A4335" s="39" t="s">
        <v>758</v>
      </c>
      <c r="B4335" s="45"/>
      <c r="C4335" s="44">
        <f t="shared" ref="C4335:F4335" si="468">B4335/B$4380*C$4380</f>
        <v>0</v>
      </c>
      <c r="D4335" s="44">
        <f t="shared" si="468"/>
        <v>0</v>
      </c>
      <c r="E4335" s="44">
        <f t="shared" si="468"/>
        <v>0</v>
      </c>
      <c r="F4335" s="44">
        <f t="shared" si="468"/>
        <v>0</v>
      </c>
    </row>
    <row r="4336" spans="1:6" hidden="1">
      <c r="A4336" s="39" t="s">
        <v>532</v>
      </c>
      <c r="B4336" s="43"/>
      <c r="C4336" s="44">
        <f t="shared" ref="C4336:F4336" si="469">B4336/B$4380*C$4380</f>
        <v>0</v>
      </c>
      <c r="D4336" s="44">
        <f t="shared" si="469"/>
        <v>0</v>
      </c>
      <c r="E4336" s="44">
        <f t="shared" si="469"/>
        <v>0</v>
      </c>
      <c r="F4336" s="44">
        <f t="shared" si="469"/>
        <v>0</v>
      </c>
    </row>
    <row r="4337" spans="1:6" hidden="1">
      <c r="A4337" s="39" t="s">
        <v>304</v>
      </c>
      <c r="B4337" s="43"/>
      <c r="C4337" s="44">
        <f t="shared" ref="C4337:F4337" si="470">B4337/B$4380*C$4380</f>
        <v>0</v>
      </c>
      <c r="D4337" s="44">
        <f t="shared" si="470"/>
        <v>0</v>
      </c>
      <c r="E4337" s="44">
        <f t="shared" si="470"/>
        <v>0</v>
      </c>
      <c r="F4337" s="44">
        <f t="shared" si="470"/>
        <v>0</v>
      </c>
    </row>
    <row r="4338" spans="1:6">
      <c r="A4338" s="39" t="s">
        <v>808</v>
      </c>
      <c r="B4338" s="43">
        <v>6</v>
      </c>
      <c r="C4338" s="66">
        <f t="shared" ref="C4338:F4338" si="471">B4338/B$4380*C$4380</f>
        <v>7219.3142245989302</v>
      </c>
      <c r="D4338" s="66">
        <f t="shared" si="471"/>
        <v>10875.553155080213</v>
      </c>
      <c r="E4338" s="66">
        <f t="shared" si="471"/>
        <v>4866.7236363636357</v>
      </c>
      <c r="F4338" s="44">
        <f t="shared" si="471"/>
        <v>22961.591016042781</v>
      </c>
    </row>
    <row r="4339" spans="1:6" hidden="1">
      <c r="A4339" s="39" t="s">
        <v>35</v>
      </c>
      <c r="B4339" s="43"/>
      <c r="C4339" s="44">
        <f t="shared" ref="C4339:F4339" si="472">B4339/B$4380*C$4380</f>
        <v>0</v>
      </c>
      <c r="D4339" s="44">
        <f t="shared" si="472"/>
        <v>0</v>
      </c>
      <c r="E4339" s="44">
        <f t="shared" si="472"/>
        <v>0</v>
      </c>
      <c r="F4339" s="44">
        <f t="shared" si="472"/>
        <v>0</v>
      </c>
    </row>
    <row r="4340" spans="1:6">
      <c r="A4340" s="39" t="s">
        <v>812</v>
      </c>
      <c r="B4340" s="43">
        <v>9.5</v>
      </c>
      <c r="C4340" s="66">
        <f t="shared" ref="C4340:F4340" si="473">B4340/B$4380*C$4380</f>
        <v>11430.580855614973</v>
      </c>
      <c r="D4340" s="66">
        <f t="shared" si="473"/>
        <v>17219.625828877008</v>
      </c>
      <c r="E4340" s="66">
        <f t="shared" si="473"/>
        <v>7705.6457575757568</v>
      </c>
      <c r="F4340" s="44">
        <f t="shared" si="473"/>
        <v>36355.852442067742</v>
      </c>
    </row>
    <row r="4341" spans="1:6" hidden="1">
      <c r="A4341" s="39" t="s">
        <v>306</v>
      </c>
      <c r="B4341" s="45"/>
      <c r="C4341" s="44">
        <f t="shared" ref="C4341:F4341" si="474">B4341/B$4380*C$4380</f>
        <v>0</v>
      </c>
      <c r="D4341" s="44">
        <f t="shared" si="474"/>
        <v>0</v>
      </c>
      <c r="E4341" s="44">
        <f t="shared" si="474"/>
        <v>0</v>
      </c>
      <c r="F4341" s="44">
        <f t="shared" si="474"/>
        <v>0</v>
      </c>
    </row>
    <row r="4342" spans="1:6">
      <c r="A4342" s="39" t="s">
        <v>807</v>
      </c>
      <c r="B4342" s="43">
        <v>52</v>
      </c>
      <c r="C4342" s="66">
        <f t="shared" ref="C4342:F4342" si="475">B4342/B$4380*C$4380</f>
        <v>62567.389946524068</v>
      </c>
      <c r="D4342" s="66">
        <f t="shared" si="475"/>
        <v>94254.794010695201</v>
      </c>
      <c r="E4342" s="66">
        <f t="shared" si="475"/>
        <v>42178.271515151515</v>
      </c>
      <c r="F4342" s="44">
        <f t="shared" si="475"/>
        <v>199000.45547237081</v>
      </c>
    </row>
    <row r="4343" spans="1:6" hidden="1">
      <c r="A4343" s="39" t="s">
        <v>37</v>
      </c>
      <c r="B4343" s="45"/>
      <c r="C4343" s="44">
        <f t="shared" ref="C4343:F4343" si="476">B4343/B$4380*C$4380</f>
        <v>0</v>
      </c>
      <c r="D4343" s="44">
        <f t="shared" si="476"/>
        <v>0</v>
      </c>
      <c r="E4343" s="44">
        <f t="shared" si="476"/>
        <v>0</v>
      </c>
      <c r="F4343" s="44">
        <f t="shared" si="476"/>
        <v>0</v>
      </c>
    </row>
    <row r="4344" spans="1:6" hidden="1">
      <c r="A4344" s="39" t="s">
        <v>760</v>
      </c>
      <c r="B4344" s="45"/>
      <c r="C4344" s="44">
        <f t="shared" ref="C4344:F4344" si="477">B4344/B$4380*C$4380</f>
        <v>0</v>
      </c>
      <c r="D4344" s="44">
        <f t="shared" si="477"/>
        <v>0</v>
      </c>
      <c r="E4344" s="44">
        <f t="shared" si="477"/>
        <v>0</v>
      </c>
      <c r="F4344" s="44">
        <f t="shared" si="477"/>
        <v>0</v>
      </c>
    </row>
    <row r="4345" spans="1:6" hidden="1">
      <c r="A4345" s="39" t="s">
        <v>690</v>
      </c>
      <c r="B4345" s="45"/>
      <c r="C4345" s="44">
        <f t="shared" ref="C4345:F4345" si="478">B4345/B$4380*C$4380</f>
        <v>0</v>
      </c>
      <c r="D4345" s="44">
        <f t="shared" si="478"/>
        <v>0</v>
      </c>
      <c r="E4345" s="44">
        <f t="shared" si="478"/>
        <v>0</v>
      </c>
      <c r="F4345" s="44">
        <f t="shared" si="478"/>
        <v>0</v>
      </c>
    </row>
    <row r="4346" spans="1:6" hidden="1">
      <c r="A4346" s="39" t="s">
        <v>761</v>
      </c>
      <c r="B4346" s="43"/>
      <c r="C4346" s="44">
        <f t="shared" ref="C4346:F4346" si="479">B4346/B$4380*C$4380</f>
        <v>0</v>
      </c>
      <c r="D4346" s="44">
        <f t="shared" si="479"/>
        <v>0</v>
      </c>
      <c r="E4346" s="44">
        <f t="shared" si="479"/>
        <v>0</v>
      </c>
      <c r="F4346" s="44">
        <f t="shared" si="479"/>
        <v>0</v>
      </c>
    </row>
    <row r="4347" spans="1:6" hidden="1">
      <c r="A4347" s="39" t="s">
        <v>307</v>
      </c>
      <c r="B4347" s="43"/>
      <c r="C4347" s="44">
        <f t="shared" ref="C4347:F4347" si="480">B4347/B$4380*C$4380</f>
        <v>0</v>
      </c>
      <c r="D4347" s="44">
        <f t="shared" si="480"/>
        <v>0</v>
      </c>
      <c r="E4347" s="44">
        <f t="shared" si="480"/>
        <v>0</v>
      </c>
      <c r="F4347" s="44">
        <f t="shared" si="480"/>
        <v>0</v>
      </c>
    </row>
    <row r="4348" spans="1:6" hidden="1">
      <c r="A4348" s="39" t="s">
        <v>308</v>
      </c>
      <c r="B4348" s="43"/>
      <c r="C4348" s="44">
        <f t="shared" ref="C4348:F4348" si="481">B4348/B$4380*C$4380</f>
        <v>0</v>
      </c>
      <c r="D4348" s="44">
        <f t="shared" si="481"/>
        <v>0</v>
      </c>
      <c r="E4348" s="44">
        <f t="shared" si="481"/>
        <v>0</v>
      </c>
      <c r="F4348" s="44">
        <f t="shared" si="481"/>
        <v>0</v>
      </c>
    </row>
    <row r="4349" spans="1:6" hidden="1">
      <c r="A4349" s="39" t="s">
        <v>762</v>
      </c>
      <c r="B4349" s="45"/>
      <c r="C4349" s="44">
        <f t="shared" ref="C4349:F4349" si="482">B4349/B$4380*C$4380</f>
        <v>0</v>
      </c>
      <c r="D4349" s="44">
        <f t="shared" si="482"/>
        <v>0</v>
      </c>
      <c r="E4349" s="44">
        <f t="shared" si="482"/>
        <v>0</v>
      </c>
      <c r="F4349" s="44">
        <f t="shared" si="482"/>
        <v>0</v>
      </c>
    </row>
    <row r="4350" spans="1:6" hidden="1">
      <c r="A4350" s="39" t="s">
        <v>40</v>
      </c>
      <c r="B4350" s="43"/>
      <c r="C4350" s="44">
        <f t="shared" ref="C4350:F4350" si="483">B4350/B$4380*C$4380</f>
        <v>0</v>
      </c>
      <c r="D4350" s="44">
        <f t="shared" si="483"/>
        <v>0</v>
      </c>
      <c r="E4350" s="44">
        <f t="shared" si="483"/>
        <v>0</v>
      </c>
      <c r="F4350" s="44">
        <f t="shared" si="483"/>
        <v>0</v>
      </c>
    </row>
    <row r="4351" spans="1:6" hidden="1">
      <c r="A4351" s="39" t="s">
        <v>648</v>
      </c>
      <c r="B4351" s="43"/>
      <c r="C4351" s="44">
        <f t="shared" ref="C4351:F4351" si="484">B4351/B$4380*C$4380</f>
        <v>0</v>
      </c>
      <c r="D4351" s="44">
        <f t="shared" si="484"/>
        <v>0</v>
      </c>
      <c r="E4351" s="44">
        <f t="shared" si="484"/>
        <v>0</v>
      </c>
      <c r="F4351" s="44">
        <f t="shared" si="484"/>
        <v>0</v>
      </c>
    </row>
    <row r="4352" spans="1:6" hidden="1">
      <c r="A4352" s="39" t="s">
        <v>309</v>
      </c>
      <c r="B4352" s="45"/>
      <c r="C4352" s="44">
        <f t="shared" ref="C4352:F4352" si="485">B4352/B$4380*C$4380</f>
        <v>0</v>
      </c>
      <c r="D4352" s="44">
        <f t="shared" si="485"/>
        <v>0</v>
      </c>
      <c r="E4352" s="44">
        <f t="shared" si="485"/>
        <v>0</v>
      </c>
      <c r="F4352" s="44">
        <f t="shared" si="485"/>
        <v>0</v>
      </c>
    </row>
    <row r="4353" spans="1:6" hidden="1">
      <c r="A4353" s="39" t="s">
        <v>310</v>
      </c>
      <c r="B4353" s="45"/>
      <c r="C4353" s="44">
        <f t="shared" ref="C4353:F4353" si="486">B4353/B$4380*C$4380</f>
        <v>0</v>
      </c>
      <c r="D4353" s="44">
        <f t="shared" si="486"/>
        <v>0</v>
      </c>
      <c r="E4353" s="44">
        <f t="shared" si="486"/>
        <v>0</v>
      </c>
      <c r="F4353" s="44">
        <f t="shared" si="486"/>
        <v>0</v>
      </c>
    </row>
    <row r="4354" spans="1:6" hidden="1">
      <c r="A4354" s="39" t="s">
        <v>311</v>
      </c>
      <c r="B4354" s="43"/>
      <c r="C4354" s="44">
        <f t="shared" ref="C4354:F4354" si="487">B4354/B$4380*C$4380</f>
        <v>0</v>
      </c>
      <c r="D4354" s="44">
        <f t="shared" si="487"/>
        <v>0</v>
      </c>
      <c r="E4354" s="44">
        <f t="shared" si="487"/>
        <v>0</v>
      </c>
      <c r="F4354" s="44">
        <f t="shared" si="487"/>
        <v>0</v>
      </c>
    </row>
    <row r="4355" spans="1:6" hidden="1">
      <c r="A4355" s="39" t="s">
        <v>765</v>
      </c>
      <c r="B4355" s="43"/>
      <c r="C4355" s="44">
        <f t="shared" ref="C4355:F4355" si="488">B4355/B$4380*C$4380</f>
        <v>0</v>
      </c>
      <c r="D4355" s="44">
        <f t="shared" si="488"/>
        <v>0</v>
      </c>
      <c r="E4355" s="44">
        <f t="shared" si="488"/>
        <v>0</v>
      </c>
      <c r="F4355" s="44">
        <f t="shared" si="488"/>
        <v>0</v>
      </c>
    </row>
    <row r="4356" spans="1:6">
      <c r="A4356" s="39" t="s">
        <v>764</v>
      </c>
      <c r="B4356" s="45">
        <v>12</v>
      </c>
      <c r="C4356" s="66">
        <f t="shared" ref="C4356:F4356" si="489">B4356/B$4380*C$4380</f>
        <v>14438.62844919786</v>
      </c>
      <c r="D4356" s="66">
        <f t="shared" si="489"/>
        <v>21751.106310160427</v>
      </c>
      <c r="E4356" s="66">
        <f t="shared" si="489"/>
        <v>9733.4472727272714</v>
      </c>
      <c r="F4356" s="44">
        <f t="shared" si="489"/>
        <v>45923.182032085562</v>
      </c>
    </row>
    <row r="4357" spans="1:6">
      <c r="A4357" s="58" t="s">
        <v>764</v>
      </c>
      <c r="B4357" s="121">
        <v>31.5</v>
      </c>
      <c r="C4357" s="181">
        <f t="shared" ref="C4357:F4357" si="490">B4357/B$4380*C$4380</f>
        <v>37901.399679144386</v>
      </c>
      <c r="D4357" s="181">
        <f t="shared" si="490"/>
        <v>57096.654064171133</v>
      </c>
      <c r="E4357" s="181">
        <f t="shared" si="490"/>
        <v>25550.299090909091</v>
      </c>
      <c r="F4357" s="181">
        <f t="shared" si="490"/>
        <v>120548.35283422461</v>
      </c>
    </row>
    <row r="4358" spans="1:6" hidden="1">
      <c r="A4358" s="39" t="s">
        <v>766</v>
      </c>
      <c r="B4358" s="45"/>
      <c r="C4358" s="44"/>
      <c r="D4358" s="44"/>
      <c r="E4358" s="44"/>
      <c r="F4358" s="44"/>
    </row>
    <row r="4359" spans="1:6" hidden="1">
      <c r="A4359" s="39" t="s">
        <v>315</v>
      </c>
      <c r="B4359" s="43"/>
      <c r="C4359" s="44"/>
      <c r="D4359" s="44"/>
      <c r="E4359" s="44"/>
      <c r="F4359" s="44"/>
    </row>
    <row r="4360" spans="1:6" hidden="1">
      <c r="A4360" s="39" t="s">
        <v>768</v>
      </c>
      <c r="B4360" s="45"/>
      <c r="C4360" s="44"/>
      <c r="D4360" s="44"/>
      <c r="E4360" s="44"/>
      <c r="F4360" s="44"/>
    </row>
    <row r="4361" spans="1:6" hidden="1">
      <c r="A4361" s="39" t="s">
        <v>317</v>
      </c>
      <c r="B4361" s="45"/>
      <c r="C4361" s="44"/>
      <c r="D4361" s="44"/>
      <c r="E4361" s="44"/>
      <c r="F4361" s="44"/>
    </row>
    <row r="4362" spans="1:6" hidden="1">
      <c r="A4362" s="39" t="s">
        <v>767</v>
      </c>
      <c r="B4362" s="45"/>
      <c r="C4362" s="44"/>
      <c r="D4362" s="44"/>
      <c r="E4362" s="44"/>
      <c r="F4362" s="44"/>
    </row>
    <row r="4363" spans="1:6" hidden="1">
      <c r="A4363" s="46" t="s">
        <v>319</v>
      </c>
      <c r="B4363" s="45"/>
      <c r="C4363" s="44"/>
      <c r="D4363" s="44"/>
      <c r="E4363" s="44"/>
      <c r="F4363" s="44"/>
    </row>
    <row r="4364" spans="1:6" hidden="1">
      <c r="A4364" s="46" t="s">
        <v>320</v>
      </c>
      <c r="B4364" s="45"/>
      <c r="C4364" s="44"/>
      <c r="D4364" s="44"/>
      <c r="E4364" s="44"/>
      <c r="F4364" s="44"/>
    </row>
    <row r="4365" spans="1:6" hidden="1">
      <c r="A4365" s="46" t="s">
        <v>321</v>
      </c>
      <c r="B4365" s="45"/>
      <c r="C4365" s="44"/>
      <c r="D4365" s="44"/>
      <c r="E4365" s="44"/>
      <c r="F4365" s="44"/>
    </row>
    <row r="4366" spans="1:6" hidden="1">
      <c r="A4366" s="46" t="s">
        <v>322</v>
      </c>
      <c r="B4366" s="45"/>
      <c r="C4366" s="44"/>
      <c r="D4366" s="44"/>
      <c r="E4366" s="44"/>
      <c r="F4366" s="44"/>
    </row>
    <row r="4367" spans="1:6" hidden="1">
      <c r="A4367" s="46" t="s">
        <v>323</v>
      </c>
      <c r="B4367" s="45"/>
      <c r="C4367" s="44"/>
      <c r="D4367" s="44"/>
      <c r="E4367" s="44"/>
      <c r="F4367" s="44"/>
    </row>
    <row r="4368" spans="1:6" hidden="1">
      <c r="A4368" s="46" t="s">
        <v>324</v>
      </c>
      <c r="B4368" s="45"/>
      <c r="C4368" s="44"/>
      <c r="D4368" s="44"/>
      <c r="E4368" s="44"/>
      <c r="F4368" s="44"/>
    </row>
    <row r="4369" spans="1:7" hidden="1">
      <c r="A4369" s="46" t="s">
        <v>325</v>
      </c>
      <c r="B4369" s="45"/>
      <c r="C4369" s="44"/>
      <c r="D4369" s="44"/>
      <c r="E4369" s="44"/>
      <c r="F4369" s="44"/>
    </row>
    <row r="4370" spans="1:7" hidden="1">
      <c r="A4370" s="46" t="s">
        <v>326</v>
      </c>
      <c r="B4370" s="45"/>
      <c r="C4370" s="44"/>
      <c r="D4370" s="44"/>
      <c r="E4370" s="44"/>
      <c r="F4370" s="44"/>
    </row>
    <row r="4371" spans="1:7" hidden="1">
      <c r="A4371" s="46" t="s">
        <v>327</v>
      </c>
      <c r="B4371" s="45"/>
      <c r="C4371" s="44"/>
      <c r="D4371" s="44"/>
      <c r="E4371" s="44"/>
      <c r="F4371" s="44"/>
    </row>
    <row r="4372" spans="1:7" hidden="1">
      <c r="A4372" s="46" t="s">
        <v>328</v>
      </c>
      <c r="B4372" s="45"/>
      <c r="C4372" s="44"/>
      <c r="D4372" s="44"/>
      <c r="E4372" s="44"/>
      <c r="F4372" s="44"/>
    </row>
    <row r="4373" spans="1:7" hidden="1">
      <c r="A4373" s="46" t="s">
        <v>329</v>
      </c>
      <c r="B4373" s="47"/>
      <c r="C4373" s="44"/>
      <c r="D4373" s="44"/>
      <c r="E4373" s="44"/>
      <c r="F4373" s="44"/>
    </row>
    <row r="4374" spans="1:7" hidden="1">
      <c r="A4374" s="46" t="s">
        <v>490</v>
      </c>
      <c r="B4374" s="176"/>
      <c r="C4374" s="44"/>
      <c r="D4374" s="44"/>
      <c r="E4374" s="44"/>
      <c r="F4374" s="44"/>
    </row>
    <row r="4375" spans="1:7" hidden="1">
      <c r="A4375" s="46" t="s">
        <v>493</v>
      </c>
      <c r="B4375" s="176"/>
      <c r="C4375" s="44"/>
      <c r="D4375" s="44"/>
      <c r="E4375" s="44"/>
      <c r="F4375" s="44"/>
    </row>
    <row r="4376" spans="1:7" hidden="1">
      <c r="A4376" s="46" t="s">
        <v>495</v>
      </c>
      <c r="B4376" s="176"/>
      <c r="C4376" s="44"/>
      <c r="D4376" s="44"/>
      <c r="E4376" s="44"/>
      <c r="F4376" s="44"/>
    </row>
    <row r="4377" spans="1:7" hidden="1">
      <c r="A4377" s="46" t="s">
        <v>496</v>
      </c>
      <c r="B4377" s="176"/>
      <c r="C4377" s="44"/>
      <c r="D4377" s="44"/>
      <c r="E4377" s="44"/>
      <c r="F4377" s="44"/>
    </row>
    <row r="4378" spans="1:7" hidden="1">
      <c r="A4378" s="46" t="s">
        <v>498</v>
      </c>
      <c r="B4378" s="176"/>
      <c r="C4378" s="44"/>
      <c r="D4378" s="44"/>
      <c r="E4378" s="44"/>
      <c r="F4378" s="44"/>
    </row>
    <row r="4379" spans="1:7" hidden="1">
      <c r="A4379" s="46" t="s">
        <v>330</v>
      </c>
      <c r="B4379" s="47"/>
      <c r="C4379" s="44"/>
      <c r="D4379" s="44"/>
      <c r="E4379" s="44"/>
      <c r="F4379" s="44"/>
      <c r="G4379" s="107"/>
    </row>
    <row r="4380" spans="1:7">
      <c r="A4380" s="48" t="s">
        <v>150</v>
      </c>
      <c r="B4380" s="48">
        <f>SUM(B4310:B4357)</f>
        <v>280.5</v>
      </c>
      <c r="C4380" s="49">
        <f>337502.94</f>
        <v>337502.94</v>
      </c>
      <c r="D4380" s="50">
        <f>33691.7+318656.4+72971.01+69960.2+13152.8</f>
        <v>508432.11000000004</v>
      </c>
      <c r="E4380" s="50">
        <f>227519.33</f>
        <v>227519.33</v>
      </c>
      <c r="F4380" s="50">
        <f>SUM(C4380:E4380)</f>
        <v>1073454.3800000001</v>
      </c>
      <c r="G4380" s="40"/>
    </row>
    <row r="4381" spans="1:7">
      <c r="A4381" s="51"/>
      <c r="B4381" s="52"/>
      <c r="C4381" s="51"/>
      <c r="D4381" s="51"/>
      <c r="E4381" s="52"/>
      <c r="F4381" s="51"/>
      <c r="G4381" s="40"/>
    </row>
    <row r="4382" spans="1:7">
      <c r="A4382" s="51"/>
      <c r="B4382" s="52"/>
      <c r="C4382" s="51"/>
      <c r="D4382" s="51"/>
      <c r="E4382" s="52"/>
      <c r="F4382" s="51"/>
      <c r="G4382" s="40"/>
    </row>
    <row r="4383" spans="1:7">
      <c r="A4383" s="269" t="s">
        <v>785</v>
      </c>
      <c r="B4383" s="269"/>
      <c r="C4383" s="269"/>
      <c r="D4383" s="269"/>
      <c r="E4383" s="269"/>
      <c r="F4383" s="269"/>
      <c r="G4383" s="40"/>
    </row>
    <row r="4384" spans="1:7">
      <c r="A4384" s="43" t="s">
        <v>86</v>
      </c>
      <c r="B4384" s="43" t="s">
        <v>87</v>
      </c>
      <c r="C4384" s="43" t="s">
        <v>88</v>
      </c>
      <c r="D4384" s="43" t="s">
        <v>89</v>
      </c>
      <c r="E4384" s="43" t="s">
        <v>90</v>
      </c>
      <c r="F4384" s="45" t="s">
        <v>152</v>
      </c>
      <c r="G4384" s="43" t="s">
        <v>91</v>
      </c>
    </row>
    <row r="4385" spans="1:7" hidden="1">
      <c r="A4385" s="39" t="s">
        <v>153</v>
      </c>
      <c r="B4385" s="43"/>
      <c r="C4385" s="42"/>
      <c r="D4385" s="42"/>
      <c r="E4385" s="42"/>
      <c r="F4385" s="45"/>
      <c r="G4385" s="42"/>
    </row>
    <row r="4386" spans="1:7" hidden="1">
      <c r="A4386" s="39" t="s">
        <v>714</v>
      </c>
      <c r="B4386" s="43"/>
      <c r="C4386" s="42"/>
      <c r="D4386" s="42"/>
      <c r="E4386" s="42"/>
      <c r="F4386" s="45"/>
      <c r="G4386" s="42"/>
    </row>
    <row r="4387" spans="1:7" hidden="1">
      <c r="A4387" s="39" t="s">
        <v>155</v>
      </c>
      <c r="B4387" s="43"/>
      <c r="C4387" s="42"/>
      <c r="D4387" s="42"/>
      <c r="E4387" s="42"/>
      <c r="F4387" s="45"/>
      <c r="G4387" s="42"/>
    </row>
    <row r="4388" spans="1:7" hidden="1">
      <c r="A4388" s="39" t="s">
        <v>156</v>
      </c>
      <c r="B4388" s="43"/>
      <c r="C4388" s="42"/>
      <c r="D4388" s="42"/>
      <c r="E4388" s="42"/>
      <c r="F4388" s="45"/>
      <c r="G4388" s="42"/>
    </row>
    <row r="4389" spans="1:7" hidden="1">
      <c r="A4389" s="39" t="s">
        <v>3</v>
      </c>
      <c r="B4389" s="43"/>
      <c r="C4389" s="42"/>
      <c r="D4389" s="42"/>
      <c r="E4389" s="42"/>
      <c r="F4389" s="45"/>
      <c r="G4389" s="42"/>
    </row>
    <row r="4390" spans="1:7" hidden="1">
      <c r="A4390" s="39" t="s">
        <v>4</v>
      </c>
      <c r="B4390" s="43"/>
      <c r="C4390" s="42"/>
      <c r="D4390" s="42"/>
      <c r="E4390" s="42"/>
      <c r="F4390" s="45"/>
      <c r="G4390" s="42"/>
    </row>
    <row r="4391" spans="1:7" hidden="1">
      <c r="A4391" s="39" t="s">
        <v>5</v>
      </c>
      <c r="B4391" s="43"/>
      <c r="C4391" s="42"/>
      <c r="D4391" s="42"/>
      <c r="E4391" s="42"/>
      <c r="F4391" s="45"/>
      <c r="G4391" s="42"/>
    </row>
    <row r="4392" spans="1:7" hidden="1">
      <c r="A4392" s="39" t="s">
        <v>157</v>
      </c>
      <c r="B4392" s="43"/>
      <c r="C4392" s="42"/>
      <c r="D4392" s="42"/>
      <c r="E4392" s="42"/>
      <c r="F4392" s="57"/>
      <c r="G4392" s="42"/>
    </row>
    <row r="4393" spans="1:7" hidden="1">
      <c r="A4393" s="39" t="s">
        <v>669</v>
      </c>
      <c r="B4393" s="43"/>
      <c r="C4393" s="42"/>
      <c r="D4393" s="42"/>
      <c r="E4393" s="42"/>
      <c r="F4393" s="57"/>
      <c r="G4393" s="42"/>
    </row>
    <row r="4394" spans="1:7" hidden="1">
      <c r="A4394" s="39" t="s">
        <v>159</v>
      </c>
      <c r="B4394" s="43"/>
      <c r="C4394" s="42"/>
      <c r="D4394" s="42"/>
      <c r="E4394" s="42"/>
      <c r="F4394" s="57"/>
      <c r="G4394" s="42"/>
    </row>
    <row r="4395" spans="1:7" hidden="1">
      <c r="A4395" s="39" t="s">
        <v>680</v>
      </c>
      <c r="B4395" s="43"/>
      <c r="C4395" s="42"/>
      <c r="D4395" s="42"/>
      <c r="E4395" s="42"/>
      <c r="F4395" s="57"/>
      <c r="G4395" s="42"/>
    </row>
    <row r="4396" spans="1:7" hidden="1">
      <c r="A4396" s="39" t="s">
        <v>616</v>
      </c>
      <c r="B4396" s="43"/>
      <c r="C4396" s="44"/>
      <c r="D4396" s="44"/>
      <c r="E4396" s="44"/>
      <c r="F4396" s="57"/>
      <c r="G4396" s="44"/>
    </row>
    <row r="4397" spans="1:7" hidden="1">
      <c r="A4397" s="39" t="s">
        <v>616</v>
      </c>
      <c r="B4397" s="43"/>
      <c r="C4397" s="44"/>
      <c r="D4397" s="44"/>
      <c r="E4397" s="44"/>
      <c r="F4397" s="57"/>
      <c r="G4397" s="44"/>
    </row>
    <row r="4398" spans="1:7" hidden="1">
      <c r="A4398" s="39" t="s">
        <v>6</v>
      </c>
      <c r="B4398" s="43"/>
      <c r="C4398" s="44"/>
      <c r="D4398" s="44"/>
      <c r="E4398" s="44"/>
      <c r="F4398" s="57"/>
      <c r="G4398" s="44"/>
    </row>
    <row r="4399" spans="1:7" hidden="1">
      <c r="A4399" s="39" t="s">
        <v>7</v>
      </c>
      <c r="B4399" s="43"/>
      <c r="C4399" s="44"/>
      <c r="D4399" s="44"/>
      <c r="E4399" s="44"/>
      <c r="F4399" s="57"/>
      <c r="G4399" s="44"/>
    </row>
    <row r="4400" spans="1:7" hidden="1">
      <c r="A4400" s="39" t="s">
        <v>162</v>
      </c>
      <c r="B4400" s="43"/>
      <c r="C4400" s="44"/>
      <c r="D4400" s="44"/>
      <c r="E4400" s="44"/>
      <c r="F4400" s="57"/>
      <c r="G4400" s="44"/>
    </row>
    <row r="4401" spans="1:7" hidden="1">
      <c r="A4401" s="39" t="s">
        <v>401</v>
      </c>
      <c r="B4401" s="45"/>
      <c r="C4401" s="44"/>
      <c r="D4401" s="44"/>
      <c r="E4401" s="44"/>
      <c r="F4401" s="57"/>
      <c r="G4401" s="44"/>
    </row>
    <row r="4402" spans="1:7" hidden="1">
      <c r="A4402" s="39" t="s">
        <v>402</v>
      </c>
      <c r="B4402" s="45"/>
      <c r="C4402" s="44"/>
      <c r="D4402" s="44"/>
      <c r="E4402" s="44"/>
      <c r="F4402" s="57"/>
      <c r="G4402" s="44"/>
    </row>
    <row r="4403" spans="1:7">
      <c r="A4403" s="58" t="s">
        <v>604</v>
      </c>
      <c r="B4403" s="59">
        <v>11.5</v>
      </c>
      <c r="C4403" s="181">
        <f>B4403/B$4472*C$4470</f>
        <v>12541.872366235271</v>
      </c>
      <c r="D4403" s="181">
        <f>B4403/B$4472*D$4470</f>
        <v>12980.727293799497</v>
      </c>
      <c r="E4403" s="181">
        <f>B4403/B$4472*E$4470</f>
        <v>9754.8742669499716</v>
      </c>
      <c r="F4403" s="61"/>
      <c r="G4403" s="181">
        <f>SUM(C4403:E4403)</f>
        <v>35277.473926984741</v>
      </c>
    </row>
    <row r="4404" spans="1:7" hidden="1">
      <c r="A4404" s="39" t="s">
        <v>605</v>
      </c>
      <c r="B4404" s="43"/>
      <c r="C4404" s="181">
        <f t="shared" ref="C4404" si="491">B4404/B$4472*C$4470</f>
        <v>0</v>
      </c>
      <c r="D4404" s="181">
        <f t="shared" ref="D4404:D4450" si="492">B4404/B$4472*D$4470</f>
        <v>0</v>
      </c>
      <c r="E4404" s="181">
        <f t="shared" ref="E4404:E4450" si="493">B4404/B$4472*E$4470</f>
        <v>0</v>
      </c>
      <c r="F4404" s="57"/>
      <c r="G4404" s="181">
        <f t="shared" ref="G4404:G4450" si="494">SUM(C4404:E4404)</f>
        <v>0</v>
      </c>
    </row>
    <row r="4405" spans="1:7" hidden="1">
      <c r="A4405" s="39" t="s">
        <v>605</v>
      </c>
      <c r="B4405" s="43"/>
      <c r="C4405" s="181">
        <f t="shared" ref="C4405" si="495">B4405/B$4472*C$4470</f>
        <v>0</v>
      </c>
      <c r="D4405" s="181">
        <f t="shared" si="492"/>
        <v>0</v>
      </c>
      <c r="E4405" s="181">
        <f t="shared" si="493"/>
        <v>0</v>
      </c>
      <c r="F4405" s="57"/>
      <c r="G4405" s="181">
        <f t="shared" si="494"/>
        <v>0</v>
      </c>
    </row>
    <row r="4406" spans="1:7" hidden="1">
      <c r="A4406" s="39" t="s">
        <v>617</v>
      </c>
      <c r="B4406" s="43"/>
      <c r="C4406" s="181">
        <f t="shared" ref="C4406" si="496">B4406/B$4472*C$4470</f>
        <v>0</v>
      </c>
      <c r="D4406" s="181">
        <f t="shared" si="492"/>
        <v>0</v>
      </c>
      <c r="E4406" s="181">
        <f t="shared" si="493"/>
        <v>0</v>
      </c>
      <c r="F4406" s="57"/>
      <c r="G4406" s="181">
        <f t="shared" si="494"/>
        <v>0</v>
      </c>
    </row>
    <row r="4407" spans="1:7" hidden="1">
      <c r="A4407" s="39" t="s">
        <v>11</v>
      </c>
      <c r="B4407" s="43"/>
      <c r="C4407" s="181">
        <f t="shared" ref="C4407" si="497">B4407/B$4472*C$4470</f>
        <v>0</v>
      </c>
      <c r="D4407" s="181">
        <f t="shared" si="492"/>
        <v>0</v>
      </c>
      <c r="E4407" s="181">
        <f t="shared" si="493"/>
        <v>0</v>
      </c>
      <c r="F4407" s="57"/>
      <c r="G4407" s="181">
        <f t="shared" si="494"/>
        <v>0</v>
      </c>
    </row>
    <row r="4408" spans="1:7" hidden="1">
      <c r="A4408" s="39" t="s">
        <v>164</v>
      </c>
      <c r="B4408" s="43"/>
      <c r="C4408" s="181">
        <f t="shared" ref="C4408" si="498">B4408/B$4472*C$4470</f>
        <v>0</v>
      </c>
      <c r="D4408" s="181">
        <f t="shared" si="492"/>
        <v>0</v>
      </c>
      <c r="E4408" s="181">
        <f t="shared" si="493"/>
        <v>0</v>
      </c>
      <c r="F4408" s="57"/>
      <c r="G4408" s="181">
        <f t="shared" si="494"/>
        <v>0</v>
      </c>
    </row>
    <row r="4409" spans="1:7" hidden="1">
      <c r="A4409" s="39" t="s">
        <v>606</v>
      </c>
      <c r="B4409" s="43"/>
      <c r="C4409" s="181">
        <f t="shared" ref="C4409" si="499">B4409/B$4472*C$4470</f>
        <v>0</v>
      </c>
      <c r="D4409" s="181">
        <f t="shared" si="492"/>
        <v>0</v>
      </c>
      <c r="E4409" s="181">
        <f t="shared" si="493"/>
        <v>0</v>
      </c>
      <c r="F4409" s="57"/>
      <c r="G4409" s="181">
        <f t="shared" si="494"/>
        <v>0</v>
      </c>
    </row>
    <row r="4410" spans="1:7" hidden="1">
      <c r="A4410" s="39" t="s">
        <v>505</v>
      </c>
      <c r="B4410" s="43"/>
      <c r="C4410" s="181">
        <f t="shared" ref="C4410" si="500">B4410/B$4472*C$4470</f>
        <v>0</v>
      </c>
      <c r="D4410" s="181">
        <f t="shared" si="492"/>
        <v>0</v>
      </c>
      <c r="E4410" s="181">
        <f t="shared" si="493"/>
        <v>0</v>
      </c>
      <c r="F4410" s="57"/>
      <c r="G4410" s="181">
        <f t="shared" si="494"/>
        <v>0</v>
      </c>
    </row>
    <row r="4411" spans="1:7" hidden="1">
      <c r="A4411" s="39" t="s">
        <v>166</v>
      </c>
      <c r="B4411" s="43"/>
      <c r="C4411" s="181">
        <f t="shared" ref="C4411" si="501">B4411/B$4472*C$4470</f>
        <v>0</v>
      </c>
      <c r="D4411" s="181">
        <f t="shared" si="492"/>
        <v>0</v>
      </c>
      <c r="E4411" s="181">
        <f t="shared" si="493"/>
        <v>0</v>
      </c>
      <c r="F4411" s="57"/>
      <c r="G4411" s="181">
        <f t="shared" si="494"/>
        <v>0</v>
      </c>
    </row>
    <row r="4412" spans="1:7" hidden="1">
      <c r="A4412" s="39" t="s">
        <v>679</v>
      </c>
      <c r="B4412" s="43"/>
      <c r="C4412" s="181">
        <f t="shared" ref="C4412" si="502">B4412/B$4472*C$4470</f>
        <v>0</v>
      </c>
      <c r="D4412" s="181">
        <f t="shared" si="492"/>
        <v>0</v>
      </c>
      <c r="E4412" s="181">
        <f t="shared" si="493"/>
        <v>0</v>
      </c>
      <c r="F4412" s="57"/>
      <c r="G4412" s="181">
        <f t="shared" si="494"/>
        <v>0</v>
      </c>
    </row>
    <row r="4413" spans="1:7" hidden="1">
      <c r="A4413" s="39" t="s">
        <v>168</v>
      </c>
      <c r="B4413" s="43"/>
      <c r="C4413" s="181">
        <f t="shared" ref="C4413" si="503">B4413/B$4472*C$4470</f>
        <v>0</v>
      </c>
      <c r="D4413" s="181">
        <f t="shared" si="492"/>
        <v>0</v>
      </c>
      <c r="E4413" s="181">
        <f t="shared" si="493"/>
        <v>0</v>
      </c>
      <c r="F4413" s="57"/>
      <c r="G4413" s="181">
        <f t="shared" si="494"/>
        <v>0</v>
      </c>
    </row>
    <row r="4414" spans="1:7" hidden="1">
      <c r="A4414" s="39" t="s">
        <v>169</v>
      </c>
      <c r="B4414" s="43"/>
      <c r="C4414" s="181">
        <f t="shared" ref="C4414" si="504">B4414/B$4472*C$4470</f>
        <v>0</v>
      </c>
      <c r="D4414" s="181">
        <f t="shared" si="492"/>
        <v>0</v>
      </c>
      <c r="E4414" s="181">
        <f t="shared" si="493"/>
        <v>0</v>
      </c>
      <c r="F4414" s="57"/>
      <c r="G4414" s="181">
        <f t="shared" si="494"/>
        <v>0</v>
      </c>
    </row>
    <row r="4415" spans="1:7" hidden="1">
      <c r="A4415" s="39" t="s">
        <v>170</v>
      </c>
      <c r="B4415" s="43"/>
      <c r="C4415" s="181">
        <f t="shared" ref="C4415" si="505">B4415/B$4472*C$4470</f>
        <v>0</v>
      </c>
      <c r="D4415" s="181">
        <f t="shared" si="492"/>
        <v>0</v>
      </c>
      <c r="E4415" s="181">
        <f t="shared" si="493"/>
        <v>0</v>
      </c>
      <c r="F4415" s="57"/>
      <c r="G4415" s="181">
        <f t="shared" si="494"/>
        <v>0</v>
      </c>
    </row>
    <row r="4416" spans="1:7" hidden="1">
      <c r="A4416" s="39" t="s">
        <v>171</v>
      </c>
      <c r="B4416" s="43"/>
      <c r="C4416" s="181">
        <f t="shared" ref="C4416" si="506">B4416/B$4472*C$4470</f>
        <v>0</v>
      </c>
      <c r="D4416" s="181">
        <f t="shared" si="492"/>
        <v>0</v>
      </c>
      <c r="E4416" s="181">
        <f t="shared" si="493"/>
        <v>0</v>
      </c>
      <c r="F4416" s="57"/>
      <c r="G4416" s="181">
        <f t="shared" si="494"/>
        <v>0</v>
      </c>
    </row>
    <row r="4417" spans="1:7" hidden="1">
      <c r="A4417" s="39" t="s">
        <v>607</v>
      </c>
      <c r="B4417" s="45"/>
      <c r="C4417" s="181">
        <f t="shared" ref="C4417" si="507">B4417/B$4472*C$4470</f>
        <v>0</v>
      </c>
      <c r="D4417" s="181">
        <f t="shared" si="492"/>
        <v>0</v>
      </c>
      <c r="E4417" s="181">
        <f t="shared" si="493"/>
        <v>0</v>
      </c>
      <c r="F4417" s="57"/>
      <c r="G4417" s="181">
        <f t="shared" si="494"/>
        <v>0</v>
      </c>
    </row>
    <row r="4418" spans="1:7" hidden="1">
      <c r="A4418" s="39" t="s">
        <v>670</v>
      </c>
      <c r="B4418" s="43"/>
      <c r="C4418" s="181">
        <f t="shared" ref="C4418" si="508">B4418/B$4472*C$4470</f>
        <v>0</v>
      </c>
      <c r="D4418" s="181">
        <f t="shared" si="492"/>
        <v>0</v>
      </c>
      <c r="E4418" s="181">
        <f t="shared" si="493"/>
        <v>0</v>
      </c>
      <c r="F4418" s="57"/>
      <c r="G4418" s="181">
        <f t="shared" si="494"/>
        <v>0</v>
      </c>
    </row>
    <row r="4419" spans="1:7">
      <c r="A4419" s="58" t="s">
        <v>716</v>
      </c>
      <c r="B4419" s="59">
        <v>9</v>
      </c>
      <c r="C4419" s="181">
        <f t="shared" ref="C4419" si="509">B4419/B$4472*C$4470</f>
        <v>9815.3783735754296</v>
      </c>
      <c r="D4419" s="181">
        <f t="shared" si="492"/>
        <v>10158.830056016997</v>
      </c>
      <c r="E4419" s="181">
        <f t="shared" si="493"/>
        <v>7634.2494263086728</v>
      </c>
      <c r="F4419" s="61"/>
      <c r="G4419" s="181">
        <f t="shared" si="494"/>
        <v>27608.457855901102</v>
      </c>
    </row>
    <row r="4420" spans="1:7" hidden="1">
      <c r="A4420" s="39" t="s">
        <v>610</v>
      </c>
      <c r="B4420" s="43"/>
      <c r="C4420" s="181">
        <f t="shared" ref="C4420" si="510">B4420/B$4472*C$4470</f>
        <v>0</v>
      </c>
      <c r="D4420" s="181">
        <f t="shared" si="492"/>
        <v>0</v>
      </c>
      <c r="E4420" s="181">
        <f t="shared" si="493"/>
        <v>0</v>
      </c>
      <c r="F4420" s="57"/>
      <c r="G4420" s="181">
        <f t="shared" si="494"/>
        <v>0</v>
      </c>
    </row>
    <row r="4421" spans="1:7" hidden="1">
      <c r="A4421" s="39" t="s">
        <v>610</v>
      </c>
      <c r="B4421" s="43"/>
      <c r="C4421" s="181">
        <f t="shared" ref="C4421" si="511">B4421/B$4472*C$4470</f>
        <v>0</v>
      </c>
      <c r="D4421" s="181">
        <f t="shared" si="492"/>
        <v>0</v>
      </c>
      <c r="E4421" s="181">
        <f t="shared" si="493"/>
        <v>0</v>
      </c>
      <c r="F4421" s="57"/>
      <c r="G4421" s="181">
        <f t="shared" si="494"/>
        <v>0</v>
      </c>
    </row>
    <row r="4422" spans="1:7" hidden="1">
      <c r="A4422" s="39" t="s">
        <v>609</v>
      </c>
      <c r="B4422" s="43"/>
      <c r="C4422" s="181">
        <f t="shared" ref="C4422" si="512">B4422/B$4472*C$4470</f>
        <v>0</v>
      </c>
      <c r="D4422" s="181">
        <f t="shared" si="492"/>
        <v>0</v>
      </c>
      <c r="E4422" s="181">
        <f t="shared" si="493"/>
        <v>0</v>
      </c>
      <c r="F4422" s="57"/>
      <c r="G4422" s="181">
        <f t="shared" si="494"/>
        <v>0</v>
      </c>
    </row>
    <row r="4423" spans="1:7">
      <c r="A4423" s="39" t="s">
        <v>609</v>
      </c>
      <c r="B4423" s="43">
        <v>11.5</v>
      </c>
      <c r="C4423" s="66">
        <f t="shared" ref="C4423" si="513">B4423/B$4472*C$4470</f>
        <v>12541.872366235271</v>
      </c>
      <c r="D4423" s="66">
        <f t="shared" si="492"/>
        <v>12980.727293799497</v>
      </c>
      <c r="E4423" s="66">
        <f t="shared" si="493"/>
        <v>9754.8742669499716</v>
      </c>
      <c r="F4423" s="57"/>
      <c r="G4423" s="44">
        <f t="shared" si="494"/>
        <v>35277.473926984741</v>
      </c>
    </row>
    <row r="4424" spans="1:7" hidden="1">
      <c r="A4424" s="39" t="s">
        <v>16</v>
      </c>
      <c r="B4424" s="43"/>
      <c r="C4424" s="44">
        <f t="shared" ref="C4424" si="514">B4424/B$4472*C$4470</f>
        <v>0</v>
      </c>
      <c r="D4424" s="44">
        <f t="shared" si="492"/>
        <v>0</v>
      </c>
      <c r="E4424" s="44">
        <f t="shared" si="493"/>
        <v>0</v>
      </c>
      <c r="F4424" s="57"/>
      <c r="G4424" s="44">
        <f t="shared" si="494"/>
        <v>0</v>
      </c>
    </row>
    <row r="4425" spans="1:7" hidden="1">
      <c r="A4425" s="39" t="s">
        <v>173</v>
      </c>
      <c r="B4425" s="43"/>
      <c r="C4425" s="44">
        <f t="shared" ref="C4425" si="515">B4425/B$4472*C$4470</f>
        <v>0</v>
      </c>
      <c r="D4425" s="44">
        <f t="shared" si="492"/>
        <v>0</v>
      </c>
      <c r="E4425" s="44">
        <f t="shared" si="493"/>
        <v>0</v>
      </c>
      <c r="F4425" s="57"/>
      <c r="G4425" s="44">
        <f t="shared" si="494"/>
        <v>0</v>
      </c>
    </row>
    <row r="4426" spans="1:7">
      <c r="A4426" s="39" t="s">
        <v>672</v>
      </c>
      <c r="B4426" s="45">
        <v>10</v>
      </c>
      <c r="C4426" s="66">
        <f t="shared" ref="C4426" si="516">B4426/B$4472*C$4470</f>
        <v>10905.975970639367</v>
      </c>
      <c r="D4426" s="66">
        <f t="shared" si="492"/>
        <v>11287.588951129997</v>
      </c>
      <c r="E4426" s="66">
        <f t="shared" si="493"/>
        <v>8482.4993625651914</v>
      </c>
      <c r="F4426" s="57"/>
      <c r="G4426" s="44">
        <f t="shared" si="494"/>
        <v>30676.064284334556</v>
      </c>
    </row>
    <row r="4427" spans="1:7" hidden="1">
      <c r="A4427" s="39" t="s">
        <v>677</v>
      </c>
      <c r="B4427" s="45"/>
      <c r="C4427" s="44">
        <f t="shared" ref="C4427" si="517">B4427/B$4472*C$4470</f>
        <v>0</v>
      </c>
      <c r="D4427" s="44">
        <f t="shared" si="492"/>
        <v>0</v>
      </c>
      <c r="E4427" s="44">
        <f t="shared" si="493"/>
        <v>0</v>
      </c>
      <c r="F4427" s="57"/>
      <c r="G4427" s="44">
        <f t="shared" si="494"/>
        <v>0</v>
      </c>
    </row>
    <row r="4428" spans="1:7">
      <c r="A4428" s="39" t="s">
        <v>611</v>
      </c>
      <c r="B4428" s="43">
        <v>10.5</v>
      </c>
      <c r="C4428" s="66">
        <f t="shared" ref="C4428" si="518">B4428/B$4472*C$4470</f>
        <v>11451.274769171334</v>
      </c>
      <c r="D4428" s="66">
        <f t="shared" si="492"/>
        <v>11851.968398686497</v>
      </c>
      <c r="E4428" s="66">
        <f t="shared" si="493"/>
        <v>8906.6243306934502</v>
      </c>
      <c r="F4428" s="57"/>
      <c r="G4428" s="44">
        <f t="shared" si="494"/>
        <v>32209.867498551277</v>
      </c>
    </row>
    <row r="4429" spans="1:7" hidden="1">
      <c r="A4429" s="39" t="s">
        <v>611</v>
      </c>
      <c r="B4429" s="43"/>
      <c r="C4429" s="44">
        <f t="shared" ref="C4429" si="519">B4429/B$4472*C$4470</f>
        <v>0</v>
      </c>
      <c r="D4429" s="44">
        <f t="shared" si="492"/>
        <v>0</v>
      </c>
      <c r="E4429" s="44">
        <f t="shared" si="493"/>
        <v>0</v>
      </c>
      <c r="F4429" s="57"/>
      <c r="G4429" s="44">
        <f t="shared" si="494"/>
        <v>0</v>
      </c>
    </row>
    <row r="4430" spans="1:7" hidden="1">
      <c r="A4430" s="39" t="s">
        <v>673</v>
      </c>
      <c r="B4430" s="43"/>
      <c r="C4430" s="44">
        <f t="shared" ref="C4430" si="520">B4430/B$4472*C$4470</f>
        <v>0</v>
      </c>
      <c r="D4430" s="44">
        <f t="shared" si="492"/>
        <v>0</v>
      </c>
      <c r="E4430" s="44">
        <f t="shared" si="493"/>
        <v>0</v>
      </c>
      <c r="F4430" s="57"/>
      <c r="G4430" s="44">
        <f t="shared" si="494"/>
        <v>0</v>
      </c>
    </row>
    <row r="4431" spans="1:7" hidden="1">
      <c r="A4431" s="49" t="s">
        <v>618</v>
      </c>
      <c r="B4431" s="43"/>
      <c r="C4431" s="44">
        <f t="shared" ref="C4431" si="521">B4431/B$4472*C$4470</f>
        <v>0</v>
      </c>
      <c r="D4431" s="44">
        <f t="shared" si="492"/>
        <v>0</v>
      </c>
      <c r="E4431" s="44">
        <f t="shared" si="493"/>
        <v>0</v>
      </c>
      <c r="F4431" s="57"/>
      <c r="G4431" s="44">
        <f t="shared" si="494"/>
        <v>0</v>
      </c>
    </row>
    <row r="4432" spans="1:7" hidden="1">
      <c r="A4432" s="39" t="s">
        <v>608</v>
      </c>
      <c r="B4432" s="43"/>
      <c r="C4432" s="44">
        <f t="shared" ref="C4432" si="522">B4432/B$4472*C$4470</f>
        <v>0</v>
      </c>
      <c r="D4432" s="44">
        <f t="shared" si="492"/>
        <v>0</v>
      </c>
      <c r="E4432" s="44">
        <f t="shared" si="493"/>
        <v>0</v>
      </c>
      <c r="F4432" s="57"/>
      <c r="G4432" s="44">
        <f t="shared" si="494"/>
        <v>0</v>
      </c>
    </row>
    <row r="4433" spans="1:7">
      <c r="A4433" s="39" t="s">
        <v>608</v>
      </c>
      <c r="B4433" s="43">
        <v>20</v>
      </c>
      <c r="C4433" s="66">
        <f t="shared" ref="C4433" si="523">B4433/B$4472*C$4470</f>
        <v>21811.951941278734</v>
      </c>
      <c r="D4433" s="66">
        <f t="shared" si="492"/>
        <v>22575.177902259995</v>
      </c>
      <c r="E4433" s="66">
        <f t="shared" si="493"/>
        <v>16964.998725130383</v>
      </c>
      <c r="F4433" s="57"/>
      <c r="G4433" s="44">
        <f t="shared" si="494"/>
        <v>61352.128568669112</v>
      </c>
    </row>
    <row r="4434" spans="1:7" hidden="1">
      <c r="A4434" s="39" t="s">
        <v>671</v>
      </c>
      <c r="B4434" s="43"/>
      <c r="C4434" s="181">
        <f t="shared" ref="C4434" si="524">B4434/B$4472*C$4470</f>
        <v>0</v>
      </c>
      <c r="D4434" s="181">
        <f t="shared" si="492"/>
        <v>0</v>
      </c>
      <c r="E4434" s="181">
        <f t="shared" si="493"/>
        <v>0</v>
      </c>
      <c r="F4434" s="57"/>
      <c r="G4434" s="181">
        <f t="shared" si="494"/>
        <v>0</v>
      </c>
    </row>
    <row r="4435" spans="1:7" hidden="1">
      <c r="A4435" s="49" t="s">
        <v>620</v>
      </c>
      <c r="B4435" s="43"/>
      <c r="C4435" s="181">
        <f t="shared" ref="C4435" si="525">B4435/B$4472*C$4470</f>
        <v>0</v>
      </c>
      <c r="D4435" s="181">
        <f t="shared" si="492"/>
        <v>0</v>
      </c>
      <c r="E4435" s="181">
        <f t="shared" si="493"/>
        <v>0</v>
      </c>
      <c r="F4435" s="57"/>
      <c r="G4435" s="181">
        <f t="shared" si="494"/>
        <v>0</v>
      </c>
    </row>
    <row r="4436" spans="1:7" hidden="1">
      <c r="A4436" s="39" t="s">
        <v>715</v>
      </c>
      <c r="B4436" s="45"/>
      <c r="C4436" s="181">
        <f t="shared" ref="C4436" si="526">B4436/B$4472*C$4470</f>
        <v>0</v>
      </c>
      <c r="D4436" s="181">
        <f t="shared" si="492"/>
        <v>0</v>
      </c>
      <c r="E4436" s="181">
        <f t="shared" si="493"/>
        <v>0</v>
      </c>
      <c r="F4436" s="57"/>
      <c r="G4436" s="181">
        <f t="shared" si="494"/>
        <v>0</v>
      </c>
    </row>
    <row r="4437" spans="1:7">
      <c r="A4437" s="58" t="s">
        <v>790</v>
      </c>
      <c r="B4437" s="121">
        <v>11.5</v>
      </c>
      <c r="C4437" s="181">
        <f t="shared" ref="C4437" si="527">B4437/B$4472*C$4470</f>
        <v>12541.872366235271</v>
      </c>
      <c r="D4437" s="181">
        <f t="shared" si="492"/>
        <v>12980.727293799497</v>
      </c>
      <c r="E4437" s="181">
        <f t="shared" si="493"/>
        <v>9754.8742669499716</v>
      </c>
      <c r="F4437" s="61"/>
      <c r="G4437" s="181">
        <f t="shared" si="494"/>
        <v>35277.473926984741</v>
      </c>
    </row>
    <row r="4438" spans="1:7" hidden="1">
      <c r="A4438" s="49" t="s">
        <v>619</v>
      </c>
      <c r="B4438" s="43"/>
      <c r="C4438" s="181">
        <f t="shared" ref="C4438" si="528">B4438/B$4472*C$4470</f>
        <v>0</v>
      </c>
      <c r="D4438" s="181">
        <f t="shared" si="492"/>
        <v>0</v>
      </c>
      <c r="E4438" s="181">
        <f t="shared" si="493"/>
        <v>0</v>
      </c>
      <c r="F4438" s="57"/>
      <c r="G4438" s="181">
        <f t="shared" si="494"/>
        <v>0</v>
      </c>
    </row>
    <row r="4439" spans="1:7" hidden="1">
      <c r="A4439" s="39" t="s">
        <v>615</v>
      </c>
      <c r="B4439" s="43"/>
      <c r="C4439" s="181">
        <f t="shared" ref="C4439" si="529">B4439/B$4472*C$4470</f>
        <v>0</v>
      </c>
      <c r="D4439" s="181">
        <f t="shared" si="492"/>
        <v>0</v>
      </c>
      <c r="E4439" s="181">
        <f t="shared" si="493"/>
        <v>0</v>
      </c>
      <c r="F4439" s="57"/>
      <c r="G4439" s="181">
        <f t="shared" si="494"/>
        <v>0</v>
      </c>
    </row>
    <row r="4440" spans="1:7">
      <c r="A4440" s="58" t="s">
        <v>612</v>
      </c>
      <c r="B4440" s="59">
        <v>11.5</v>
      </c>
      <c r="C4440" s="181">
        <f t="shared" ref="C4440" si="530">B4440/B$4472*C$4470</f>
        <v>12541.872366235271</v>
      </c>
      <c r="D4440" s="181">
        <f t="shared" si="492"/>
        <v>12980.727293799497</v>
      </c>
      <c r="E4440" s="181">
        <f t="shared" si="493"/>
        <v>9754.8742669499716</v>
      </c>
      <c r="F4440" s="61"/>
      <c r="G4440" s="181">
        <f t="shared" si="494"/>
        <v>35277.473926984741</v>
      </c>
    </row>
    <row r="4441" spans="1:7">
      <c r="A4441" s="58" t="s">
        <v>613</v>
      </c>
      <c r="B4441" s="59">
        <v>11.5</v>
      </c>
      <c r="C4441" s="181">
        <f t="shared" ref="C4441" si="531">B4441/B$4472*C$4470</f>
        <v>12541.872366235271</v>
      </c>
      <c r="D4441" s="181">
        <f t="shared" si="492"/>
        <v>12980.727293799497</v>
      </c>
      <c r="E4441" s="181">
        <f t="shared" si="493"/>
        <v>9754.8742669499716</v>
      </c>
      <c r="F4441" s="61"/>
      <c r="G4441" s="181">
        <f t="shared" si="494"/>
        <v>35277.473926984741</v>
      </c>
    </row>
    <row r="4442" spans="1:7" hidden="1">
      <c r="A4442" s="39" t="s">
        <v>613</v>
      </c>
      <c r="B4442" s="43"/>
      <c r="C4442" s="181">
        <f t="shared" ref="C4442" si="532">B4442/B$4472*C$4470</f>
        <v>0</v>
      </c>
      <c r="D4442" s="181">
        <f t="shared" si="492"/>
        <v>0</v>
      </c>
      <c r="E4442" s="181">
        <f t="shared" si="493"/>
        <v>0</v>
      </c>
      <c r="F4442" s="57"/>
      <c r="G4442" s="181">
        <f t="shared" si="494"/>
        <v>0</v>
      </c>
    </row>
    <row r="4443" spans="1:7" hidden="1">
      <c r="A4443" s="39" t="s">
        <v>678</v>
      </c>
      <c r="B4443" s="43"/>
      <c r="C4443" s="181">
        <f t="shared" ref="C4443" si="533">B4443/B$4472*C$4470</f>
        <v>0</v>
      </c>
      <c r="D4443" s="181">
        <f t="shared" si="492"/>
        <v>0</v>
      </c>
      <c r="E4443" s="181">
        <f t="shared" si="493"/>
        <v>0</v>
      </c>
      <c r="F4443" s="57"/>
      <c r="G4443" s="181">
        <f t="shared" si="494"/>
        <v>0</v>
      </c>
    </row>
    <row r="4444" spans="1:7" hidden="1">
      <c r="A4444" s="39" t="s">
        <v>676</v>
      </c>
      <c r="B4444" s="43"/>
      <c r="C4444" s="181">
        <f t="shared" ref="C4444" si="534">B4444/B$4472*C$4470</f>
        <v>0</v>
      </c>
      <c r="D4444" s="181">
        <f t="shared" si="492"/>
        <v>0</v>
      </c>
      <c r="E4444" s="181">
        <f t="shared" si="493"/>
        <v>0</v>
      </c>
      <c r="F4444" s="57"/>
      <c r="G4444" s="181">
        <f t="shared" si="494"/>
        <v>0</v>
      </c>
    </row>
    <row r="4445" spans="1:7">
      <c r="A4445" s="58" t="s">
        <v>674</v>
      </c>
      <c r="B4445" s="59">
        <v>10</v>
      </c>
      <c r="C4445" s="181">
        <f t="shared" ref="C4445" si="535">B4445/B$4472*C$4470</f>
        <v>10905.975970639367</v>
      </c>
      <c r="D4445" s="181">
        <f t="shared" si="492"/>
        <v>11287.588951129997</v>
      </c>
      <c r="E4445" s="181">
        <f t="shared" si="493"/>
        <v>8482.4993625651914</v>
      </c>
      <c r="F4445" s="61"/>
      <c r="G4445" s="181">
        <f t="shared" si="494"/>
        <v>30676.064284334556</v>
      </c>
    </row>
    <row r="4446" spans="1:7" hidden="1">
      <c r="A4446" s="39" t="s">
        <v>614</v>
      </c>
      <c r="B4446" s="43"/>
      <c r="C4446" s="181">
        <f t="shared" ref="C4446" si="536">B4446/B$4472*C$4470</f>
        <v>0</v>
      </c>
      <c r="D4446" s="181">
        <f t="shared" si="492"/>
        <v>0</v>
      </c>
      <c r="E4446" s="181">
        <f t="shared" si="493"/>
        <v>0</v>
      </c>
      <c r="F4446" s="57"/>
      <c r="G4446" s="181">
        <f t="shared" si="494"/>
        <v>0</v>
      </c>
    </row>
    <row r="4447" spans="1:7" hidden="1">
      <c r="A4447" s="39" t="s">
        <v>614</v>
      </c>
      <c r="B4447" s="43"/>
      <c r="C4447" s="181">
        <f t="shared" ref="C4447" si="537">B4447/B$4472*C$4470</f>
        <v>0</v>
      </c>
      <c r="D4447" s="181">
        <f t="shared" si="492"/>
        <v>0</v>
      </c>
      <c r="E4447" s="181">
        <f t="shared" si="493"/>
        <v>0</v>
      </c>
      <c r="F4447" s="57"/>
      <c r="G4447" s="181">
        <f t="shared" si="494"/>
        <v>0</v>
      </c>
    </row>
    <row r="4448" spans="1:7">
      <c r="A4448" s="39" t="s">
        <v>675</v>
      </c>
      <c r="B4448" s="45">
        <v>44</v>
      </c>
      <c r="C4448" s="66">
        <f t="shared" ref="C4448" si="538">B4448/B$4472*C$4470</f>
        <v>47986.294270813218</v>
      </c>
      <c r="D4448" s="66">
        <f t="shared" si="492"/>
        <v>49665.39138497199</v>
      </c>
      <c r="E4448" s="66">
        <f t="shared" si="493"/>
        <v>37322.997195286851</v>
      </c>
      <c r="F4448" s="57"/>
      <c r="G4448" s="44">
        <f t="shared" si="494"/>
        <v>134974.68285107205</v>
      </c>
    </row>
    <row r="4449" spans="1:7" hidden="1">
      <c r="A4449" s="39" t="s">
        <v>603</v>
      </c>
      <c r="B4449" s="45"/>
      <c r="C4449" s="44">
        <f t="shared" ref="C4449" si="539">B4449/B$4472*C$4470</f>
        <v>0</v>
      </c>
      <c r="D4449" s="44">
        <f t="shared" si="492"/>
        <v>0</v>
      </c>
      <c r="E4449" s="44">
        <f t="shared" si="493"/>
        <v>0</v>
      </c>
      <c r="F4449" s="57"/>
      <c r="G4449" s="44">
        <f t="shared" si="494"/>
        <v>0</v>
      </c>
    </row>
    <row r="4450" spans="1:7">
      <c r="A4450" s="39" t="s">
        <v>603</v>
      </c>
      <c r="B4450" s="45">
        <v>6</v>
      </c>
      <c r="C4450" s="66">
        <f t="shared" ref="C4450" si="540">B4450/B$4472*C$4470</f>
        <v>6543.5855823836191</v>
      </c>
      <c r="D4450" s="66">
        <f t="shared" si="492"/>
        <v>6772.5533706779979</v>
      </c>
      <c r="E4450" s="66">
        <f t="shared" si="493"/>
        <v>5089.4996175391152</v>
      </c>
      <c r="F4450" s="57"/>
      <c r="G4450" s="44">
        <f t="shared" si="494"/>
        <v>18405.638570600735</v>
      </c>
    </row>
    <row r="4451" spans="1:7" hidden="1">
      <c r="A4451" s="39" t="s">
        <v>18</v>
      </c>
      <c r="B4451" s="43"/>
      <c r="C4451" s="44"/>
      <c r="D4451" s="44"/>
      <c r="E4451" s="181">
        <f t="shared" ref="E4451" si="541">D4451/D$4472*E$4472</f>
        <v>0</v>
      </c>
      <c r="F4451" s="57"/>
      <c r="G4451" s="44"/>
    </row>
    <row r="4452" spans="1:7" hidden="1">
      <c r="A4452" s="39" t="s">
        <v>192</v>
      </c>
      <c r="B4452" s="43"/>
      <c r="C4452" s="44"/>
      <c r="D4452" s="44"/>
      <c r="E4452" s="181">
        <f t="shared" ref="E4452" si="542">D4452/D$4472*E$4472</f>
        <v>0</v>
      </c>
      <c r="F4452" s="57"/>
      <c r="G4452" s="44"/>
    </row>
    <row r="4453" spans="1:7" hidden="1">
      <c r="A4453" s="39" t="s">
        <v>19</v>
      </c>
      <c r="B4453" s="43"/>
      <c r="C4453" s="44"/>
      <c r="D4453" s="44"/>
      <c r="E4453" s="181">
        <f t="shared" ref="E4453" si="543">D4453/D$4472*E$4472</f>
        <v>0</v>
      </c>
      <c r="F4453" s="57"/>
      <c r="G4453" s="44"/>
    </row>
    <row r="4454" spans="1:7" hidden="1">
      <c r="A4454" s="39" t="s">
        <v>193</v>
      </c>
      <c r="B4454" s="43"/>
      <c r="C4454" s="44"/>
      <c r="D4454" s="44"/>
      <c r="E4454" s="181">
        <f t="shared" ref="E4454" si="544">D4454/D$4472*E$4472</f>
        <v>0</v>
      </c>
      <c r="F4454" s="57"/>
      <c r="G4454" s="44"/>
    </row>
    <row r="4455" spans="1:7" hidden="1">
      <c r="A4455" s="39" t="s">
        <v>194</v>
      </c>
      <c r="B4455" s="43"/>
      <c r="C4455" s="44"/>
      <c r="D4455" s="44"/>
      <c r="E4455" s="181">
        <f t="shared" ref="E4455" si="545">D4455/D$4472*E$4472</f>
        <v>0</v>
      </c>
      <c r="F4455" s="57"/>
      <c r="G4455" s="44"/>
    </row>
    <row r="4456" spans="1:7" hidden="1">
      <c r="A4456" s="39" t="s">
        <v>195</v>
      </c>
      <c r="B4456" s="43"/>
      <c r="C4456" s="44"/>
      <c r="D4456" s="44"/>
      <c r="E4456" s="181">
        <f t="shared" ref="E4456" si="546">D4456/D$4472*E$4472</f>
        <v>0</v>
      </c>
      <c r="F4456" s="57"/>
      <c r="G4456" s="44"/>
    </row>
    <row r="4457" spans="1:7" hidden="1">
      <c r="A4457" s="39" t="s">
        <v>196</v>
      </c>
      <c r="B4457" s="43"/>
      <c r="C4457" s="44"/>
      <c r="D4457" s="44"/>
      <c r="E4457" s="181">
        <f t="shared" ref="E4457" si="547">D4457/D$4472*E$4472</f>
        <v>0</v>
      </c>
      <c r="F4457" s="57"/>
      <c r="G4457" s="44"/>
    </row>
    <row r="4458" spans="1:7" hidden="1">
      <c r="A4458" s="39" t="s">
        <v>197</v>
      </c>
      <c r="B4458" s="43"/>
      <c r="C4458" s="44"/>
      <c r="D4458" s="44"/>
      <c r="E4458" s="181">
        <f t="shared" ref="E4458" si="548">D4458/D$4472*E$4472</f>
        <v>0</v>
      </c>
      <c r="F4458" s="57"/>
      <c r="G4458" s="44"/>
    </row>
    <row r="4459" spans="1:7" hidden="1">
      <c r="A4459" s="39" t="s">
        <v>198</v>
      </c>
      <c r="B4459" s="43"/>
      <c r="C4459" s="44"/>
      <c r="D4459" s="44"/>
      <c r="E4459" s="181">
        <f t="shared" ref="E4459" si="549">D4459/D$4472*E$4472</f>
        <v>0</v>
      </c>
      <c r="F4459" s="57"/>
      <c r="G4459" s="44"/>
    </row>
    <row r="4460" spans="1:7" hidden="1">
      <c r="A4460" s="39" t="s">
        <v>199</v>
      </c>
      <c r="B4460" s="43"/>
      <c r="C4460" s="44"/>
      <c r="D4460" s="44"/>
      <c r="E4460" s="181">
        <f t="shared" ref="E4460" si="550">D4460/D$4472*E$4472</f>
        <v>0</v>
      </c>
      <c r="F4460" s="57"/>
      <c r="G4460" s="44"/>
    </row>
    <row r="4461" spans="1:7" hidden="1">
      <c r="A4461" s="39" t="s">
        <v>200</v>
      </c>
      <c r="B4461" s="43"/>
      <c r="C4461" s="44"/>
      <c r="D4461" s="44"/>
      <c r="E4461" s="181">
        <f t="shared" ref="E4461" si="551">D4461/D$4472*E$4472</f>
        <v>0</v>
      </c>
      <c r="F4461" s="57"/>
      <c r="G4461" s="44"/>
    </row>
    <row r="4462" spans="1:7" hidden="1">
      <c r="A4462" s="39" t="s">
        <v>201</v>
      </c>
      <c r="B4462" s="43"/>
      <c r="C4462" s="44"/>
      <c r="D4462" s="44"/>
      <c r="E4462" s="181">
        <f t="shared" ref="E4462" si="552">D4462/D$4472*E$4472</f>
        <v>0</v>
      </c>
      <c r="F4462" s="57"/>
      <c r="G4462" s="44"/>
    </row>
    <row r="4463" spans="1:7" hidden="1">
      <c r="A4463" s="49" t="s">
        <v>207</v>
      </c>
      <c r="B4463" s="43"/>
      <c r="C4463" s="44"/>
      <c r="D4463" s="44"/>
      <c r="E4463" s="181">
        <f t="shared" ref="E4463" si="553">D4463/D$4472*E$4472</f>
        <v>0</v>
      </c>
      <c r="F4463" s="44"/>
      <c r="G4463" s="44"/>
    </row>
    <row r="4464" spans="1:7" hidden="1">
      <c r="A4464" s="46" t="s">
        <v>203</v>
      </c>
      <c r="B4464" s="43"/>
      <c r="C4464" s="44"/>
      <c r="D4464" s="44"/>
      <c r="E4464" s="181">
        <f t="shared" ref="E4464" si="554">D4464/D$4472*E$4472</f>
        <v>0</v>
      </c>
      <c r="F4464" s="57"/>
      <c r="G4464" s="44"/>
    </row>
    <row r="4465" spans="1:7" hidden="1">
      <c r="A4465" s="46" t="s">
        <v>204</v>
      </c>
      <c r="B4465" s="43"/>
      <c r="C4465" s="44"/>
      <c r="D4465" s="44"/>
      <c r="E4465" s="181">
        <f t="shared" ref="E4465" si="555">D4465/D$4472*E$4472</f>
        <v>0</v>
      </c>
      <c r="F4465" s="57"/>
      <c r="G4465" s="44"/>
    </row>
    <row r="4466" spans="1:7" hidden="1">
      <c r="A4466" s="46" t="s">
        <v>205</v>
      </c>
      <c r="B4466" s="43"/>
      <c r="C4466" s="44"/>
      <c r="D4466" s="44"/>
      <c r="E4466" s="181">
        <f t="shared" ref="E4466" si="556">D4466/D$4472*E$4472</f>
        <v>0</v>
      </c>
      <c r="F4466" s="57"/>
      <c r="G4466" s="44"/>
    </row>
    <row r="4467" spans="1:7" hidden="1">
      <c r="A4467" s="224" t="s">
        <v>622</v>
      </c>
      <c r="B4467" s="48"/>
      <c r="C4467" s="50"/>
      <c r="D4467" s="50"/>
      <c r="E4467" s="181">
        <f t="shared" ref="E4467" si="557">D4467/D$4472*E$4472</f>
        <v>0</v>
      </c>
      <c r="F4467" s="96"/>
      <c r="G4467" s="44"/>
    </row>
    <row r="4468" spans="1:7" hidden="1">
      <c r="A4468" s="239" t="s">
        <v>601</v>
      </c>
      <c r="B4468" s="43"/>
      <c r="C4468" s="44"/>
      <c r="D4468" s="44"/>
      <c r="E4468" s="181">
        <f t="shared" ref="E4468" si="558">D4468/D$4472*E$4472</f>
        <v>0</v>
      </c>
      <c r="F4468" s="44"/>
      <c r="G4468" s="44"/>
    </row>
    <row r="4469" spans="1:7" hidden="1">
      <c r="A4469" s="239" t="s">
        <v>389</v>
      </c>
      <c r="B4469" s="43"/>
      <c r="C4469" s="44"/>
      <c r="D4469" s="44"/>
      <c r="E4469" s="181">
        <f t="shared" ref="E4469" si="559">D4469/D$4472*E$4472</f>
        <v>0</v>
      </c>
      <c r="F4469" s="44"/>
      <c r="G4469" s="44"/>
    </row>
    <row r="4470" spans="1:7">
      <c r="A4470" s="239" t="s">
        <v>816</v>
      </c>
      <c r="B4470" s="43"/>
      <c r="C4470" s="50">
        <f>C4472-C4471</f>
        <v>182129.79870967742</v>
      </c>
      <c r="D4470" s="50">
        <f t="shared" ref="D4470:E4470" si="560">D4472-D4471</f>
        <v>188502.73548387096</v>
      </c>
      <c r="E4470" s="50">
        <f t="shared" si="560"/>
        <v>141657.7393548387</v>
      </c>
      <c r="F4470" s="50"/>
      <c r="G4470" s="50">
        <f>G4472-G4471</f>
        <v>512290.27354838699</v>
      </c>
    </row>
    <row r="4471" spans="1:7">
      <c r="A4471" s="239" t="s">
        <v>792</v>
      </c>
      <c r="B4471" s="43"/>
      <c r="C4471" s="44">
        <f>C4472*7/31</f>
        <v>53121.191290322582</v>
      </c>
      <c r="D4471" s="44">
        <f>D4472*7/31</f>
        <v>54979.964516129032</v>
      </c>
      <c r="E4471" s="44">
        <f>E4472*7/31</f>
        <v>41316.840645161283</v>
      </c>
      <c r="F4471" s="44"/>
      <c r="G4471" s="44">
        <f>SUM(C4471:E4471)</f>
        <v>149417.99645161291</v>
      </c>
    </row>
    <row r="4472" spans="1:7">
      <c r="A4472" s="48" t="s">
        <v>209</v>
      </c>
      <c r="B4472" s="48">
        <f>SUM(B4385:B4469)</f>
        <v>167</v>
      </c>
      <c r="C4472" s="50">
        <f>235250.99</f>
        <v>235250.99</v>
      </c>
      <c r="D4472" s="50">
        <f>15597.8+157960.3+37209.1+26213.7+6501.8</f>
        <v>243482.69999999998</v>
      </c>
      <c r="E4472" s="50">
        <f>182974.58</f>
        <v>182974.58</v>
      </c>
      <c r="F4472" s="50"/>
      <c r="G4472" s="96">
        <f>SUM(C4472:F4472)</f>
        <v>661708.2699999999</v>
      </c>
    </row>
    <row r="4473" spans="1:7">
      <c r="A4473" s="63" t="s">
        <v>791</v>
      </c>
      <c r="B4473" s="52"/>
      <c r="C4473" s="51"/>
      <c r="D4473" s="51"/>
      <c r="E4473" s="64"/>
      <c r="F4473" s="65"/>
      <c r="G4473" s="40"/>
    </row>
    <row r="4474" spans="1:7">
      <c r="A4474" s="63"/>
      <c r="B4474" s="52"/>
      <c r="C4474" s="51"/>
      <c r="D4474" s="51"/>
      <c r="E4474" s="51"/>
      <c r="F4474" s="65"/>
      <c r="G4474" s="40"/>
    </row>
    <row r="4475" spans="1:7">
      <c r="A4475" s="51"/>
      <c r="B4475" s="52"/>
      <c r="C4475" s="51"/>
      <c r="D4475" s="51"/>
      <c r="E4475" s="51"/>
      <c r="F4475" s="65"/>
      <c r="G4475" s="40"/>
    </row>
    <row r="4476" spans="1:7">
      <c r="A4476" s="269" t="s">
        <v>786</v>
      </c>
      <c r="B4476" s="269"/>
      <c r="C4476" s="269"/>
      <c r="D4476" s="269"/>
      <c r="E4476" s="269"/>
      <c r="F4476" s="269"/>
      <c r="G4476" s="40"/>
    </row>
    <row r="4477" spans="1:7">
      <c r="A4477" s="42" t="s">
        <v>86</v>
      </c>
      <c r="B4477" s="56" t="s">
        <v>211</v>
      </c>
      <c r="C4477" s="59" t="s">
        <v>212</v>
      </c>
      <c r="D4477" s="59" t="s">
        <v>88</v>
      </c>
      <c r="E4477" s="56" t="s">
        <v>89</v>
      </c>
      <c r="F4477" s="59" t="s">
        <v>90</v>
      </c>
      <c r="G4477" s="45" t="s">
        <v>213</v>
      </c>
    </row>
    <row r="4478" spans="1:7" hidden="1">
      <c r="A4478" s="42" t="s">
        <v>20</v>
      </c>
      <c r="B4478" s="43"/>
      <c r="C4478" s="43"/>
      <c r="D4478" s="44"/>
      <c r="E4478" s="44"/>
      <c r="F4478" s="44"/>
      <c r="G4478" s="39"/>
    </row>
    <row r="4479" spans="1:7" hidden="1">
      <c r="A4479" s="42" t="s">
        <v>214</v>
      </c>
      <c r="B4479" s="43"/>
      <c r="C4479" s="43"/>
      <c r="D4479" s="44"/>
      <c r="E4479" s="44"/>
      <c r="F4479" s="44"/>
      <c r="G4479" s="44"/>
    </row>
    <row r="4480" spans="1:7" hidden="1">
      <c r="A4480" s="42" t="s">
        <v>215</v>
      </c>
      <c r="B4480" s="43"/>
      <c r="C4480" s="43"/>
      <c r="D4480" s="44"/>
      <c r="E4480" s="44"/>
      <c r="F4480" s="44"/>
      <c r="G4480" s="44"/>
    </row>
    <row r="4481" spans="1:7" hidden="1">
      <c r="A4481" s="42" t="s">
        <v>216</v>
      </c>
      <c r="B4481" s="43"/>
      <c r="C4481" s="43"/>
      <c r="D4481" s="44"/>
      <c r="E4481" s="44"/>
      <c r="F4481" s="44"/>
      <c r="G4481" s="44"/>
    </row>
    <row r="4482" spans="1:7" hidden="1">
      <c r="A4482" s="42" t="s">
        <v>217</v>
      </c>
      <c r="B4482" s="43"/>
      <c r="C4482" s="43"/>
      <c r="D4482" s="44"/>
      <c r="E4482" s="44"/>
      <c r="F4482" s="44"/>
      <c r="G4482" s="44"/>
    </row>
    <row r="4483" spans="1:7" hidden="1">
      <c r="A4483" s="42" t="s">
        <v>218</v>
      </c>
      <c r="B4483" s="45"/>
      <c r="C4483" s="45"/>
      <c r="D4483" s="44"/>
      <c r="E4483" s="44"/>
      <c r="F4483" s="44"/>
      <c r="G4483" s="44"/>
    </row>
    <row r="4484" spans="1:7">
      <c r="A4484" s="42" t="s">
        <v>771</v>
      </c>
      <c r="B4484" s="45">
        <v>252</v>
      </c>
      <c r="C4484" s="45">
        <v>640</v>
      </c>
      <c r="D4484" s="66">
        <f>C4484/C$4517*D$4517</f>
        <v>127939.5575221239</v>
      </c>
      <c r="E4484" s="66">
        <f>B4484/B$4517*E$4517</f>
        <v>86194.94512820513</v>
      </c>
      <c r="F4484" s="66">
        <f>C4484/C$4517*F$4517</f>
        <v>108108.26548672565</v>
      </c>
      <c r="G4484" s="44">
        <f>SUM(D4484:F4484)</f>
        <v>322242.76813705469</v>
      </c>
    </row>
    <row r="4485" spans="1:7" hidden="1">
      <c r="A4485" s="42" t="s">
        <v>21</v>
      </c>
      <c r="B4485" s="43"/>
      <c r="C4485" s="43"/>
      <c r="D4485" s="44">
        <f t="shared" ref="D4485:D4516" si="561">C4485/C$4517*D$4517</f>
        <v>0</v>
      </c>
      <c r="E4485" s="44">
        <f t="shared" ref="E4485:E4501" si="562">B4485/B$4517*E$4517</f>
        <v>0</v>
      </c>
      <c r="F4485" s="44">
        <f t="shared" ref="F4485:F4501" si="563">C4485/C$4517*F$4517</f>
        <v>0</v>
      </c>
      <c r="G4485" s="44">
        <f t="shared" ref="G4485:G4501" si="564">SUM(D4485:F4485)</f>
        <v>0</v>
      </c>
    </row>
    <row r="4486" spans="1:7" hidden="1">
      <c r="A4486" s="42" t="s">
        <v>220</v>
      </c>
      <c r="B4486" s="43"/>
      <c r="C4486" s="43"/>
      <c r="D4486" s="44">
        <f t="shared" si="561"/>
        <v>0</v>
      </c>
      <c r="E4486" s="44">
        <f t="shared" si="562"/>
        <v>0</v>
      </c>
      <c r="F4486" s="44">
        <f t="shared" si="563"/>
        <v>0</v>
      </c>
      <c r="G4486" s="44">
        <f t="shared" si="564"/>
        <v>0</v>
      </c>
    </row>
    <row r="4487" spans="1:7" hidden="1">
      <c r="A4487" s="42" t="s">
        <v>221</v>
      </c>
      <c r="B4487" s="43"/>
      <c r="C4487" s="43"/>
      <c r="D4487" s="44">
        <f t="shared" si="561"/>
        <v>0</v>
      </c>
      <c r="E4487" s="44">
        <f t="shared" si="562"/>
        <v>0</v>
      </c>
      <c r="F4487" s="44">
        <f t="shared" si="563"/>
        <v>0</v>
      </c>
      <c r="G4487" s="44">
        <f t="shared" si="564"/>
        <v>0</v>
      </c>
    </row>
    <row r="4488" spans="1:7" hidden="1">
      <c r="A4488" s="42" t="s">
        <v>22</v>
      </c>
      <c r="B4488" s="43"/>
      <c r="C4488" s="43"/>
      <c r="D4488" s="44">
        <f t="shared" si="561"/>
        <v>0</v>
      </c>
      <c r="E4488" s="44">
        <f t="shared" si="562"/>
        <v>0</v>
      </c>
      <c r="F4488" s="44">
        <f t="shared" si="563"/>
        <v>0</v>
      </c>
      <c r="G4488" s="44">
        <f t="shared" si="564"/>
        <v>0</v>
      </c>
    </row>
    <row r="4489" spans="1:7" hidden="1">
      <c r="A4489" s="42" t="s">
        <v>23</v>
      </c>
      <c r="B4489" s="43"/>
      <c r="C4489" s="43"/>
      <c r="D4489" s="44">
        <f t="shared" si="561"/>
        <v>0</v>
      </c>
      <c r="E4489" s="44">
        <f t="shared" si="562"/>
        <v>0</v>
      </c>
      <c r="F4489" s="44">
        <f t="shared" si="563"/>
        <v>0</v>
      </c>
      <c r="G4489" s="44">
        <f t="shared" si="564"/>
        <v>0</v>
      </c>
    </row>
    <row r="4490" spans="1:7" hidden="1">
      <c r="A4490" s="42" t="s">
        <v>24</v>
      </c>
      <c r="B4490" s="43"/>
      <c r="C4490" s="43"/>
      <c r="D4490" s="44">
        <f t="shared" si="561"/>
        <v>0</v>
      </c>
      <c r="E4490" s="44">
        <f t="shared" si="562"/>
        <v>0</v>
      </c>
      <c r="F4490" s="44">
        <f t="shared" si="563"/>
        <v>0</v>
      </c>
      <c r="G4490" s="44">
        <f t="shared" si="564"/>
        <v>0</v>
      </c>
    </row>
    <row r="4491" spans="1:7" hidden="1">
      <c r="A4491" s="42" t="s">
        <v>222</v>
      </c>
      <c r="B4491" s="43"/>
      <c r="C4491" s="43"/>
      <c r="D4491" s="44">
        <f t="shared" si="561"/>
        <v>0</v>
      </c>
      <c r="E4491" s="44">
        <f t="shared" si="562"/>
        <v>0</v>
      </c>
      <c r="F4491" s="44">
        <f t="shared" si="563"/>
        <v>0</v>
      </c>
      <c r="G4491" s="44">
        <f t="shared" si="564"/>
        <v>0</v>
      </c>
    </row>
    <row r="4492" spans="1:7">
      <c r="A4492" s="42" t="s">
        <v>789</v>
      </c>
      <c r="B4492" s="43">
        <v>140</v>
      </c>
      <c r="C4492" s="43">
        <v>256</v>
      </c>
      <c r="D4492" s="66">
        <f t="shared" si="561"/>
        <v>51175.823008849555</v>
      </c>
      <c r="E4492" s="66">
        <f t="shared" si="562"/>
        <v>47886.080626780633</v>
      </c>
      <c r="F4492" s="66">
        <f t="shared" si="563"/>
        <v>43243.30619469026</v>
      </c>
      <c r="G4492" s="44">
        <f t="shared" si="564"/>
        <v>142305.20983032044</v>
      </c>
    </row>
    <row r="4493" spans="1:7" hidden="1">
      <c r="A4493" s="42" t="s">
        <v>224</v>
      </c>
      <c r="B4493" s="43"/>
      <c r="C4493" s="43"/>
      <c r="D4493" s="44">
        <f t="shared" si="561"/>
        <v>0</v>
      </c>
      <c r="E4493" s="44">
        <f t="shared" si="562"/>
        <v>0</v>
      </c>
      <c r="F4493" s="44">
        <f t="shared" si="563"/>
        <v>0</v>
      </c>
      <c r="G4493" s="44">
        <f t="shared" si="564"/>
        <v>0</v>
      </c>
    </row>
    <row r="4494" spans="1:7">
      <c r="A4494" s="42" t="s">
        <v>773</v>
      </c>
      <c r="B4494" s="43">
        <v>144</v>
      </c>
      <c r="C4494" s="43">
        <v>384</v>
      </c>
      <c r="D4494" s="66">
        <f t="shared" si="561"/>
        <v>76763.734513274336</v>
      </c>
      <c r="E4494" s="66">
        <f t="shared" si="562"/>
        <v>49254.254358974358</v>
      </c>
      <c r="F4494" s="66">
        <f t="shared" si="563"/>
        <v>64864.95929203539</v>
      </c>
      <c r="G4494" s="44">
        <f t="shared" si="564"/>
        <v>190882.94816428408</v>
      </c>
    </row>
    <row r="4495" spans="1:7" hidden="1">
      <c r="A4495" s="42" t="s">
        <v>226</v>
      </c>
      <c r="B4495" s="43"/>
      <c r="C4495" s="43"/>
      <c r="D4495" s="44">
        <f t="shared" si="561"/>
        <v>0</v>
      </c>
      <c r="E4495" s="44">
        <f t="shared" si="562"/>
        <v>0</v>
      </c>
      <c r="F4495" s="44">
        <f t="shared" si="563"/>
        <v>0</v>
      </c>
      <c r="G4495" s="44">
        <f t="shared" si="564"/>
        <v>0</v>
      </c>
    </row>
    <row r="4496" spans="1:7" hidden="1">
      <c r="A4496" s="42" t="s">
        <v>774</v>
      </c>
      <c r="B4496" s="43"/>
      <c r="C4496" s="43"/>
      <c r="D4496" s="44">
        <f t="shared" si="561"/>
        <v>0</v>
      </c>
      <c r="E4496" s="44">
        <f t="shared" si="562"/>
        <v>0</v>
      </c>
      <c r="F4496" s="44">
        <f t="shared" si="563"/>
        <v>0</v>
      </c>
      <c r="G4496" s="44">
        <f t="shared" si="564"/>
        <v>0</v>
      </c>
    </row>
    <row r="4497" spans="1:7" hidden="1">
      <c r="A4497" s="46" t="s">
        <v>228</v>
      </c>
      <c r="B4497" s="43"/>
      <c r="C4497" s="43"/>
      <c r="D4497" s="44">
        <f t="shared" si="561"/>
        <v>0</v>
      </c>
      <c r="E4497" s="44">
        <f t="shared" si="562"/>
        <v>0</v>
      </c>
      <c r="F4497" s="44">
        <f t="shared" si="563"/>
        <v>0</v>
      </c>
      <c r="G4497" s="44">
        <f t="shared" si="564"/>
        <v>0</v>
      </c>
    </row>
    <row r="4498" spans="1:7" hidden="1">
      <c r="A4498" s="42" t="s">
        <v>25</v>
      </c>
      <c r="B4498" s="43"/>
      <c r="C4498" s="43"/>
      <c r="D4498" s="44">
        <f t="shared" si="561"/>
        <v>0</v>
      </c>
      <c r="E4498" s="44">
        <f t="shared" si="562"/>
        <v>0</v>
      </c>
      <c r="F4498" s="44">
        <f t="shared" si="563"/>
        <v>0</v>
      </c>
      <c r="G4498" s="44">
        <f t="shared" si="564"/>
        <v>0</v>
      </c>
    </row>
    <row r="4499" spans="1:7" hidden="1">
      <c r="A4499" s="46" t="s">
        <v>463</v>
      </c>
      <c r="B4499" s="43"/>
      <c r="C4499" s="43"/>
      <c r="D4499" s="44">
        <f t="shared" si="561"/>
        <v>0</v>
      </c>
      <c r="E4499" s="44">
        <f t="shared" si="562"/>
        <v>0</v>
      </c>
      <c r="F4499" s="44">
        <f t="shared" si="563"/>
        <v>0</v>
      </c>
      <c r="G4499" s="44">
        <f t="shared" si="564"/>
        <v>0</v>
      </c>
    </row>
    <row r="4500" spans="1:7" hidden="1">
      <c r="A4500" s="46" t="s">
        <v>464</v>
      </c>
      <c r="B4500" s="184"/>
      <c r="C4500" s="184"/>
      <c r="D4500" s="44">
        <f t="shared" si="561"/>
        <v>0</v>
      </c>
      <c r="E4500" s="44">
        <f t="shared" si="562"/>
        <v>0</v>
      </c>
      <c r="F4500" s="44">
        <f t="shared" si="563"/>
        <v>0</v>
      </c>
      <c r="G4500" s="44">
        <f t="shared" si="564"/>
        <v>0</v>
      </c>
    </row>
    <row r="4501" spans="1:7">
      <c r="A4501" s="42" t="s">
        <v>772</v>
      </c>
      <c r="B4501" s="43">
        <v>166</v>
      </c>
      <c r="C4501" s="43">
        <v>528</v>
      </c>
      <c r="D4501" s="66">
        <f t="shared" si="561"/>
        <v>105550.13495575222</v>
      </c>
      <c r="E4501" s="66">
        <f t="shared" si="562"/>
        <v>56779.209886039891</v>
      </c>
      <c r="F4501" s="66">
        <f t="shared" si="563"/>
        <v>89189.319026548663</v>
      </c>
      <c r="G4501" s="44">
        <f t="shared" si="564"/>
        <v>251518.66386834078</v>
      </c>
    </row>
    <row r="4502" spans="1:7" hidden="1">
      <c r="A4502" s="60" t="s">
        <v>772</v>
      </c>
      <c r="B4502" s="184"/>
      <c r="C4502" s="184"/>
      <c r="D4502" s="44">
        <f t="shared" si="561"/>
        <v>0</v>
      </c>
      <c r="E4502" s="44"/>
      <c r="F4502" s="44"/>
      <c r="G4502" s="44"/>
    </row>
    <row r="4503" spans="1:7" hidden="1">
      <c r="A4503" s="42" t="s">
        <v>231</v>
      </c>
      <c r="B4503" s="43"/>
      <c r="C4503" s="43"/>
      <c r="D4503" s="44">
        <f t="shared" si="561"/>
        <v>0</v>
      </c>
      <c r="E4503" s="44"/>
      <c r="F4503" s="44"/>
      <c r="G4503" s="44"/>
    </row>
    <row r="4504" spans="1:7" hidden="1">
      <c r="A4504" s="42" t="s">
        <v>232</v>
      </c>
      <c r="B4504" s="43"/>
      <c r="C4504" s="43"/>
      <c r="D4504" s="44">
        <f t="shared" si="561"/>
        <v>0</v>
      </c>
      <c r="E4504" s="44"/>
      <c r="F4504" s="44"/>
      <c r="G4504" s="44"/>
    </row>
    <row r="4505" spans="1:7" hidden="1">
      <c r="A4505" s="42" t="s">
        <v>26</v>
      </c>
      <c r="B4505" s="43"/>
      <c r="C4505" s="43"/>
      <c r="D4505" s="44">
        <f t="shared" si="561"/>
        <v>0</v>
      </c>
      <c r="E4505" s="44"/>
      <c r="F4505" s="44"/>
      <c r="G4505" s="44"/>
    </row>
    <row r="4506" spans="1:7" hidden="1">
      <c r="A4506" s="42" t="s">
        <v>27</v>
      </c>
      <c r="B4506" s="43"/>
      <c r="C4506" s="43"/>
      <c r="D4506" s="44">
        <f t="shared" si="561"/>
        <v>0</v>
      </c>
      <c r="E4506" s="44"/>
      <c r="F4506" s="44"/>
      <c r="G4506" s="44"/>
    </row>
    <row r="4507" spans="1:7" hidden="1">
      <c r="A4507" s="42" t="s">
        <v>28</v>
      </c>
      <c r="B4507" s="43"/>
      <c r="C4507" s="43"/>
      <c r="D4507" s="44">
        <f t="shared" si="561"/>
        <v>0</v>
      </c>
      <c r="E4507" s="44"/>
      <c r="F4507" s="44"/>
      <c r="G4507" s="44"/>
    </row>
    <row r="4508" spans="1:7" hidden="1">
      <c r="A4508" s="46" t="s">
        <v>233</v>
      </c>
      <c r="B4508" s="43"/>
      <c r="C4508" s="43"/>
      <c r="D4508" s="44">
        <f t="shared" si="561"/>
        <v>0</v>
      </c>
      <c r="E4508" s="44"/>
      <c r="F4508" s="44"/>
      <c r="G4508" s="44"/>
    </row>
    <row r="4509" spans="1:7" hidden="1">
      <c r="A4509" s="46" t="s">
        <v>235</v>
      </c>
      <c r="B4509" s="43"/>
      <c r="C4509" s="43"/>
      <c r="D4509" s="44">
        <f t="shared" si="561"/>
        <v>0</v>
      </c>
      <c r="E4509" s="44"/>
      <c r="F4509" s="44"/>
      <c r="G4509" s="44"/>
    </row>
    <row r="4510" spans="1:7" hidden="1">
      <c r="A4510" s="46" t="s">
        <v>775</v>
      </c>
      <c r="B4510" s="43"/>
      <c r="C4510" s="43"/>
      <c r="D4510" s="44">
        <f t="shared" si="561"/>
        <v>0</v>
      </c>
      <c r="E4510" s="44"/>
      <c r="F4510" s="44"/>
      <c r="G4510" s="44"/>
    </row>
    <row r="4511" spans="1:7" hidden="1">
      <c r="A4511" s="39" t="s">
        <v>239</v>
      </c>
      <c r="B4511" s="43"/>
      <c r="C4511" s="45"/>
      <c r="D4511" s="44">
        <f t="shared" si="561"/>
        <v>0</v>
      </c>
      <c r="E4511" s="44"/>
      <c r="F4511" s="44"/>
      <c r="G4511" s="44"/>
    </row>
    <row r="4512" spans="1:7" hidden="1">
      <c r="A4512" s="110" t="s">
        <v>529</v>
      </c>
      <c r="B4512" s="43"/>
      <c r="C4512" s="45"/>
      <c r="D4512" s="44">
        <f t="shared" si="561"/>
        <v>0</v>
      </c>
      <c r="E4512" s="44"/>
      <c r="F4512" s="44"/>
      <c r="G4512" s="44"/>
    </row>
    <row r="4513" spans="1:7" hidden="1">
      <c r="A4513" s="110" t="s">
        <v>530</v>
      </c>
      <c r="B4513" s="43"/>
      <c r="C4513" s="45"/>
      <c r="D4513" s="44">
        <f t="shared" si="561"/>
        <v>0</v>
      </c>
      <c r="E4513" s="44"/>
      <c r="F4513" s="44"/>
      <c r="G4513" s="44"/>
    </row>
    <row r="4514" spans="1:7" hidden="1">
      <c r="A4514" s="110" t="s">
        <v>531</v>
      </c>
      <c r="B4514" s="43"/>
      <c r="C4514" s="45"/>
      <c r="D4514" s="44">
        <f t="shared" si="561"/>
        <v>0</v>
      </c>
      <c r="E4514" s="44"/>
      <c r="F4514" s="44"/>
      <c r="G4514" s="44"/>
    </row>
    <row r="4515" spans="1:7" hidden="1">
      <c r="A4515" s="49" t="s">
        <v>238</v>
      </c>
      <c r="B4515" s="45"/>
      <c r="C4515" s="45"/>
      <c r="D4515" s="44">
        <f t="shared" si="561"/>
        <v>0</v>
      </c>
      <c r="E4515" s="44"/>
      <c r="F4515" s="44"/>
      <c r="G4515" s="44"/>
    </row>
    <row r="4516" spans="1:7" hidden="1">
      <c r="A4516" s="225" t="s">
        <v>624</v>
      </c>
      <c r="B4516" s="43"/>
      <c r="C4516" s="39"/>
      <c r="D4516" s="44">
        <f t="shared" si="561"/>
        <v>0</v>
      </c>
      <c r="E4516" s="44"/>
      <c r="F4516" s="44"/>
      <c r="G4516" s="44"/>
    </row>
    <row r="4517" spans="1:7">
      <c r="A4517" s="200" t="s">
        <v>625</v>
      </c>
      <c r="B4517" s="45">
        <f>SUM(B4478:B4516)</f>
        <v>702</v>
      </c>
      <c r="C4517" s="45">
        <f>SUM(C4478:C4516)</f>
        <v>1808</v>
      </c>
      <c r="D4517" s="44">
        <f>361429.25</f>
        <v>361429.25</v>
      </c>
      <c r="E4517" s="44">
        <f>30152.8+78756.6+24258.89+81911+25035.2</f>
        <v>240114.49000000002</v>
      </c>
      <c r="F4517" s="44">
        <v>305405.84999999998</v>
      </c>
      <c r="G4517" s="44">
        <f>SUM(D4517:F4517)</f>
        <v>906949.59</v>
      </c>
    </row>
    <row r="4518" spans="1:7">
      <c r="A4518" s="268" t="s">
        <v>377</v>
      </c>
      <c r="B4518" s="268"/>
      <c r="C4518" s="268"/>
      <c r="D4518" s="268"/>
      <c r="E4518" s="268"/>
      <c r="F4518" s="268"/>
      <c r="G4518" s="268"/>
    </row>
    <row r="4519" spans="1:7">
      <c r="A4519" s="233"/>
      <c r="B4519" s="64"/>
      <c r="C4519" s="65"/>
      <c r="D4519" s="65"/>
      <c r="E4519" s="64"/>
      <c r="F4519" s="65"/>
      <c r="G4519" s="40"/>
    </row>
    <row r="4520" spans="1:7">
      <c r="A4520" s="65"/>
      <c r="B4520" s="64"/>
      <c r="C4520" s="65"/>
      <c r="D4520" s="65"/>
      <c r="E4520" s="64"/>
      <c r="F4520" s="65"/>
      <c r="G4520" s="40"/>
    </row>
    <row r="4521" spans="1:7">
      <c r="A4521" s="65"/>
      <c r="B4521" s="64"/>
      <c r="C4521" s="65"/>
      <c r="D4521" s="65"/>
      <c r="E4521" s="64"/>
      <c r="F4521" s="65"/>
      <c r="G4521" s="40"/>
    </row>
    <row r="4522" spans="1:7">
      <c r="A4522" s="65"/>
      <c r="B4522" s="64"/>
      <c r="C4522" s="65"/>
      <c r="D4522" s="65"/>
      <c r="E4522" s="64"/>
      <c r="F4522" s="65"/>
      <c r="G4522" s="40"/>
    </row>
    <row r="4523" spans="1:7">
      <c r="A4523" s="269" t="s">
        <v>787</v>
      </c>
      <c r="B4523" s="269"/>
      <c r="C4523" s="269"/>
      <c r="D4523" s="269"/>
      <c r="E4523" s="269"/>
      <c r="F4523" s="269"/>
      <c r="G4523" s="40"/>
    </row>
    <row r="4524" spans="1:7">
      <c r="A4524" s="42" t="s">
        <v>86</v>
      </c>
      <c r="B4524" s="43" t="s">
        <v>246</v>
      </c>
      <c r="C4524" s="43" t="s">
        <v>88</v>
      </c>
      <c r="D4524" s="43" t="s">
        <v>89</v>
      </c>
      <c r="E4524" s="43" t="s">
        <v>90</v>
      </c>
      <c r="F4524" s="43" t="s">
        <v>91</v>
      </c>
      <c r="G4524" s="40"/>
    </row>
    <row r="4525" spans="1:7" hidden="1">
      <c r="A4525" s="67" t="s">
        <v>627</v>
      </c>
      <c r="B4525" s="43"/>
      <c r="C4525" s="42"/>
      <c r="D4525" s="42"/>
      <c r="E4525" s="42"/>
      <c r="F4525" s="42"/>
      <c r="G4525" s="40"/>
    </row>
    <row r="4526" spans="1:7" hidden="1">
      <c r="A4526" s="67" t="s">
        <v>248</v>
      </c>
      <c r="B4526" s="43"/>
      <c r="C4526" s="42"/>
      <c r="D4526" s="42"/>
      <c r="E4526" s="42"/>
      <c r="F4526" s="42"/>
      <c r="G4526" s="40"/>
    </row>
    <row r="4527" spans="1:7" hidden="1">
      <c r="A4527" s="67" t="s">
        <v>249</v>
      </c>
      <c r="B4527" s="45"/>
      <c r="C4527" s="42"/>
      <c r="D4527" s="42"/>
      <c r="E4527" s="42"/>
      <c r="F4527" s="42"/>
      <c r="G4527" s="40"/>
    </row>
    <row r="4528" spans="1:7" hidden="1">
      <c r="A4528" s="159" t="s">
        <v>633</v>
      </c>
      <c r="B4528" s="43"/>
      <c r="C4528" s="42"/>
      <c r="D4528" s="42"/>
      <c r="E4528" s="42"/>
      <c r="F4528" s="42"/>
      <c r="G4528" s="40"/>
    </row>
    <row r="4529" spans="1:7" hidden="1">
      <c r="A4529" s="159" t="s">
        <v>634</v>
      </c>
      <c r="B4529" s="43"/>
      <c r="C4529" s="42"/>
      <c r="D4529" s="42"/>
      <c r="E4529" s="42"/>
      <c r="F4529" s="42"/>
      <c r="G4529" s="40"/>
    </row>
    <row r="4530" spans="1:7" hidden="1">
      <c r="A4530" s="67" t="s">
        <v>251</v>
      </c>
      <c r="B4530" s="43"/>
      <c r="C4530" s="42"/>
      <c r="D4530" s="42"/>
      <c r="E4530" s="42"/>
      <c r="F4530" s="42"/>
      <c r="G4530" s="40"/>
    </row>
    <row r="4531" spans="1:7" hidden="1">
      <c r="A4531" s="68" t="s">
        <v>252</v>
      </c>
      <c r="B4531" s="69"/>
      <c r="C4531" s="42"/>
      <c r="D4531" s="42"/>
      <c r="E4531" s="42"/>
      <c r="F4531" s="42"/>
      <c r="G4531" s="40"/>
    </row>
    <row r="4532" spans="1:7" hidden="1">
      <c r="A4532" s="68" t="s">
        <v>253</v>
      </c>
      <c r="B4532" s="69"/>
      <c r="C4532" s="42"/>
      <c r="D4532" s="42"/>
      <c r="E4532" s="42"/>
      <c r="F4532" s="42"/>
      <c r="G4532" s="40"/>
    </row>
    <row r="4533" spans="1:7" hidden="1">
      <c r="A4533" s="68" t="s">
        <v>745</v>
      </c>
      <c r="B4533" s="69"/>
      <c r="C4533" s="42"/>
      <c r="D4533" s="42"/>
      <c r="E4533" s="42"/>
      <c r="F4533" s="42"/>
      <c r="G4533" s="40"/>
    </row>
    <row r="4534" spans="1:7">
      <c r="A4534" s="67" t="s">
        <v>719</v>
      </c>
      <c r="B4534" s="70">
        <v>36</v>
      </c>
      <c r="C4534" s="53">
        <f>B4534/B$4569*C$4569</f>
        <v>16908.497608695656</v>
      </c>
      <c r="D4534" s="53">
        <f t="shared" ref="D4534:F4534" si="565">C4534/C$4569*D$4569</f>
        <v>22100.480217391309</v>
      </c>
      <c r="E4534" s="53">
        <f t="shared" si="565"/>
        <v>21783.22434782609</v>
      </c>
      <c r="F4534" s="42">
        <f t="shared" si="565"/>
        <v>60792.202173913058</v>
      </c>
      <c r="G4534" s="40"/>
    </row>
    <row r="4535" spans="1:7" hidden="1">
      <c r="A4535" s="217" t="s">
        <v>719</v>
      </c>
      <c r="B4535" s="70"/>
      <c r="C4535" s="42">
        <f t="shared" ref="C4535:F4535" si="566">B4535/B$4569*C$4569</f>
        <v>0</v>
      </c>
      <c r="D4535" s="42">
        <f t="shared" si="566"/>
        <v>0</v>
      </c>
      <c r="E4535" s="42">
        <f t="shared" si="566"/>
        <v>0</v>
      </c>
      <c r="F4535" s="42">
        <f t="shared" si="566"/>
        <v>0</v>
      </c>
      <c r="G4535" s="40"/>
    </row>
    <row r="4536" spans="1:7" hidden="1">
      <c r="A4536" s="67" t="s">
        <v>255</v>
      </c>
      <c r="B4536" s="70"/>
      <c r="C4536" s="42">
        <f t="shared" ref="C4536:F4536" si="567">B4536/B$4569*C$4569</f>
        <v>0</v>
      </c>
      <c r="D4536" s="42">
        <f t="shared" si="567"/>
        <v>0</v>
      </c>
      <c r="E4536" s="42">
        <f t="shared" si="567"/>
        <v>0</v>
      </c>
      <c r="F4536" s="42">
        <f t="shared" si="567"/>
        <v>0</v>
      </c>
      <c r="G4536" s="40"/>
    </row>
    <row r="4537" spans="1:7" hidden="1">
      <c r="A4537" s="67" t="s">
        <v>256</v>
      </c>
      <c r="B4537" s="196"/>
      <c r="C4537" s="42">
        <f t="shared" ref="C4537:F4537" si="568">B4537/B$4569*C$4569</f>
        <v>0</v>
      </c>
      <c r="D4537" s="42">
        <f t="shared" si="568"/>
        <v>0</v>
      </c>
      <c r="E4537" s="42">
        <f t="shared" si="568"/>
        <v>0</v>
      </c>
      <c r="F4537" s="42">
        <f t="shared" si="568"/>
        <v>0</v>
      </c>
      <c r="G4537" s="40"/>
    </row>
    <row r="4538" spans="1:7" hidden="1">
      <c r="A4538" s="67" t="s">
        <v>720</v>
      </c>
      <c r="B4538" s="70"/>
      <c r="C4538" s="42">
        <f t="shared" ref="C4538:F4538" si="569">B4538/B$4569*C$4569</f>
        <v>0</v>
      </c>
      <c r="D4538" s="42">
        <f t="shared" si="569"/>
        <v>0</v>
      </c>
      <c r="E4538" s="42">
        <f t="shared" si="569"/>
        <v>0</v>
      </c>
      <c r="F4538" s="42">
        <f t="shared" si="569"/>
        <v>0</v>
      </c>
      <c r="G4538" s="40"/>
    </row>
    <row r="4539" spans="1:7" hidden="1">
      <c r="A4539" s="67" t="s">
        <v>720</v>
      </c>
      <c r="B4539" s="70"/>
      <c r="C4539" s="42">
        <f t="shared" ref="C4539:F4539" si="570">B4539/B$4569*C$4569</f>
        <v>0</v>
      </c>
      <c r="D4539" s="42">
        <f t="shared" si="570"/>
        <v>0</v>
      </c>
      <c r="E4539" s="42">
        <f t="shared" si="570"/>
        <v>0</v>
      </c>
      <c r="F4539" s="42">
        <f t="shared" si="570"/>
        <v>0</v>
      </c>
      <c r="G4539" s="40"/>
    </row>
    <row r="4540" spans="1:7" ht="26.4">
      <c r="A4540" s="67" t="s">
        <v>743</v>
      </c>
      <c r="B4540" s="70">
        <v>16</v>
      </c>
      <c r="C4540" s="53">
        <f t="shared" ref="C4540:F4540" si="571">B4540/B$4569*C$4569</f>
        <v>7514.8878260869569</v>
      </c>
      <c r="D4540" s="53">
        <f t="shared" si="571"/>
        <v>9822.4356521739119</v>
      </c>
      <c r="E4540" s="53">
        <f t="shared" si="571"/>
        <v>9681.4330434782605</v>
      </c>
      <c r="F4540" s="42">
        <f t="shared" si="571"/>
        <v>27018.756521739131</v>
      </c>
      <c r="G4540" s="40"/>
    </row>
    <row r="4541" spans="1:7" hidden="1">
      <c r="A4541" s="71" t="s">
        <v>258</v>
      </c>
      <c r="B4541" s="72"/>
      <c r="C4541" s="42">
        <f t="shared" ref="C4541:F4541" si="572">B4541/B$4569*C$4569</f>
        <v>0</v>
      </c>
      <c r="D4541" s="42">
        <f t="shared" si="572"/>
        <v>0</v>
      </c>
      <c r="E4541" s="42">
        <f t="shared" si="572"/>
        <v>0</v>
      </c>
      <c r="F4541" s="42">
        <f t="shared" si="572"/>
        <v>0</v>
      </c>
      <c r="G4541" s="40"/>
    </row>
    <row r="4542" spans="1:7" hidden="1">
      <c r="A4542" s="67" t="s">
        <v>259</v>
      </c>
      <c r="B4542" s="43"/>
      <c r="C4542" s="42">
        <f t="shared" ref="C4542:F4542" si="573">B4542/B$4569*C$4569</f>
        <v>0</v>
      </c>
      <c r="D4542" s="42">
        <f t="shared" si="573"/>
        <v>0</v>
      </c>
      <c r="E4542" s="42">
        <f t="shared" si="573"/>
        <v>0</v>
      </c>
      <c r="F4542" s="42">
        <f t="shared" si="573"/>
        <v>0</v>
      </c>
      <c r="G4542" s="40"/>
    </row>
    <row r="4543" spans="1:7" hidden="1">
      <c r="A4543" s="73" t="s">
        <v>584</v>
      </c>
      <c r="B4543" s="43"/>
      <c r="C4543" s="42">
        <f t="shared" ref="C4543:F4543" si="574">B4543/B$4569*C$4569</f>
        <v>0</v>
      </c>
      <c r="D4543" s="42">
        <f t="shared" si="574"/>
        <v>0</v>
      </c>
      <c r="E4543" s="42">
        <f t="shared" si="574"/>
        <v>0</v>
      </c>
      <c r="F4543" s="42">
        <f t="shared" si="574"/>
        <v>0</v>
      </c>
      <c r="G4543" s="40"/>
    </row>
    <row r="4544" spans="1:7" ht="26.4">
      <c r="A4544" s="73" t="s">
        <v>722</v>
      </c>
      <c r="B4544" s="43">
        <v>15</v>
      </c>
      <c r="C4544" s="53">
        <f t="shared" ref="C4544:F4544" si="575">B4544/B$4569*C$4569</f>
        <v>7045.2073369565223</v>
      </c>
      <c r="D4544" s="53">
        <f t="shared" si="575"/>
        <v>9208.5334239130425</v>
      </c>
      <c r="E4544" s="53">
        <f t="shared" si="575"/>
        <v>9076.3434782608692</v>
      </c>
      <c r="F4544" s="42">
        <f t="shared" si="575"/>
        <v>25330.084239130436</v>
      </c>
      <c r="G4544" s="40"/>
    </row>
    <row r="4545" spans="1:7" ht="26.4">
      <c r="A4545" s="73" t="s">
        <v>632</v>
      </c>
      <c r="B4545" s="43">
        <v>71</v>
      </c>
      <c r="C4545" s="53">
        <f t="shared" ref="C4545:F4545" si="576">B4545/B$4569*C$4569</f>
        <v>33347.31472826087</v>
      </c>
      <c r="D4545" s="53">
        <f t="shared" si="576"/>
        <v>43587.058206521739</v>
      </c>
      <c r="E4545" s="53">
        <f t="shared" si="576"/>
        <v>42961.359130434779</v>
      </c>
      <c r="F4545" s="42">
        <f t="shared" si="576"/>
        <v>119895.73206521739</v>
      </c>
      <c r="G4545" s="40"/>
    </row>
    <row r="4546" spans="1:7" hidden="1">
      <c r="A4546" s="73" t="s">
        <v>262</v>
      </c>
      <c r="B4546" s="43"/>
      <c r="C4546" s="42">
        <f t="shared" ref="C4546:F4546" si="577">B4546/B$4569*C$4569</f>
        <v>0</v>
      </c>
      <c r="D4546" s="42">
        <f t="shared" si="577"/>
        <v>0</v>
      </c>
      <c r="E4546" s="42">
        <f t="shared" si="577"/>
        <v>0</v>
      </c>
      <c r="F4546" s="42">
        <f t="shared" si="577"/>
        <v>0</v>
      </c>
      <c r="G4546" s="40"/>
    </row>
    <row r="4547" spans="1:7" hidden="1">
      <c r="A4547" s="74" t="s">
        <v>628</v>
      </c>
      <c r="B4547" s="43"/>
      <c r="C4547" s="42">
        <f t="shared" ref="C4547:F4547" si="578">B4547/B$4569*C$4569</f>
        <v>0</v>
      </c>
      <c r="D4547" s="42">
        <f t="shared" si="578"/>
        <v>0</v>
      </c>
      <c r="E4547" s="42">
        <f t="shared" si="578"/>
        <v>0</v>
      </c>
      <c r="F4547" s="42">
        <f t="shared" si="578"/>
        <v>0</v>
      </c>
      <c r="G4547" s="40"/>
    </row>
    <row r="4548" spans="1:7" hidden="1">
      <c r="A4548" s="74" t="s">
        <v>264</v>
      </c>
      <c r="B4548" s="196"/>
      <c r="C4548" s="42">
        <f t="shared" ref="C4548:F4548" si="579">B4548/B$4569*C$4569</f>
        <v>0</v>
      </c>
      <c r="D4548" s="42">
        <f t="shared" si="579"/>
        <v>0</v>
      </c>
      <c r="E4548" s="42">
        <f t="shared" si="579"/>
        <v>0</v>
      </c>
      <c r="F4548" s="42">
        <f t="shared" si="579"/>
        <v>0</v>
      </c>
      <c r="G4548" s="40"/>
    </row>
    <row r="4549" spans="1:7" hidden="1">
      <c r="A4549" s="74" t="s">
        <v>549</v>
      </c>
      <c r="B4549" s="43"/>
      <c r="C4549" s="42">
        <f t="shared" ref="C4549:F4549" si="580">B4549/B$4569*C$4569</f>
        <v>0</v>
      </c>
      <c r="D4549" s="42">
        <f t="shared" si="580"/>
        <v>0</v>
      </c>
      <c r="E4549" s="42">
        <f t="shared" si="580"/>
        <v>0</v>
      </c>
      <c r="F4549" s="42">
        <f t="shared" si="580"/>
        <v>0</v>
      </c>
      <c r="G4549" s="40"/>
    </row>
    <row r="4550" spans="1:7" hidden="1">
      <c r="A4550" s="74" t="s">
        <v>742</v>
      </c>
      <c r="B4550" s="43"/>
      <c r="C4550" s="42">
        <f t="shared" ref="C4550:F4550" si="581">B4550/B$4569*C$4569</f>
        <v>0</v>
      </c>
      <c r="D4550" s="42">
        <f t="shared" si="581"/>
        <v>0</v>
      </c>
      <c r="E4550" s="42">
        <f t="shared" si="581"/>
        <v>0</v>
      </c>
      <c r="F4550" s="42">
        <f t="shared" si="581"/>
        <v>0</v>
      </c>
      <c r="G4550" s="40"/>
    </row>
    <row r="4551" spans="1:7" ht="26.4">
      <c r="A4551" s="74" t="s">
        <v>631</v>
      </c>
      <c r="B4551" s="43">
        <v>26</v>
      </c>
      <c r="C4551" s="53">
        <f t="shared" ref="C4551:F4551" si="582">B4551/B$4569*C$4569</f>
        <v>12211.692717391305</v>
      </c>
      <c r="D4551" s="53">
        <f t="shared" si="582"/>
        <v>15961.457934782607</v>
      </c>
      <c r="E4551" s="53">
        <f t="shared" si="582"/>
        <v>15732.328695652172</v>
      </c>
      <c r="F4551" s="42">
        <f t="shared" si="582"/>
        <v>43905.479347826084</v>
      </c>
      <c r="G4551" s="40"/>
    </row>
    <row r="4552" spans="1:7" hidden="1">
      <c r="A4552" s="74" t="s">
        <v>267</v>
      </c>
      <c r="B4552" s="48"/>
      <c r="C4552" s="42">
        <f t="shared" ref="C4552:F4552" si="583">B4552/B$4569*C$4569</f>
        <v>0</v>
      </c>
      <c r="D4552" s="42">
        <f t="shared" si="583"/>
        <v>0</v>
      </c>
      <c r="E4552" s="42">
        <f t="shared" si="583"/>
        <v>0</v>
      </c>
      <c r="F4552" s="42">
        <f t="shared" si="583"/>
        <v>0</v>
      </c>
      <c r="G4552" s="40"/>
    </row>
    <row r="4553" spans="1:7" ht="26.4" hidden="1">
      <c r="A4553" s="74" t="s">
        <v>744</v>
      </c>
      <c r="B4553" s="43"/>
      <c r="C4553" s="42">
        <f t="shared" ref="C4553:F4553" si="584">B4553/B$4569*C$4569</f>
        <v>0</v>
      </c>
      <c r="D4553" s="42">
        <f t="shared" si="584"/>
        <v>0</v>
      </c>
      <c r="E4553" s="42">
        <f t="shared" si="584"/>
        <v>0</v>
      </c>
      <c r="F4553" s="42">
        <f t="shared" si="584"/>
        <v>0</v>
      </c>
      <c r="G4553" s="40"/>
    </row>
    <row r="4554" spans="1:7" hidden="1">
      <c r="A4554" s="67" t="s">
        <v>269</v>
      </c>
      <c r="B4554" s="43"/>
      <c r="C4554" s="42">
        <f t="shared" ref="C4554:F4554" si="585">B4554/B$4569*C$4569</f>
        <v>0</v>
      </c>
      <c r="D4554" s="42">
        <f t="shared" si="585"/>
        <v>0</v>
      </c>
      <c r="E4554" s="42">
        <f t="shared" si="585"/>
        <v>0</v>
      </c>
      <c r="F4554" s="42">
        <f t="shared" si="585"/>
        <v>0</v>
      </c>
      <c r="G4554" s="40"/>
    </row>
    <row r="4555" spans="1:7" hidden="1">
      <c r="A4555" s="159" t="s">
        <v>629</v>
      </c>
      <c r="B4555" s="43"/>
      <c r="C4555" s="42">
        <f t="shared" ref="C4555:F4555" si="586">B4555/B$4569*C$4569</f>
        <v>0</v>
      </c>
      <c r="D4555" s="42">
        <f t="shared" si="586"/>
        <v>0</v>
      </c>
      <c r="E4555" s="42">
        <f t="shared" si="586"/>
        <v>0</v>
      </c>
      <c r="F4555" s="42">
        <f t="shared" si="586"/>
        <v>0</v>
      </c>
      <c r="G4555" s="40"/>
    </row>
    <row r="4556" spans="1:7" hidden="1">
      <c r="A4556" s="159" t="s">
        <v>630</v>
      </c>
      <c r="B4556" s="43"/>
      <c r="C4556" s="42">
        <f t="shared" ref="C4556:F4556" si="587">B4556/B$4569*C$4569</f>
        <v>0</v>
      </c>
      <c r="D4556" s="42">
        <f t="shared" si="587"/>
        <v>0</v>
      </c>
      <c r="E4556" s="42">
        <f t="shared" si="587"/>
        <v>0</v>
      </c>
      <c r="F4556" s="42">
        <f t="shared" si="587"/>
        <v>0</v>
      </c>
      <c r="G4556" s="40"/>
    </row>
    <row r="4557" spans="1:7">
      <c r="A4557" s="159" t="s">
        <v>721</v>
      </c>
      <c r="B4557" s="43">
        <v>20</v>
      </c>
      <c r="C4557" s="53">
        <f t="shared" ref="C4557:F4557" si="588">B4557/B$4569*C$4569</f>
        <v>9393.6097826086952</v>
      </c>
      <c r="D4557" s="53">
        <f t="shared" si="588"/>
        <v>12278.044565217389</v>
      </c>
      <c r="E4557" s="53">
        <f t="shared" si="588"/>
        <v>12101.791304347824</v>
      </c>
      <c r="F4557" s="42">
        <f t="shared" si="588"/>
        <v>33773.445652173912</v>
      </c>
      <c r="G4557" s="40"/>
    </row>
    <row r="4558" spans="1:7" hidden="1">
      <c r="A4558" s="67" t="s">
        <v>271</v>
      </c>
      <c r="B4558" s="43"/>
      <c r="C4558" s="42"/>
      <c r="D4558" s="42"/>
      <c r="E4558" s="42"/>
      <c r="F4558" s="42"/>
      <c r="G4558" s="40"/>
    </row>
    <row r="4559" spans="1:7" hidden="1">
      <c r="A4559" s="67" t="s">
        <v>272</v>
      </c>
      <c r="B4559" s="43"/>
      <c r="C4559" s="42"/>
      <c r="D4559" s="42"/>
      <c r="E4559" s="42"/>
      <c r="F4559" s="42"/>
      <c r="G4559" s="40"/>
    </row>
    <row r="4560" spans="1:7" hidden="1">
      <c r="A4560" s="67" t="s">
        <v>273</v>
      </c>
      <c r="B4560" s="43"/>
      <c r="C4560" s="42"/>
      <c r="D4560" s="42"/>
      <c r="E4560" s="42"/>
      <c r="F4560" s="42"/>
      <c r="G4560" s="40"/>
    </row>
    <row r="4561" spans="1:7" hidden="1">
      <c r="A4561" s="67" t="s">
        <v>274</v>
      </c>
      <c r="B4561" s="43"/>
      <c r="C4561" s="42"/>
      <c r="D4561" s="42"/>
      <c r="E4561" s="42"/>
      <c r="F4561" s="42"/>
      <c r="G4561" s="40"/>
    </row>
    <row r="4562" spans="1:7" hidden="1">
      <c r="A4562" s="67" t="s">
        <v>275</v>
      </c>
      <c r="B4562" s="43"/>
      <c r="C4562" s="42"/>
      <c r="D4562" s="42"/>
      <c r="E4562" s="42"/>
      <c r="F4562" s="42"/>
      <c r="G4562" s="40"/>
    </row>
    <row r="4563" spans="1:7" hidden="1">
      <c r="A4563" s="67" t="s">
        <v>276</v>
      </c>
      <c r="B4563" s="43"/>
      <c r="C4563" s="42"/>
      <c r="D4563" s="42"/>
      <c r="E4563" s="42"/>
      <c r="F4563" s="42"/>
      <c r="G4563" s="40"/>
    </row>
    <row r="4564" spans="1:7" hidden="1">
      <c r="A4564" s="67" t="s">
        <v>277</v>
      </c>
      <c r="B4564" s="43"/>
      <c r="C4564" s="42"/>
      <c r="D4564" s="42"/>
      <c r="E4564" s="42"/>
      <c r="F4564" s="42"/>
      <c r="G4564" s="40"/>
    </row>
    <row r="4565" spans="1:7" hidden="1">
      <c r="A4565" s="67" t="s">
        <v>536</v>
      </c>
      <c r="B4565" s="43"/>
      <c r="C4565" s="42"/>
      <c r="D4565" s="42"/>
      <c r="E4565" s="42"/>
      <c r="F4565" s="42"/>
      <c r="G4565" s="40"/>
    </row>
    <row r="4566" spans="1:7" hidden="1">
      <c r="A4566" s="79" t="s">
        <v>533</v>
      </c>
      <c r="B4566" s="43"/>
      <c r="C4566" s="42"/>
      <c r="D4566" s="42"/>
      <c r="E4566" s="42"/>
      <c r="F4566" s="42"/>
      <c r="G4566" s="40"/>
    </row>
    <row r="4567" spans="1:7" hidden="1">
      <c r="A4567" s="49" t="s">
        <v>278</v>
      </c>
      <c r="B4567" s="43"/>
      <c r="C4567" s="42"/>
      <c r="D4567" s="42"/>
      <c r="E4567" s="42"/>
      <c r="F4567" s="42"/>
      <c r="G4567" s="40"/>
    </row>
    <row r="4568" spans="1:7" hidden="1">
      <c r="A4568" s="225" t="s">
        <v>601</v>
      </c>
      <c r="B4568" s="43"/>
      <c r="C4568" s="42"/>
      <c r="D4568" s="42"/>
      <c r="E4568" s="42"/>
      <c r="F4568" s="42"/>
      <c r="G4568" s="40"/>
    </row>
    <row r="4569" spans="1:7">
      <c r="A4569" s="75" t="s">
        <v>281</v>
      </c>
      <c r="B4569" s="43">
        <f>SUM(B4525:B4568)</f>
        <v>184</v>
      </c>
      <c r="C4569" s="42">
        <f>86421.21</f>
        <v>86421.21</v>
      </c>
      <c r="D4569" s="42">
        <f>14427+55347+19917.81+16247.2+7019</f>
        <v>112958.01</v>
      </c>
      <c r="E4569" s="44">
        <f>111336.48</f>
        <v>111336.48</v>
      </c>
      <c r="F4569" s="42">
        <f>SUM(C4569:E4569)</f>
        <v>310715.7</v>
      </c>
      <c r="G4569" s="40"/>
    </row>
    <row r="4570" spans="1:7">
      <c r="A4570" s="219"/>
      <c r="B4570" s="41"/>
      <c r="C4570" s="40"/>
      <c r="D4570" s="40"/>
      <c r="E4570" s="41"/>
      <c r="F4570" s="40"/>
      <c r="G4570" s="40"/>
    </row>
    <row r="4572" spans="1:7">
      <c r="A4572" s="269" t="s">
        <v>788</v>
      </c>
      <c r="B4572" s="269"/>
      <c r="C4572" s="269"/>
      <c r="D4572" s="269"/>
      <c r="E4572" s="269"/>
      <c r="F4572" s="269"/>
      <c r="G4572" s="40"/>
    </row>
    <row r="4573" spans="1:7">
      <c r="A4573" s="42" t="s">
        <v>86</v>
      </c>
      <c r="B4573" s="43" t="s">
        <v>87</v>
      </c>
      <c r="C4573" s="43" t="s">
        <v>88</v>
      </c>
      <c r="D4573" s="43" t="s">
        <v>89</v>
      </c>
      <c r="E4573" s="43" t="s">
        <v>90</v>
      </c>
      <c r="F4573" s="43" t="s">
        <v>91</v>
      </c>
      <c r="G4573" s="40"/>
    </row>
    <row r="4574" spans="1:7" hidden="1">
      <c r="A4574" s="39" t="s">
        <v>746</v>
      </c>
      <c r="B4574" s="43"/>
      <c r="C4574" s="44"/>
      <c r="D4574" s="44"/>
      <c r="E4574" s="44"/>
      <c r="F4574" s="44"/>
      <c r="G4574" s="40"/>
    </row>
    <row r="4575" spans="1:7">
      <c r="A4575" s="39" t="s">
        <v>750</v>
      </c>
      <c r="B4575" s="43">
        <v>21</v>
      </c>
      <c r="C4575" s="66">
        <f>B4575/B$4638*C$4635</f>
        <v>12091.378260680034</v>
      </c>
      <c r="D4575" s="66">
        <f>B4575/B$4638*D$4635</f>
        <v>14487.898764167392</v>
      </c>
      <c r="E4575" s="66">
        <f>B4575/B$4638*E$4635</f>
        <v>16289.247731037487</v>
      </c>
      <c r="F4575" s="44">
        <f>SUM(C4575:E4575)</f>
        <v>42868.524755884915</v>
      </c>
      <c r="G4575" s="40"/>
    </row>
    <row r="4576" spans="1:7" hidden="1">
      <c r="A4576" s="39" t="s">
        <v>92</v>
      </c>
      <c r="B4576" s="43"/>
      <c r="C4576" s="44">
        <f t="shared" ref="C4576" si="589">B4576/B$4638*C$4635</f>
        <v>0</v>
      </c>
      <c r="D4576" s="44">
        <f t="shared" ref="D4576:D4617" si="590">B4576/B$4638*D$4635</f>
        <v>0</v>
      </c>
      <c r="E4576" s="44">
        <f t="shared" ref="E4576:E4617" si="591">B4576/B$4638*E$4635</f>
        <v>0</v>
      </c>
      <c r="F4576" s="44">
        <f t="shared" ref="F4576:F4617" si="592">SUM(C4576:E4576)</f>
        <v>0</v>
      </c>
      <c r="G4576" s="40"/>
    </row>
    <row r="4577" spans="1:7" hidden="1">
      <c r="A4577" s="39" t="s">
        <v>642</v>
      </c>
      <c r="B4577" s="43"/>
      <c r="C4577" s="44">
        <f t="shared" ref="C4577" si="593">B4577/B$4638*C$4635</f>
        <v>0</v>
      </c>
      <c r="D4577" s="44">
        <f t="shared" si="590"/>
        <v>0</v>
      </c>
      <c r="E4577" s="44">
        <f t="shared" si="591"/>
        <v>0</v>
      </c>
      <c r="F4577" s="44">
        <f t="shared" si="592"/>
        <v>0</v>
      </c>
      <c r="G4577" s="40"/>
    </row>
    <row r="4578" spans="1:7">
      <c r="A4578" s="39" t="s">
        <v>644</v>
      </c>
      <c r="B4578" s="43">
        <v>7</v>
      </c>
      <c r="C4578" s="66">
        <f t="shared" ref="C4578" si="594">B4578/B$4638*C$4635</f>
        <v>4030.459420226678</v>
      </c>
      <c r="D4578" s="66">
        <f t="shared" si="590"/>
        <v>4829.2995880557974</v>
      </c>
      <c r="E4578" s="66">
        <f t="shared" si="591"/>
        <v>5429.7492436791626</v>
      </c>
      <c r="F4578" s="44">
        <f t="shared" si="592"/>
        <v>14289.508251961637</v>
      </c>
      <c r="G4578" s="40"/>
    </row>
    <row r="4579" spans="1:7" hidden="1">
      <c r="A4579" s="39" t="s">
        <v>95</v>
      </c>
      <c r="B4579" s="43"/>
      <c r="C4579" s="44">
        <f t="shared" ref="C4579" si="595">B4579/B$4638*C$4635</f>
        <v>0</v>
      </c>
      <c r="D4579" s="44">
        <f t="shared" si="590"/>
        <v>0</v>
      </c>
      <c r="E4579" s="44">
        <f t="shared" si="591"/>
        <v>0</v>
      </c>
      <c r="F4579" s="44">
        <f t="shared" si="592"/>
        <v>0</v>
      </c>
      <c r="G4579" s="40"/>
    </row>
    <row r="4580" spans="1:7" hidden="1">
      <c r="A4580" s="39" t="s">
        <v>96</v>
      </c>
      <c r="B4580" s="43"/>
      <c r="C4580" s="44">
        <f t="shared" ref="C4580" si="596">B4580/B$4638*C$4635</f>
        <v>0</v>
      </c>
      <c r="D4580" s="44">
        <f t="shared" si="590"/>
        <v>0</v>
      </c>
      <c r="E4580" s="44">
        <f t="shared" si="591"/>
        <v>0</v>
      </c>
      <c r="F4580" s="44">
        <f t="shared" si="592"/>
        <v>0</v>
      </c>
      <c r="G4580" s="40"/>
    </row>
    <row r="4581" spans="1:7" hidden="1">
      <c r="A4581" s="39" t="s">
        <v>97</v>
      </c>
      <c r="B4581" s="43"/>
      <c r="C4581" s="44">
        <f t="shared" ref="C4581" si="597">B4581/B$4638*C$4635</f>
        <v>0</v>
      </c>
      <c r="D4581" s="44">
        <f t="shared" si="590"/>
        <v>0</v>
      </c>
      <c r="E4581" s="44">
        <f t="shared" si="591"/>
        <v>0</v>
      </c>
      <c r="F4581" s="44">
        <f t="shared" si="592"/>
        <v>0</v>
      </c>
      <c r="G4581" s="40"/>
    </row>
    <row r="4582" spans="1:7" hidden="1">
      <c r="A4582" s="39" t="s">
        <v>98</v>
      </c>
      <c r="B4582" s="43"/>
      <c r="C4582" s="44">
        <f t="shared" ref="C4582" si="598">B4582/B$4638*C$4635</f>
        <v>0</v>
      </c>
      <c r="D4582" s="44">
        <f t="shared" si="590"/>
        <v>0</v>
      </c>
      <c r="E4582" s="44">
        <f t="shared" si="591"/>
        <v>0</v>
      </c>
      <c r="F4582" s="44">
        <f t="shared" si="592"/>
        <v>0</v>
      </c>
      <c r="G4582" s="40"/>
    </row>
    <row r="4583" spans="1:7" hidden="1">
      <c r="A4583" s="39" t="s">
        <v>99</v>
      </c>
      <c r="B4583" s="43"/>
      <c r="C4583" s="44">
        <f t="shared" ref="C4583" si="599">B4583/B$4638*C$4635</f>
        <v>0</v>
      </c>
      <c r="D4583" s="44">
        <f t="shared" si="590"/>
        <v>0</v>
      </c>
      <c r="E4583" s="44">
        <f t="shared" si="591"/>
        <v>0</v>
      </c>
      <c r="F4583" s="44">
        <f t="shared" si="592"/>
        <v>0</v>
      </c>
      <c r="G4583" s="40"/>
    </row>
    <row r="4584" spans="1:7" hidden="1">
      <c r="A4584" s="39" t="s">
        <v>646</v>
      </c>
      <c r="B4584" s="45"/>
      <c r="C4584" s="44">
        <f t="shared" ref="C4584" si="600">B4584/B$4638*C$4635</f>
        <v>0</v>
      </c>
      <c r="D4584" s="44">
        <f t="shared" si="590"/>
        <v>0</v>
      </c>
      <c r="E4584" s="44">
        <f t="shared" si="591"/>
        <v>0</v>
      </c>
      <c r="F4584" s="44">
        <f t="shared" si="592"/>
        <v>0</v>
      </c>
      <c r="G4584" s="40"/>
    </row>
    <row r="4585" spans="1:7" hidden="1">
      <c r="A4585" s="39" t="s">
        <v>653</v>
      </c>
      <c r="B4585" s="43"/>
      <c r="C4585" s="44">
        <f t="shared" ref="C4585" si="601">B4585/B$4638*C$4635</f>
        <v>0</v>
      </c>
      <c r="D4585" s="44">
        <f t="shared" si="590"/>
        <v>0</v>
      </c>
      <c r="E4585" s="44">
        <f t="shared" si="591"/>
        <v>0</v>
      </c>
      <c r="F4585" s="44">
        <f t="shared" si="592"/>
        <v>0</v>
      </c>
      <c r="G4585" s="40"/>
    </row>
    <row r="4586" spans="1:7" hidden="1">
      <c r="A4586" s="39" t="s">
        <v>102</v>
      </c>
      <c r="B4586" s="43"/>
      <c r="C4586" s="44">
        <f t="shared" ref="C4586" si="602">B4586/B$4638*C$4635</f>
        <v>0</v>
      </c>
      <c r="D4586" s="44">
        <f t="shared" si="590"/>
        <v>0</v>
      </c>
      <c r="E4586" s="44">
        <f t="shared" si="591"/>
        <v>0</v>
      </c>
      <c r="F4586" s="44">
        <f t="shared" si="592"/>
        <v>0</v>
      </c>
      <c r="G4586" s="40"/>
    </row>
    <row r="4587" spans="1:7" hidden="1">
      <c r="A4587" s="39" t="s">
        <v>103</v>
      </c>
      <c r="B4587" s="43"/>
      <c r="C4587" s="44">
        <f t="shared" ref="C4587" si="603">B4587/B$4638*C$4635</f>
        <v>0</v>
      </c>
      <c r="D4587" s="44">
        <f t="shared" si="590"/>
        <v>0</v>
      </c>
      <c r="E4587" s="44">
        <f t="shared" si="591"/>
        <v>0</v>
      </c>
      <c r="F4587" s="44">
        <f t="shared" si="592"/>
        <v>0</v>
      </c>
      <c r="G4587" s="40"/>
    </row>
    <row r="4588" spans="1:7" hidden="1">
      <c r="A4588" s="39" t="s">
        <v>647</v>
      </c>
      <c r="B4588" s="45"/>
      <c r="C4588" s="44">
        <f t="shared" ref="C4588" si="604">B4588/B$4638*C$4635</f>
        <v>0</v>
      </c>
      <c r="D4588" s="44">
        <f t="shared" si="590"/>
        <v>0</v>
      </c>
      <c r="E4588" s="44">
        <f t="shared" si="591"/>
        <v>0</v>
      </c>
      <c r="F4588" s="44">
        <f t="shared" si="592"/>
        <v>0</v>
      </c>
      <c r="G4588" s="40"/>
    </row>
    <row r="4589" spans="1:7" hidden="1">
      <c r="A4589" s="39" t="s">
        <v>104</v>
      </c>
      <c r="B4589" s="45"/>
      <c r="C4589" s="44">
        <f t="shared" ref="C4589" si="605">B4589/B$4638*C$4635</f>
        <v>0</v>
      </c>
      <c r="D4589" s="44">
        <f t="shared" si="590"/>
        <v>0</v>
      </c>
      <c r="E4589" s="44">
        <f t="shared" si="591"/>
        <v>0</v>
      </c>
      <c r="F4589" s="44">
        <f t="shared" si="592"/>
        <v>0</v>
      </c>
      <c r="G4589" s="40"/>
    </row>
    <row r="4590" spans="1:7" hidden="1">
      <c r="A4590" s="39" t="s">
        <v>105</v>
      </c>
      <c r="B4590" s="43"/>
      <c r="C4590" s="44">
        <f t="shared" ref="C4590" si="606">B4590/B$4638*C$4635</f>
        <v>0</v>
      </c>
      <c r="D4590" s="44">
        <f t="shared" si="590"/>
        <v>0</v>
      </c>
      <c r="E4590" s="44">
        <f t="shared" si="591"/>
        <v>0</v>
      </c>
      <c r="F4590" s="44">
        <f t="shared" si="592"/>
        <v>0</v>
      </c>
      <c r="G4590" s="40"/>
    </row>
    <row r="4591" spans="1:7" hidden="1">
      <c r="A4591" s="39" t="s">
        <v>654</v>
      </c>
      <c r="B4591" s="43"/>
      <c r="C4591" s="44">
        <f t="shared" ref="C4591" si="607">B4591/B$4638*C$4635</f>
        <v>0</v>
      </c>
      <c r="D4591" s="44">
        <f t="shared" si="590"/>
        <v>0</v>
      </c>
      <c r="E4591" s="44">
        <f t="shared" si="591"/>
        <v>0</v>
      </c>
      <c r="F4591" s="44">
        <f t="shared" si="592"/>
        <v>0</v>
      </c>
      <c r="G4591" s="40"/>
    </row>
    <row r="4592" spans="1:7" hidden="1">
      <c r="A4592" s="39" t="s">
        <v>655</v>
      </c>
      <c r="B4592" s="43"/>
      <c r="C4592" s="44">
        <f t="shared" ref="C4592" si="608">B4592/B$4638*C$4635</f>
        <v>0</v>
      </c>
      <c r="D4592" s="44">
        <f t="shared" si="590"/>
        <v>0</v>
      </c>
      <c r="E4592" s="44">
        <f t="shared" si="591"/>
        <v>0</v>
      </c>
      <c r="F4592" s="44">
        <f t="shared" si="592"/>
        <v>0</v>
      </c>
      <c r="G4592" s="40"/>
    </row>
    <row r="4593" spans="1:7" hidden="1">
      <c r="A4593" s="39" t="s">
        <v>108</v>
      </c>
      <c r="B4593" s="45"/>
      <c r="C4593" s="44">
        <f t="shared" ref="C4593" si="609">B4593/B$4638*C$4635</f>
        <v>0</v>
      </c>
      <c r="D4593" s="44">
        <f t="shared" si="590"/>
        <v>0</v>
      </c>
      <c r="E4593" s="44">
        <f t="shared" si="591"/>
        <v>0</v>
      </c>
      <c r="F4593" s="44">
        <f t="shared" si="592"/>
        <v>0</v>
      </c>
      <c r="G4593" s="40"/>
    </row>
    <row r="4594" spans="1:7">
      <c r="A4594" s="39" t="s">
        <v>818</v>
      </c>
      <c r="B4594" s="43">
        <v>20</v>
      </c>
      <c r="C4594" s="66">
        <f t="shared" ref="C4594" si="610">B4594/B$4638*C$4635</f>
        <v>11515.598343504795</v>
      </c>
      <c r="D4594" s="66">
        <f t="shared" si="590"/>
        <v>13797.998823016565</v>
      </c>
      <c r="E4594" s="66">
        <f t="shared" si="591"/>
        <v>15513.569267654751</v>
      </c>
      <c r="F4594" s="44">
        <f t="shared" si="592"/>
        <v>40827.166434176106</v>
      </c>
      <c r="G4594" s="40"/>
    </row>
    <row r="4595" spans="1:7">
      <c r="A4595" s="39" t="s">
        <v>811</v>
      </c>
      <c r="B4595" s="43">
        <v>32.5</v>
      </c>
      <c r="C4595" s="66">
        <f t="shared" ref="C4595" si="611">B4595/B$4638*C$4635</f>
        <v>18712.847308195291</v>
      </c>
      <c r="D4595" s="66">
        <f t="shared" si="590"/>
        <v>22421.748087401917</v>
      </c>
      <c r="E4595" s="66">
        <f t="shared" si="591"/>
        <v>25209.550059938971</v>
      </c>
      <c r="F4595" s="44">
        <f t="shared" si="592"/>
        <v>66344.145455536171</v>
      </c>
      <c r="G4595" s="40"/>
    </row>
    <row r="4596" spans="1:7" hidden="1">
      <c r="A4596" s="39" t="s">
        <v>656</v>
      </c>
      <c r="B4596" s="45"/>
      <c r="C4596" s="44">
        <f t="shared" ref="C4596" si="612">B4596/B$4638*C$4635</f>
        <v>0</v>
      </c>
      <c r="D4596" s="44">
        <f t="shared" si="590"/>
        <v>0</v>
      </c>
      <c r="E4596" s="44">
        <f t="shared" si="591"/>
        <v>0</v>
      </c>
      <c r="F4596" s="44">
        <f t="shared" si="592"/>
        <v>0</v>
      </c>
      <c r="G4596" s="40"/>
    </row>
    <row r="4597" spans="1:7" hidden="1">
      <c r="A4597" s="39" t="s">
        <v>652</v>
      </c>
      <c r="B4597" s="45"/>
      <c r="C4597" s="44">
        <f t="shared" ref="C4597" si="613">B4597/B$4638*C$4635</f>
        <v>0</v>
      </c>
      <c r="D4597" s="44">
        <f t="shared" si="590"/>
        <v>0</v>
      </c>
      <c r="E4597" s="44">
        <f t="shared" si="591"/>
        <v>0</v>
      </c>
      <c r="F4597" s="44">
        <f t="shared" si="592"/>
        <v>0</v>
      </c>
      <c r="G4597" s="40"/>
    </row>
    <row r="4598" spans="1:7" hidden="1">
      <c r="A4598" s="39" t="s">
        <v>748</v>
      </c>
      <c r="B4598" s="43"/>
      <c r="C4598" s="44">
        <f t="shared" ref="C4598" si="614">B4598/B$4638*C$4635</f>
        <v>0</v>
      </c>
      <c r="D4598" s="44">
        <f t="shared" si="590"/>
        <v>0</v>
      </c>
      <c r="E4598" s="44">
        <f t="shared" si="591"/>
        <v>0</v>
      </c>
      <c r="F4598" s="44">
        <f t="shared" si="592"/>
        <v>0</v>
      </c>
      <c r="G4598" s="40"/>
    </row>
    <row r="4599" spans="1:7" hidden="1">
      <c r="A4599" s="39" t="s">
        <v>501</v>
      </c>
      <c r="B4599" s="43"/>
      <c r="C4599" s="44">
        <f t="shared" ref="C4599" si="615">B4599/B$4638*C$4635</f>
        <v>0</v>
      </c>
      <c r="D4599" s="44">
        <f t="shared" si="590"/>
        <v>0</v>
      </c>
      <c r="E4599" s="44">
        <f t="shared" si="591"/>
        <v>0</v>
      </c>
      <c r="F4599" s="44">
        <f t="shared" si="592"/>
        <v>0</v>
      </c>
      <c r="G4599" s="40"/>
    </row>
    <row r="4600" spans="1:7" hidden="1">
      <c r="A4600" s="39" t="s">
        <v>645</v>
      </c>
      <c r="B4600" s="43"/>
      <c r="C4600" s="44">
        <f t="shared" ref="C4600" si="616">B4600/B$4638*C$4635</f>
        <v>0</v>
      </c>
      <c r="D4600" s="44">
        <f t="shared" si="590"/>
        <v>0</v>
      </c>
      <c r="E4600" s="44">
        <f t="shared" si="591"/>
        <v>0</v>
      </c>
      <c r="F4600" s="44">
        <f t="shared" si="592"/>
        <v>0</v>
      </c>
      <c r="G4600" s="40"/>
    </row>
    <row r="4601" spans="1:7" hidden="1">
      <c r="A4601" s="39" t="s">
        <v>747</v>
      </c>
      <c r="B4601" s="43"/>
      <c r="C4601" s="44">
        <f t="shared" ref="C4601" si="617">B4601/B$4638*C$4635</f>
        <v>0</v>
      </c>
      <c r="D4601" s="44">
        <f t="shared" si="590"/>
        <v>0</v>
      </c>
      <c r="E4601" s="44">
        <f t="shared" si="591"/>
        <v>0</v>
      </c>
      <c r="F4601" s="44">
        <f t="shared" si="592"/>
        <v>0</v>
      </c>
      <c r="G4601" s="40"/>
    </row>
    <row r="4602" spans="1:7" hidden="1">
      <c r="A4602" s="39" t="s">
        <v>117</v>
      </c>
      <c r="B4602" s="43"/>
      <c r="C4602" s="44">
        <f t="shared" ref="C4602" si="618">B4602/B$4638*C$4635</f>
        <v>0</v>
      </c>
      <c r="D4602" s="44">
        <f t="shared" si="590"/>
        <v>0</v>
      </c>
      <c r="E4602" s="44">
        <f t="shared" si="591"/>
        <v>0</v>
      </c>
      <c r="F4602" s="44">
        <f t="shared" si="592"/>
        <v>0</v>
      </c>
      <c r="G4602" s="40"/>
    </row>
    <row r="4603" spans="1:7" hidden="1">
      <c r="A4603" s="39" t="s">
        <v>118</v>
      </c>
      <c r="B4603" s="45"/>
      <c r="C4603" s="44">
        <f t="shared" ref="C4603" si="619">B4603/B$4638*C$4635</f>
        <v>0</v>
      </c>
      <c r="D4603" s="44">
        <f t="shared" si="590"/>
        <v>0</v>
      </c>
      <c r="E4603" s="44">
        <f t="shared" si="591"/>
        <v>0</v>
      </c>
      <c r="F4603" s="44">
        <f t="shared" si="592"/>
        <v>0</v>
      </c>
      <c r="G4603" s="40"/>
    </row>
    <row r="4604" spans="1:7">
      <c r="A4604" s="39" t="s">
        <v>643</v>
      </c>
      <c r="B4604" s="43">
        <v>55</v>
      </c>
      <c r="C4604" s="66">
        <f t="shared" ref="C4604" si="620">B4604/B$4638*C$4635</f>
        <v>31667.895444638183</v>
      </c>
      <c r="D4604" s="66">
        <f t="shared" si="590"/>
        <v>37944.496763295552</v>
      </c>
      <c r="E4604" s="66">
        <f t="shared" si="591"/>
        <v>42662.31548605056</v>
      </c>
      <c r="F4604" s="44">
        <f t="shared" si="592"/>
        <v>112274.7076939843</v>
      </c>
      <c r="G4604" s="40"/>
    </row>
    <row r="4605" spans="1:7" hidden="1">
      <c r="A4605" s="39" t="s">
        <v>643</v>
      </c>
      <c r="B4605" s="43"/>
      <c r="C4605" s="44">
        <f t="shared" ref="C4605" si="621">B4605/B$4638*C$4635</f>
        <v>0</v>
      </c>
      <c r="D4605" s="44">
        <f t="shared" si="590"/>
        <v>0</v>
      </c>
      <c r="E4605" s="44">
        <f t="shared" si="591"/>
        <v>0</v>
      </c>
      <c r="F4605" s="44">
        <f t="shared" si="592"/>
        <v>0</v>
      </c>
      <c r="G4605" s="40"/>
    </row>
    <row r="4606" spans="1:7" hidden="1">
      <c r="A4606" s="39" t="s">
        <v>120</v>
      </c>
      <c r="B4606" s="45"/>
      <c r="C4606" s="44">
        <f t="shared" ref="C4606" si="622">B4606/B$4638*C$4635</f>
        <v>0</v>
      </c>
      <c r="D4606" s="44">
        <f t="shared" si="590"/>
        <v>0</v>
      </c>
      <c r="E4606" s="44">
        <f t="shared" si="591"/>
        <v>0</v>
      </c>
      <c r="F4606" s="44">
        <f t="shared" si="592"/>
        <v>0</v>
      </c>
      <c r="G4606" s="40"/>
    </row>
    <row r="4607" spans="1:7" hidden="1">
      <c r="A4607" s="39" t="s">
        <v>121</v>
      </c>
      <c r="B4607" s="45"/>
      <c r="C4607" s="44">
        <f t="shared" ref="C4607" si="623">B4607/B$4638*C$4635</f>
        <v>0</v>
      </c>
      <c r="D4607" s="44">
        <f t="shared" si="590"/>
        <v>0</v>
      </c>
      <c r="E4607" s="44">
        <f t="shared" si="591"/>
        <v>0</v>
      </c>
      <c r="F4607" s="44">
        <f t="shared" si="592"/>
        <v>0</v>
      </c>
      <c r="G4607" s="40"/>
    </row>
    <row r="4608" spans="1:7" hidden="1">
      <c r="A4608" s="39" t="s">
        <v>122</v>
      </c>
      <c r="B4608" s="43"/>
      <c r="C4608" s="44">
        <f t="shared" ref="C4608" si="624">B4608/B$4638*C$4635</f>
        <v>0</v>
      </c>
      <c r="D4608" s="44">
        <f t="shared" si="590"/>
        <v>0</v>
      </c>
      <c r="E4608" s="44">
        <f t="shared" si="591"/>
        <v>0</v>
      </c>
      <c r="F4608" s="44">
        <f t="shared" si="592"/>
        <v>0</v>
      </c>
      <c r="G4608" s="40"/>
    </row>
    <row r="4609" spans="1:7" hidden="1">
      <c r="A4609" s="39" t="s">
        <v>123</v>
      </c>
      <c r="B4609" s="43"/>
      <c r="C4609" s="44">
        <f t="shared" ref="C4609" si="625">B4609/B$4638*C$4635</f>
        <v>0</v>
      </c>
      <c r="D4609" s="44">
        <f t="shared" si="590"/>
        <v>0</v>
      </c>
      <c r="E4609" s="44">
        <f t="shared" si="591"/>
        <v>0</v>
      </c>
      <c r="F4609" s="44">
        <f t="shared" si="592"/>
        <v>0</v>
      </c>
      <c r="G4609" s="40"/>
    </row>
    <row r="4610" spans="1:7" hidden="1">
      <c r="A4610" s="39" t="s">
        <v>749</v>
      </c>
      <c r="B4610" s="43"/>
      <c r="C4610" s="44">
        <f t="shared" ref="C4610" si="626">B4610/B$4638*C$4635</f>
        <v>0</v>
      </c>
      <c r="D4610" s="44">
        <f t="shared" si="590"/>
        <v>0</v>
      </c>
      <c r="E4610" s="44">
        <f t="shared" si="591"/>
        <v>0</v>
      </c>
      <c r="F4610" s="44">
        <f t="shared" si="592"/>
        <v>0</v>
      </c>
      <c r="G4610" s="40"/>
    </row>
    <row r="4611" spans="1:7" hidden="1">
      <c r="A4611" s="39" t="s">
        <v>125</v>
      </c>
      <c r="B4611" s="43"/>
      <c r="C4611" s="44">
        <f t="shared" ref="C4611" si="627">B4611/B$4638*C$4635</f>
        <v>0</v>
      </c>
      <c r="D4611" s="44">
        <f t="shared" si="590"/>
        <v>0</v>
      </c>
      <c r="E4611" s="44">
        <f t="shared" si="591"/>
        <v>0</v>
      </c>
      <c r="F4611" s="44">
        <f t="shared" si="592"/>
        <v>0</v>
      </c>
      <c r="G4611" s="40"/>
    </row>
    <row r="4612" spans="1:7" hidden="1">
      <c r="A4612" s="39" t="s">
        <v>126</v>
      </c>
      <c r="B4612" s="45"/>
      <c r="C4612" s="44">
        <f t="shared" ref="C4612" si="628">B4612/B$4638*C$4635</f>
        <v>0</v>
      </c>
      <c r="D4612" s="44">
        <f t="shared" si="590"/>
        <v>0</v>
      </c>
      <c r="E4612" s="44">
        <f t="shared" si="591"/>
        <v>0</v>
      </c>
      <c r="F4612" s="44">
        <f t="shared" si="592"/>
        <v>0</v>
      </c>
      <c r="G4612" s="40"/>
    </row>
    <row r="4613" spans="1:7" hidden="1">
      <c r="A4613" s="39" t="s">
        <v>127</v>
      </c>
      <c r="B4613" s="43"/>
      <c r="C4613" s="44">
        <f t="shared" ref="C4613" si="629">B4613/B$4638*C$4635</f>
        <v>0</v>
      </c>
      <c r="D4613" s="44">
        <f t="shared" si="590"/>
        <v>0</v>
      </c>
      <c r="E4613" s="44">
        <f t="shared" si="591"/>
        <v>0</v>
      </c>
      <c r="F4613" s="44">
        <f t="shared" si="592"/>
        <v>0</v>
      </c>
      <c r="G4613" s="40"/>
    </row>
    <row r="4614" spans="1:7" hidden="1">
      <c r="A4614" s="39" t="s">
        <v>648</v>
      </c>
      <c r="B4614" s="43"/>
      <c r="C4614" s="44">
        <f t="shared" ref="C4614" si="630">B4614/B$4638*C$4635</f>
        <v>0</v>
      </c>
      <c r="D4614" s="44">
        <f t="shared" si="590"/>
        <v>0</v>
      </c>
      <c r="E4614" s="44">
        <f t="shared" si="591"/>
        <v>0</v>
      </c>
      <c r="F4614" s="44">
        <f t="shared" si="592"/>
        <v>0</v>
      </c>
      <c r="G4614" s="40"/>
    </row>
    <row r="4615" spans="1:7" hidden="1">
      <c r="A4615" s="39" t="s">
        <v>129</v>
      </c>
      <c r="B4615" s="45"/>
      <c r="C4615" s="44">
        <f t="shared" ref="C4615" si="631">B4615/B$4638*C$4635</f>
        <v>0</v>
      </c>
      <c r="D4615" s="44">
        <f t="shared" si="590"/>
        <v>0</v>
      </c>
      <c r="E4615" s="44">
        <f t="shared" si="591"/>
        <v>0</v>
      </c>
      <c r="F4615" s="44">
        <f t="shared" si="592"/>
        <v>0</v>
      </c>
      <c r="G4615" s="40"/>
    </row>
    <row r="4616" spans="1:7" hidden="1">
      <c r="A4616" s="39" t="s">
        <v>651</v>
      </c>
      <c r="B4616" s="45"/>
      <c r="C4616" s="44">
        <f t="shared" ref="C4616" si="632">B4616/B$4638*C$4635</f>
        <v>0</v>
      </c>
      <c r="D4616" s="44">
        <f t="shared" si="590"/>
        <v>0</v>
      </c>
      <c r="E4616" s="44">
        <f t="shared" si="591"/>
        <v>0</v>
      </c>
      <c r="F4616" s="44">
        <f t="shared" si="592"/>
        <v>0</v>
      </c>
      <c r="G4616" s="40"/>
    </row>
    <row r="4617" spans="1:7">
      <c r="A4617" s="39" t="s">
        <v>649</v>
      </c>
      <c r="B4617" s="45">
        <v>12.5</v>
      </c>
      <c r="C4617" s="66">
        <f t="shared" ref="C4617" si="633">B4617/B$4638*C$4635</f>
        <v>7197.248964690496</v>
      </c>
      <c r="D4617" s="66">
        <f t="shared" si="590"/>
        <v>8623.7492643853529</v>
      </c>
      <c r="E4617" s="66">
        <f t="shared" si="591"/>
        <v>9695.9807922842192</v>
      </c>
      <c r="F4617" s="44">
        <f t="shared" si="592"/>
        <v>25516.979021360068</v>
      </c>
      <c r="G4617" s="40"/>
    </row>
    <row r="4618" spans="1:7" hidden="1">
      <c r="A4618" s="39" t="s">
        <v>132</v>
      </c>
      <c r="B4618" s="43"/>
      <c r="C4618" s="44"/>
      <c r="D4618" s="44"/>
      <c r="E4618" s="44"/>
      <c r="F4618" s="44"/>
      <c r="G4618" s="40"/>
    </row>
    <row r="4619" spans="1:7" hidden="1">
      <c r="A4619" s="39" t="s">
        <v>133</v>
      </c>
      <c r="B4619" s="43"/>
      <c r="C4619" s="44"/>
      <c r="D4619" s="44"/>
      <c r="E4619" s="44"/>
      <c r="F4619" s="44"/>
      <c r="G4619" s="40"/>
    </row>
    <row r="4620" spans="1:7" hidden="1">
      <c r="A4620" s="39" t="s">
        <v>134</v>
      </c>
      <c r="B4620" s="45"/>
      <c r="C4620" s="44"/>
      <c r="D4620" s="44"/>
      <c r="E4620" s="44"/>
      <c r="F4620" s="44"/>
      <c r="G4620" s="40"/>
    </row>
    <row r="4621" spans="1:7" hidden="1">
      <c r="A4621" s="39" t="s">
        <v>135</v>
      </c>
      <c r="B4621" s="45"/>
      <c r="C4621" s="44"/>
      <c r="D4621" s="44"/>
      <c r="E4621" s="44"/>
      <c r="F4621" s="44"/>
      <c r="G4621" s="40"/>
    </row>
    <row r="4622" spans="1:7" hidden="1">
      <c r="A4622" s="39" t="s">
        <v>136</v>
      </c>
      <c r="B4622" s="43"/>
      <c r="C4622" s="44"/>
      <c r="D4622" s="44"/>
      <c r="E4622" s="44"/>
      <c r="F4622" s="44"/>
      <c r="G4622" s="40"/>
    </row>
    <row r="4623" spans="1:7" hidden="1">
      <c r="A4623" s="39" t="s">
        <v>137</v>
      </c>
      <c r="B4623" s="45"/>
      <c r="C4623" s="44"/>
      <c r="D4623" s="44"/>
      <c r="E4623" s="44"/>
      <c r="F4623" s="44"/>
      <c r="G4623" s="40"/>
    </row>
    <row r="4624" spans="1:7" hidden="1">
      <c r="A4624" s="39" t="s">
        <v>650</v>
      </c>
      <c r="B4624" s="45"/>
      <c r="C4624" s="44"/>
      <c r="D4624" s="44"/>
      <c r="E4624" s="44"/>
      <c r="F4624" s="44"/>
      <c r="G4624" s="40"/>
    </row>
    <row r="4625" spans="1:7" hidden="1">
      <c r="A4625" s="39" t="s">
        <v>138</v>
      </c>
      <c r="B4625" s="45"/>
      <c r="C4625" s="44"/>
      <c r="D4625" s="44"/>
      <c r="E4625" s="44"/>
      <c r="F4625" s="44"/>
      <c r="G4625" s="40"/>
    </row>
    <row r="4626" spans="1:7" hidden="1">
      <c r="A4626" s="39" t="s">
        <v>502</v>
      </c>
      <c r="B4626" s="45"/>
      <c r="C4626" s="44"/>
      <c r="D4626" s="44"/>
      <c r="E4626" s="44"/>
      <c r="F4626" s="44"/>
      <c r="G4626" s="40"/>
    </row>
    <row r="4627" spans="1:7" hidden="1">
      <c r="A4627" s="39" t="s">
        <v>503</v>
      </c>
      <c r="B4627" s="45"/>
      <c r="C4627" s="44"/>
      <c r="D4627" s="44"/>
      <c r="E4627" s="44"/>
      <c r="F4627" s="44"/>
      <c r="G4627" s="40"/>
    </row>
    <row r="4628" spans="1:7" hidden="1">
      <c r="A4628" s="46" t="s">
        <v>140</v>
      </c>
      <c r="B4628" s="45"/>
      <c r="C4628" s="44"/>
      <c r="D4628" s="44"/>
      <c r="E4628" s="44"/>
      <c r="F4628" s="44"/>
      <c r="G4628" s="40"/>
    </row>
    <row r="4629" spans="1:7" hidden="1">
      <c r="A4629" s="46" t="s">
        <v>141</v>
      </c>
      <c r="B4629" s="45"/>
      <c r="C4629" s="44"/>
      <c r="D4629" s="44"/>
      <c r="E4629" s="44"/>
      <c r="F4629" s="44"/>
      <c r="G4629" s="40"/>
    </row>
    <row r="4630" spans="1:7" hidden="1">
      <c r="A4630" s="46" t="s">
        <v>142</v>
      </c>
      <c r="B4630" s="45"/>
      <c r="C4630" s="44"/>
      <c r="D4630" s="44"/>
      <c r="E4630" s="44"/>
      <c r="F4630" s="44"/>
      <c r="G4630" s="40"/>
    </row>
    <row r="4631" spans="1:7" hidden="1">
      <c r="A4631" s="46" t="s">
        <v>143</v>
      </c>
      <c r="B4631" s="45"/>
      <c r="C4631" s="44"/>
      <c r="D4631" s="44"/>
      <c r="E4631" s="44"/>
      <c r="F4631" s="44"/>
      <c r="G4631" s="40"/>
    </row>
    <row r="4632" spans="1:7" hidden="1">
      <c r="A4632" s="46" t="s">
        <v>146</v>
      </c>
      <c r="B4632" s="45"/>
      <c r="C4632" s="44"/>
      <c r="D4632" s="44"/>
      <c r="E4632" s="44"/>
      <c r="F4632" s="44"/>
      <c r="G4632" s="40"/>
    </row>
    <row r="4633" spans="1:7" hidden="1">
      <c r="A4633" s="46" t="s">
        <v>147</v>
      </c>
      <c r="B4633" s="45"/>
      <c r="C4633" s="44"/>
      <c r="D4633" s="44"/>
      <c r="E4633" s="44"/>
      <c r="F4633" s="44"/>
      <c r="G4633" s="40"/>
    </row>
    <row r="4634" spans="1:7" hidden="1">
      <c r="A4634" s="46" t="s">
        <v>148</v>
      </c>
      <c r="B4634" s="45"/>
      <c r="C4634" s="44"/>
      <c r="D4634" s="44"/>
      <c r="E4634" s="44"/>
      <c r="F4634" s="44"/>
      <c r="G4634" s="40"/>
    </row>
    <row r="4635" spans="1:7">
      <c r="A4635" s="264" t="s">
        <v>817</v>
      </c>
      <c r="B4635" s="265"/>
      <c r="C4635" s="50">
        <f>C4638-C4637</f>
        <v>85215.427741935477</v>
      </c>
      <c r="D4635" s="50">
        <f t="shared" ref="D4635:F4635" si="634">D4638-D4637</f>
        <v>102105.19129032257</v>
      </c>
      <c r="E4635" s="50">
        <f t="shared" si="634"/>
        <v>114800.41258064515</v>
      </c>
      <c r="F4635" s="50">
        <f t="shared" si="634"/>
        <v>302121.03161290317</v>
      </c>
      <c r="G4635" s="40"/>
    </row>
    <row r="4636" spans="1:7" hidden="1">
      <c r="A4636" s="126" t="s">
        <v>601</v>
      </c>
      <c r="B4636" s="47"/>
      <c r="C4636" s="44"/>
      <c r="D4636" s="44"/>
      <c r="E4636" s="44"/>
      <c r="F4636" s="44"/>
      <c r="G4636" s="40"/>
    </row>
    <row r="4637" spans="1:7">
      <c r="A4637" s="264" t="s">
        <v>814</v>
      </c>
      <c r="B4637" s="265"/>
      <c r="C4637" s="50">
        <f>18/31*C4638</f>
        <v>117990.59225806451</v>
      </c>
      <c r="D4637" s="50">
        <f>18/31*D4638</f>
        <v>141376.41870967741</v>
      </c>
      <c r="E4637" s="50">
        <f>18/31*E4638</f>
        <v>158954.41741935487</v>
      </c>
      <c r="F4637" s="50">
        <f>SUM(C4637:E4637)</f>
        <v>418321.42838709679</v>
      </c>
      <c r="G4637" s="40"/>
    </row>
    <row r="4638" spans="1:7">
      <c r="A4638" s="48" t="s">
        <v>150</v>
      </c>
      <c r="B4638" s="48">
        <f>SUM(B4574:B4637)</f>
        <v>148</v>
      </c>
      <c r="C4638" s="49">
        <f>203206.02</f>
        <v>203206.02</v>
      </c>
      <c r="D4638" s="50">
        <f>15597.8+157960.8+37209.01+26213+6501</f>
        <v>243481.61</v>
      </c>
      <c r="E4638" s="50">
        <f>273754.83</f>
        <v>273754.83</v>
      </c>
      <c r="F4638" s="50">
        <f>SUM(C4638:E4638)</f>
        <v>720442.46</v>
      </c>
      <c r="G4638" s="40"/>
    </row>
    <row r="4639" spans="1:7">
      <c r="A4639" s="238" t="s">
        <v>815</v>
      </c>
    </row>
  </sheetData>
  <mergeCells count="92">
    <mergeCell ref="A3710:F3710"/>
    <mergeCell ref="A3501:F3501"/>
    <mergeCell ref="A3758:F3758"/>
    <mergeCell ref="A3442:F3442"/>
    <mergeCell ref="A3443:F3443"/>
    <mergeCell ref="A3573:F3573"/>
    <mergeCell ref="A3662:F3662"/>
    <mergeCell ref="A3705:G3705"/>
    <mergeCell ref="A3365:F3365"/>
    <mergeCell ref="A3112:F3112"/>
    <mergeCell ref="A3199:F3199"/>
    <mergeCell ref="A3242:G3242"/>
    <mergeCell ref="A3247:F3247"/>
    <mergeCell ref="A3294:F3294"/>
    <mergeCell ref="A2984:F2984"/>
    <mergeCell ref="A2985:F2985"/>
    <mergeCell ref="A2853:G2853"/>
    <mergeCell ref="A2858:F2858"/>
    <mergeCell ref="A2905:F2905"/>
    <mergeCell ref="A2597:F2597"/>
    <mergeCell ref="A2598:F2598"/>
    <mergeCell ref="A2654:F2654"/>
    <mergeCell ref="A2724:F2724"/>
    <mergeCell ref="A2810:F2810"/>
    <mergeCell ref="A2475:F2475"/>
    <mergeCell ref="A2519:F2519"/>
    <mergeCell ref="A2217:F2217"/>
    <mergeCell ref="A2218:F2218"/>
    <mergeCell ref="A2275:F2275"/>
    <mergeCell ref="A2344:F2344"/>
    <mergeCell ref="A2427:F2427"/>
    <mergeCell ref="A2470:G2470"/>
    <mergeCell ref="A2098:F2098"/>
    <mergeCell ref="A2140:F2140"/>
    <mergeCell ref="A1845:F1845"/>
    <mergeCell ref="A1902:F1902"/>
    <mergeCell ref="A1969:F1969"/>
    <mergeCell ref="A2050:F2050"/>
    <mergeCell ref="A2093:G2093"/>
    <mergeCell ref="A1726:F1726"/>
    <mergeCell ref="A1767:F1767"/>
    <mergeCell ref="A1473:F1473"/>
    <mergeCell ref="A1530:F1530"/>
    <mergeCell ref="A1597:F1597"/>
    <mergeCell ref="A1678:F1678"/>
    <mergeCell ref="A1721:G1721"/>
    <mergeCell ref="A1354:F1354"/>
    <mergeCell ref="A1394:F1394"/>
    <mergeCell ref="A1349:G1349"/>
    <mergeCell ref="A1097:F1097"/>
    <mergeCell ref="A1154:F1154"/>
    <mergeCell ref="A1223:F1223"/>
    <mergeCell ref="A1305:F1305"/>
    <mergeCell ref="A287:F287"/>
    <mergeCell ref="A9:F9"/>
    <mergeCell ref="A53:F53"/>
    <mergeCell ref="A120:F120"/>
    <mergeCell ref="A200:F200"/>
    <mergeCell ref="A242:G242"/>
    <mergeCell ref="A247:F247"/>
    <mergeCell ref="A607:F607"/>
    <mergeCell ref="A648:F648"/>
    <mergeCell ref="A359:F359"/>
    <mergeCell ref="A411:F411"/>
    <mergeCell ref="A479:F479"/>
    <mergeCell ref="A560:F560"/>
    <mergeCell ref="A602:G602"/>
    <mergeCell ref="A983:F983"/>
    <mergeCell ref="A1024:F1024"/>
    <mergeCell ref="A720:F720"/>
    <mergeCell ref="A785:F785"/>
    <mergeCell ref="A853:F853"/>
    <mergeCell ref="A934:F934"/>
    <mergeCell ref="A978:G978"/>
    <mergeCell ref="A4103:G4103"/>
    <mergeCell ref="A4108:F4108"/>
    <mergeCell ref="A4169:F4169"/>
    <mergeCell ref="A3837:F3837"/>
    <mergeCell ref="A3838:F3838"/>
    <mergeCell ref="A3897:F3897"/>
    <mergeCell ref="A3971:F3971"/>
    <mergeCell ref="A4061:F4061"/>
    <mergeCell ref="A4155:F4155"/>
    <mergeCell ref="A4162:F4162"/>
    <mergeCell ref="A4518:G4518"/>
    <mergeCell ref="A4523:F4523"/>
    <mergeCell ref="A4572:F4572"/>
    <mergeCell ref="A4247:F4247"/>
    <mergeCell ref="A4248:F4248"/>
    <mergeCell ref="A4308:F4308"/>
    <mergeCell ref="A4383:F4383"/>
    <mergeCell ref="A4476:F4476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"/>
  <sheetViews>
    <sheetView topLeftCell="A308" workbookViewId="0">
      <selection activeCell="M323" sqref="M323"/>
    </sheetView>
  </sheetViews>
  <sheetFormatPr defaultRowHeight="14.4"/>
  <cols>
    <col min="1" max="1" width="25.33203125" customWidth="1"/>
    <col min="2" max="2" width="5.44140625" customWidth="1"/>
    <col min="3" max="3" width="8.44140625" customWidth="1"/>
    <col min="4" max="4" width="12.77734375" customWidth="1"/>
    <col min="5" max="5" width="5.44140625" bestFit="1" customWidth="1"/>
    <col min="6" max="6" width="8.44140625" customWidth="1"/>
    <col min="7" max="7" width="11.6640625" customWidth="1"/>
    <col min="8" max="8" width="8.44140625" bestFit="1" customWidth="1"/>
    <col min="9" max="9" width="11.6640625" bestFit="1" customWidth="1"/>
    <col min="10" max="10" width="12.77734375" bestFit="1" customWidth="1"/>
  </cols>
  <sheetData>
    <row r="1" spans="1:10" ht="28.5" hidden="1" customHeight="1">
      <c r="A1" s="30" t="s">
        <v>63</v>
      </c>
      <c r="B1" s="21"/>
      <c r="C1" s="21"/>
      <c r="D1" s="21"/>
      <c r="E1" s="21"/>
      <c r="F1" s="21"/>
      <c r="G1" s="22"/>
      <c r="H1" s="21"/>
      <c r="I1" s="21"/>
      <c r="J1" s="21"/>
    </row>
    <row r="2" spans="1:10" hidden="1">
      <c r="A2" s="282" t="s">
        <v>78</v>
      </c>
      <c r="B2" s="284" t="s">
        <v>55</v>
      </c>
      <c r="C2" s="284"/>
      <c r="D2" s="284"/>
      <c r="E2" s="284" t="s">
        <v>56</v>
      </c>
      <c r="F2" s="284"/>
      <c r="G2" s="284"/>
      <c r="H2" s="284" t="s">
        <v>57</v>
      </c>
      <c r="I2" s="284"/>
      <c r="J2" s="282" t="s">
        <v>79</v>
      </c>
    </row>
    <row r="3" spans="1:10" hidden="1">
      <c r="A3" s="283"/>
      <c r="B3" s="23" t="s">
        <v>29</v>
      </c>
      <c r="C3" s="23" t="s">
        <v>50</v>
      </c>
      <c r="D3" s="23" t="s">
        <v>51</v>
      </c>
      <c r="E3" s="23" t="s">
        <v>29</v>
      </c>
      <c r="F3" s="23" t="s">
        <v>50</v>
      </c>
      <c r="G3" s="24" t="s">
        <v>51</v>
      </c>
      <c r="H3" s="23" t="s">
        <v>50</v>
      </c>
      <c r="I3" s="23" t="s">
        <v>51</v>
      </c>
      <c r="J3" s="283"/>
    </row>
    <row r="4" spans="1:10" hidden="1">
      <c r="A4" s="31" t="s">
        <v>81</v>
      </c>
      <c r="B4" s="1">
        <v>150</v>
      </c>
      <c r="C4" s="26">
        <f>B4/B$26</f>
        <v>3.0946977511863007E-2</v>
      </c>
      <c r="D4" s="3">
        <f>C4*D$26</f>
        <v>3434.2578914792657</v>
      </c>
      <c r="E4" s="1">
        <v>22</v>
      </c>
      <c r="F4" s="26">
        <f>E4/E$26</f>
        <v>6.8535825545171333E-2</v>
      </c>
      <c r="G4" s="3">
        <f>F4*G$26</f>
        <v>1216.9707788161993</v>
      </c>
      <c r="H4" s="26"/>
      <c r="I4" s="3"/>
      <c r="J4" s="27">
        <f>D4+G4+I4</f>
        <v>4651.2286702954652</v>
      </c>
    </row>
    <row r="5" spans="1:10" hidden="1">
      <c r="A5" s="31" t="s">
        <v>73</v>
      </c>
      <c r="B5" s="1">
        <v>294</v>
      </c>
      <c r="C5" s="26">
        <f t="shared" ref="C5:C26" si="0">B5/B$26</f>
        <v>6.0656075923251493E-2</v>
      </c>
      <c r="D5" s="3">
        <f t="shared" ref="D5:D25" si="1">C5*D$26</f>
        <v>6731.1454672993605</v>
      </c>
      <c r="E5" s="1">
        <v>0</v>
      </c>
      <c r="F5" s="26">
        <f t="shared" ref="F5:F26" si="2">E5/E$26</f>
        <v>0</v>
      </c>
      <c r="G5" s="3">
        <f t="shared" ref="G5:G25" si="3">F5*G$26</f>
        <v>0</v>
      </c>
      <c r="H5" s="26"/>
      <c r="I5" s="3"/>
      <c r="J5" s="27">
        <f t="shared" ref="J5:J26" si="4">D5+G5+I5</f>
        <v>6731.1454672993605</v>
      </c>
    </row>
    <row r="6" spans="1:10" hidden="1">
      <c r="A6" s="31" t="s">
        <v>74</v>
      </c>
      <c r="B6" s="1">
        <f>0+50</f>
        <v>50</v>
      </c>
      <c r="C6" s="26">
        <f t="shared" si="0"/>
        <v>1.0315659170621003E-2</v>
      </c>
      <c r="D6" s="3">
        <f t="shared" si="1"/>
        <v>1144.7526304930886</v>
      </c>
      <c r="E6" s="1">
        <v>0</v>
      </c>
      <c r="F6" s="26">
        <f t="shared" si="2"/>
        <v>0</v>
      </c>
      <c r="G6" s="3">
        <f t="shared" si="3"/>
        <v>0</v>
      </c>
      <c r="H6" s="26"/>
      <c r="I6" s="3"/>
      <c r="J6" s="27">
        <f t="shared" si="4"/>
        <v>1144.7526304930886</v>
      </c>
    </row>
    <row r="7" spans="1:10" hidden="1">
      <c r="A7" s="31" t="s">
        <v>75</v>
      </c>
      <c r="B7" s="1">
        <v>369</v>
      </c>
      <c r="C7" s="26">
        <f t="shared" si="0"/>
        <v>7.6129564679182998E-2</v>
      </c>
      <c r="D7" s="3">
        <f t="shared" si="1"/>
        <v>8448.2744130389929</v>
      </c>
      <c r="E7" s="1">
        <v>0</v>
      </c>
      <c r="F7" s="26">
        <f t="shared" si="2"/>
        <v>0</v>
      </c>
      <c r="G7" s="3">
        <f t="shared" si="3"/>
        <v>0</v>
      </c>
      <c r="H7" s="26"/>
      <c r="I7" s="3"/>
      <c r="J7" s="27">
        <f t="shared" si="4"/>
        <v>8448.2744130389929</v>
      </c>
    </row>
    <row r="8" spans="1:10" hidden="1">
      <c r="A8" s="31" t="s">
        <v>76</v>
      </c>
      <c r="B8" s="1">
        <v>36</v>
      </c>
      <c r="C8" s="26">
        <f t="shared" si="0"/>
        <v>7.4272746028471223E-3</v>
      </c>
      <c r="D8" s="3">
        <f t="shared" si="1"/>
        <v>824.2218939550238</v>
      </c>
      <c r="E8" s="1">
        <v>0</v>
      </c>
      <c r="F8" s="26">
        <f t="shared" si="2"/>
        <v>0</v>
      </c>
      <c r="G8" s="3">
        <f t="shared" si="3"/>
        <v>0</v>
      </c>
      <c r="H8" s="26"/>
      <c r="I8" s="3"/>
      <c r="J8" s="27">
        <f t="shared" si="4"/>
        <v>824.2218939550238</v>
      </c>
    </row>
    <row r="9" spans="1:10" hidden="1">
      <c r="A9" s="31" t="s">
        <v>82</v>
      </c>
      <c r="B9" s="1">
        <v>652</v>
      </c>
      <c r="C9" s="26">
        <f t="shared" si="0"/>
        <v>0.13451619558489789</v>
      </c>
      <c r="D9" s="3">
        <f t="shared" si="1"/>
        <v>14927.574301629877</v>
      </c>
      <c r="E9" s="1">
        <v>0</v>
      </c>
      <c r="F9" s="26">
        <f t="shared" si="2"/>
        <v>0</v>
      </c>
      <c r="G9" s="3">
        <f t="shared" si="3"/>
        <v>0</v>
      </c>
      <c r="H9" s="26"/>
      <c r="I9" s="3"/>
      <c r="J9" s="27">
        <f t="shared" si="4"/>
        <v>14927.574301629877</v>
      </c>
    </row>
    <row r="10" spans="1:10" hidden="1">
      <c r="A10" s="31" t="s">
        <v>68</v>
      </c>
      <c r="B10" s="1">
        <v>761</v>
      </c>
      <c r="C10" s="26">
        <f t="shared" si="0"/>
        <v>0.15700433257685167</v>
      </c>
      <c r="D10" s="3">
        <f t="shared" si="1"/>
        <v>17423.13503610481</v>
      </c>
      <c r="E10" s="1">
        <v>0</v>
      </c>
      <c r="F10" s="26">
        <f t="shared" si="2"/>
        <v>0</v>
      </c>
      <c r="G10" s="3">
        <f t="shared" si="3"/>
        <v>0</v>
      </c>
      <c r="H10" s="26"/>
      <c r="I10" s="3"/>
      <c r="J10" s="27">
        <f t="shared" si="4"/>
        <v>17423.13503610481</v>
      </c>
    </row>
    <row r="11" spans="1:10" hidden="1">
      <c r="A11" s="31" t="s">
        <v>69</v>
      </c>
      <c r="B11" s="1">
        <v>326</v>
      </c>
      <c r="C11" s="26">
        <f t="shared" si="0"/>
        <v>6.7258097792448943E-2</v>
      </c>
      <c r="D11" s="3">
        <f t="shared" si="1"/>
        <v>7463.7871508149383</v>
      </c>
      <c r="E11" s="1">
        <v>0</v>
      </c>
      <c r="F11" s="26">
        <f t="shared" si="2"/>
        <v>0</v>
      </c>
      <c r="G11" s="3">
        <f t="shared" si="3"/>
        <v>0</v>
      </c>
      <c r="H11" s="26"/>
      <c r="I11" s="3"/>
      <c r="J11" s="27">
        <f t="shared" si="4"/>
        <v>7463.7871508149383</v>
      </c>
    </row>
    <row r="12" spans="1:10" hidden="1">
      <c r="A12" s="31" t="s">
        <v>70</v>
      </c>
      <c r="B12" s="1">
        <v>284</v>
      </c>
      <c r="C12" s="26">
        <f t="shared" si="0"/>
        <v>5.8592944089127297E-2</v>
      </c>
      <c r="D12" s="3">
        <f t="shared" si="1"/>
        <v>6502.1949412007434</v>
      </c>
      <c r="E12" s="1">
        <v>0</v>
      </c>
      <c r="F12" s="26">
        <f t="shared" si="2"/>
        <v>0</v>
      </c>
      <c r="G12" s="3">
        <f t="shared" si="3"/>
        <v>0</v>
      </c>
      <c r="H12" s="26"/>
      <c r="I12" s="3"/>
      <c r="J12" s="27">
        <f t="shared" si="4"/>
        <v>6502.1949412007434</v>
      </c>
    </row>
    <row r="13" spans="1:10" hidden="1">
      <c r="A13" s="31" t="s">
        <v>77</v>
      </c>
      <c r="B13" s="1">
        <v>483</v>
      </c>
      <c r="C13" s="26">
        <f t="shared" si="0"/>
        <v>9.9649267588198892E-2</v>
      </c>
      <c r="D13" s="3">
        <f t="shared" si="1"/>
        <v>11058.310410563236</v>
      </c>
      <c r="E13" s="1">
        <v>0</v>
      </c>
      <c r="F13" s="26">
        <f t="shared" si="2"/>
        <v>0</v>
      </c>
      <c r="G13" s="3">
        <f t="shared" si="3"/>
        <v>0</v>
      </c>
      <c r="H13" s="28"/>
      <c r="I13" s="2"/>
      <c r="J13" s="27">
        <f t="shared" si="4"/>
        <v>11058.310410563236</v>
      </c>
    </row>
    <row r="14" spans="1:10" hidden="1">
      <c r="A14" s="31" t="s">
        <v>71</v>
      </c>
      <c r="B14" s="1">
        <v>296</v>
      </c>
      <c r="C14" s="26">
        <f t="shared" si="0"/>
        <v>6.1068702290076333E-2</v>
      </c>
      <c r="D14" s="3">
        <f t="shared" si="1"/>
        <v>6776.9355725190844</v>
      </c>
      <c r="E14" s="1">
        <v>0</v>
      </c>
      <c r="F14" s="26">
        <f t="shared" si="2"/>
        <v>0</v>
      </c>
      <c r="G14" s="3">
        <f t="shared" si="3"/>
        <v>0</v>
      </c>
      <c r="H14" s="26"/>
      <c r="I14" s="3"/>
      <c r="J14" s="27">
        <f t="shared" si="4"/>
        <v>6776.9355725190844</v>
      </c>
    </row>
    <row r="15" spans="1:10" hidden="1">
      <c r="A15" s="25" t="s">
        <v>58</v>
      </c>
      <c r="B15" s="1">
        <v>42</v>
      </c>
      <c r="C15" s="26">
        <f t="shared" si="0"/>
        <v>8.6651537033216423E-3</v>
      </c>
      <c r="D15" s="3">
        <f t="shared" si="1"/>
        <v>961.59220961419442</v>
      </c>
      <c r="E15" s="1">
        <v>16</v>
      </c>
      <c r="F15" s="26">
        <f t="shared" si="2"/>
        <v>4.9844236760124609E-2</v>
      </c>
      <c r="G15" s="3">
        <f t="shared" si="3"/>
        <v>885.06965732087224</v>
      </c>
      <c r="H15" s="26"/>
      <c r="I15" s="3"/>
      <c r="J15" s="27">
        <f t="shared" si="4"/>
        <v>1846.6618669350667</v>
      </c>
    </row>
    <row r="16" spans="1:10" hidden="1">
      <c r="A16" s="25" t="s">
        <v>59</v>
      </c>
      <c r="B16" s="1">
        <v>0</v>
      </c>
      <c r="C16" s="26">
        <f t="shared" si="0"/>
        <v>0</v>
      </c>
      <c r="D16" s="3">
        <f t="shared" si="1"/>
        <v>0</v>
      </c>
      <c r="E16" s="1">
        <v>0</v>
      </c>
      <c r="F16" s="26">
        <f t="shared" si="2"/>
        <v>0</v>
      </c>
      <c r="G16" s="3">
        <f t="shared" si="3"/>
        <v>0</v>
      </c>
      <c r="H16" s="26"/>
      <c r="I16" s="3"/>
      <c r="J16" s="27">
        <f t="shared" si="4"/>
        <v>0</v>
      </c>
    </row>
    <row r="17" spans="1:10" hidden="1">
      <c r="A17" s="32" t="s">
        <v>65</v>
      </c>
      <c r="B17" s="1">
        <v>0</v>
      </c>
      <c r="C17" s="26">
        <f t="shared" si="0"/>
        <v>0</v>
      </c>
      <c r="D17" s="3">
        <f t="shared" si="1"/>
        <v>0</v>
      </c>
      <c r="E17" s="1">
        <v>0</v>
      </c>
      <c r="F17" s="26">
        <f t="shared" si="2"/>
        <v>0</v>
      </c>
      <c r="G17" s="3">
        <f t="shared" si="3"/>
        <v>0</v>
      </c>
      <c r="H17" s="26"/>
      <c r="I17" s="3"/>
      <c r="J17" s="27">
        <f t="shared" si="4"/>
        <v>0</v>
      </c>
    </row>
    <row r="18" spans="1:10" hidden="1">
      <c r="A18" s="32" t="s">
        <v>66</v>
      </c>
      <c r="B18" s="1">
        <v>278</v>
      </c>
      <c r="C18" s="26">
        <f t="shared" si="0"/>
        <v>5.7355064988652775E-2</v>
      </c>
      <c r="D18" s="3">
        <f t="shared" si="1"/>
        <v>6364.8246255415725</v>
      </c>
      <c r="E18" s="33">
        <v>0</v>
      </c>
      <c r="F18" s="26">
        <f t="shared" si="2"/>
        <v>0</v>
      </c>
      <c r="G18" s="3">
        <f t="shared" si="3"/>
        <v>0</v>
      </c>
      <c r="H18" s="26"/>
      <c r="I18" s="3"/>
      <c r="J18" s="27">
        <f t="shared" si="4"/>
        <v>6364.8246255415725</v>
      </c>
    </row>
    <row r="19" spans="1:10" hidden="1">
      <c r="A19" s="25" t="s">
        <v>60</v>
      </c>
      <c r="B19" s="1">
        <v>283</v>
      </c>
      <c r="C19" s="26">
        <f t="shared" si="0"/>
        <v>5.8386630905714873E-2</v>
      </c>
      <c r="D19" s="3">
        <f t="shared" si="1"/>
        <v>6479.299888590881</v>
      </c>
      <c r="E19" s="1">
        <v>0</v>
      </c>
      <c r="F19" s="26">
        <f t="shared" si="2"/>
        <v>0</v>
      </c>
      <c r="G19" s="3">
        <f t="shared" si="3"/>
        <v>0</v>
      </c>
      <c r="H19" s="26"/>
      <c r="I19" s="3"/>
      <c r="J19" s="27">
        <f t="shared" si="4"/>
        <v>6479.299888590881</v>
      </c>
    </row>
    <row r="20" spans="1:10" hidden="1">
      <c r="A20" s="25" t="s">
        <v>61</v>
      </c>
      <c r="B20" s="1">
        <v>142</v>
      </c>
      <c r="C20" s="26">
        <f t="shared" si="0"/>
        <v>2.9296472044563648E-2</v>
      </c>
      <c r="D20" s="3">
        <f t="shared" si="1"/>
        <v>3251.0974706003717</v>
      </c>
      <c r="E20" s="1">
        <v>30</v>
      </c>
      <c r="F20" s="26">
        <f t="shared" si="2"/>
        <v>9.3457943925233641E-2</v>
      </c>
      <c r="G20" s="3">
        <f t="shared" si="3"/>
        <v>1659.5056074766353</v>
      </c>
      <c r="H20" s="26"/>
      <c r="I20" s="3"/>
      <c r="J20" s="27">
        <f>D20+G20+I20+0.01</f>
        <v>4910.6130780770072</v>
      </c>
    </row>
    <row r="21" spans="1:10" hidden="1">
      <c r="A21" s="32" t="s">
        <v>67</v>
      </c>
      <c r="B21" s="1">
        <v>59</v>
      </c>
      <c r="C21" s="26">
        <f t="shared" si="0"/>
        <v>1.2172477821332784E-2</v>
      </c>
      <c r="D21" s="3">
        <f t="shared" si="1"/>
        <v>1350.8081039818446</v>
      </c>
      <c r="E21" s="1">
        <f>237+16</f>
        <v>253</v>
      </c>
      <c r="F21" s="26">
        <f t="shared" si="2"/>
        <v>0.78816199376947038</v>
      </c>
      <c r="G21" s="3">
        <f t="shared" si="3"/>
        <v>13995.163956386292</v>
      </c>
      <c r="H21" s="26"/>
      <c r="I21" s="3"/>
      <c r="J21" s="27">
        <f t="shared" si="4"/>
        <v>15345.972060368136</v>
      </c>
    </row>
    <row r="22" spans="1:10" hidden="1">
      <c r="A22" s="32" t="s">
        <v>42</v>
      </c>
      <c r="B22" s="1">
        <v>237</v>
      </c>
      <c r="C22" s="26">
        <f t="shared" si="0"/>
        <v>4.8896224468743553E-2</v>
      </c>
      <c r="D22" s="3">
        <f t="shared" si="1"/>
        <v>5426.12746853724</v>
      </c>
      <c r="E22" s="1">
        <v>0</v>
      </c>
      <c r="F22" s="26">
        <f t="shared" si="2"/>
        <v>0</v>
      </c>
      <c r="G22" s="3">
        <f t="shared" si="3"/>
        <v>0</v>
      </c>
      <c r="H22" s="26"/>
      <c r="I22" s="3"/>
      <c r="J22" s="27">
        <f t="shared" si="4"/>
        <v>5426.12746853724</v>
      </c>
    </row>
    <row r="23" spans="1:10" hidden="1">
      <c r="A23" s="32" t="s">
        <v>43</v>
      </c>
      <c r="B23" s="1">
        <v>19</v>
      </c>
      <c r="C23" s="26">
        <f t="shared" si="0"/>
        <v>3.9199504848359814E-3</v>
      </c>
      <c r="D23" s="3">
        <f t="shared" si="1"/>
        <v>435.00599958737371</v>
      </c>
      <c r="E23" s="1">
        <v>0</v>
      </c>
      <c r="F23" s="26">
        <f t="shared" si="2"/>
        <v>0</v>
      </c>
      <c r="G23" s="3">
        <f t="shared" si="3"/>
        <v>0</v>
      </c>
      <c r="H23" s="26"/>
      <c r="I23" s="3"/>
      <c r="J23" s="27">
        <f t="shared" si="4"/>
        <v>435.00599958737371</v>
      </c>
    </row>
    <row r="24" spans="1:10" hidden="1">
      <c r="A24" s="32" t="s">
        <v>44</v>
      </c>
      <c r="B24" s="1">
        <v>0</v>
      </c>
      <c r="C24" s="26">
        <f t="shared" si="0"/>
        <v>0</v>
      </c>
      <c r="D24" s="3">
        <f t="shared" si="1"/>
        <v>0</v>
      </c>
      <c r="E24" s="1">
        <v>0</v>
      </c>
      <c r="F24" s="26">
        <f t="shared" si="2"/>
        <v>0</v>
      </c>
      <c r="G24" s="3">
        <f t="shared" si="3"/>
        <v>0</v>
      </c>
      <c r="H24" s="26"/>
      <c r="I24" s="3"/>
      <c r="J24" s="27">
        <f t="shared" si="4"/>
        <v>0</v>
      </c>
    </row>
    <row r="25" spans="1:10" hidden="1">
      <c r="A25" s="32" t="s">
        <v>53</v>
      </c>
      <c r="B25" s="1">
        <v>86</v>
      </c>
      <c r="C25" s="26">
        <f t="shared" si="0"/>
        <v>1.7742933773468125E-2</v>
      </c>
      <c r="D25" s="3">
        <f t="shared" si="1"/>
        <v>1968.9745244481123</v>
      </c>
      <c r="E25" s="1">
        <v>0</v>
      </c>
      <c r="F25" s="26">
        <f t="shared" si="2"/>
        <v>0</v>
      </c>
      <c r="G25" s="3">
        <f t="shared" si="3"/>
        <v>0</v>
      </c>
      <c r="H25" s="26">
        <v>1</v>
      </c>
      <c r="I25" s="27">
        <v>58596.58</v>
      </c>
      <c r="J25" s="27">
        <f t="shared" si="4"/>
        <v>60565.554524448111</v>
      </c>
    </row>
    <row r="26" spans="1:10" hidden="1">
      <c r="A26" s="23" t="s">
        <v>62</v>
      </c>
      <c r="B26" s="1">
        <f>SUM(B4:B25)</f>
        <v>4847</v>
      </c>
      <c r="C26" s="26">
        <f t="shared" si="0"/>
        <v>1</v>
      </c>
      <c r="D26" s="3">
        <v>110972.32</v>
      </c>
      <c r="E26" s="1">
        <f>SUM(E4:E25)</f>
        <v>321</v>
      </c>
      <c r="F26" s="26">
        <f t="shared" si="2"/>
        <v>1</v>
      </c>
      <c r="G26" s="1">
        <v>17756.71</v>
      </c>
      <c r="H26" s="29">
        <v>1</v>
      </c>
      <c r="I26" s="27">
        <v>58596.58</v>
      </c>
      <c r="J26" s="27">
        <f t="shared" si="4"/>
        <v>187325.61</v>
      </c>
    </row>
    <row r="27" spans="1:10" hidden="1"/>
    <row r="28" spans="1:10" hidden="1"/>
    <row r="29" spans="1:10" ht="25.8" hidden="1">
      <c r="A29" s="30" t="s">
        <v>83</v>
      </c>
      <c r="B29" s="21"/>
      <c r="C29" s="21"/>
      <c r="D29" s="21"/>
      <c r="E29" s="21"/>
      <c r="F29" s="21"/>
      <c r="G29" s="22"/>
      <c r="H29" s="21"/>
      <c r="I29" s="21"/>
      <c r="J29" s="21"/>
    </row>
    <row r="30" spans="1:10" hidden="1">
      <c r="A30" s="282" t="s">
        <v>78</v>
      </c>
      <c r="B30" s="284" t="s">
        <v>55</v>
      </c>
      <c r="C30" s="284"/>
      <c r="D30" s="284"/>
      <c r="E30" s="284" t="s">
        <v>56</v>
      </c>
      <c r="F30" s="284"/>
      <c r="G30" s="284"/>
      <c r="H30" s="284" t="s">
        <v>57</v>
      </c>
      <c r="I30" s="284"/>
      <c r="J30" s="282" t="s">
        <v>79</v>
      </c>
    </row>
    <row r="31" spans="1:10" hidden="1">
      <c r="A31" s="283"/>
      <c r="B31" s="34" t="s">
        <v>29</v>
      </c>
      <c r="C31" s="34" t="s">
        <v>50</v>
      </c>
      <c r="D31" s="34" t="s">
        <v>51</v>
      </c>
      <c r="E31" s="34" t="s">
        <v>29</v>
      </c>
      <c r="F31" s="34" t="s">
        <v>50</v>
      </c>
      <c r="G31" s="24" t="s">
        <v>51</v>
      </c>
      <c r="H31" s="34" t="s">
        <v>50</v>
      </c>
      <c r="I31" s="34" t="s">
        <v>51</v>
      </c>
      <c r="J31" s="283"/>
    </row>
    <row r="32" spans="1:10" hidden="1">
      <c r="A32" s="31" t="s">
        <v>72</v>
      </c>
      <c r="B32" s="1">
        <v>80</v>
      </c>
      <c r="C32" s="26">
        <f>B32/B$54</f>
        <v>2.4615384615384615E-2</v>
      </c>
      <c r="D32" s="3">
        <f>C32*D$54</f>
        <v>4268.1720615384611</v>
      </c>
      <c r="E32" s="1"/>
      <c r="F32" s="26"/>
      <c r="G32" s="3"/>
      <c r="H32" s="26"/>
      <c r="I32" s="3"/>
      <c r="J32" s="27">
        <f>I32+G32+D32</f>
        <v>4268.1720615384611</v>
      </c>
    </row>
    <row r="33" spans="1:10" hidden="1">
      <c r="A33" s="31" t="s">
        <v>73</v>
      </c>
      <c r="B33" s="1">
        <v>256</v>
      </c>
      <c r="C33" s="26">
        <f t="shared" ref="C33:C54" si="5">B33/B$54</f>
        <v>7.8769230769230772E-2</v>
      </c>
      <c r="D33" s="3">
        <f t="shared" ref="D33:D53" si="6">C33*D$54</f>
        <v>13658.150596923077</v>
      </c>
      <c r="E33" s="1"/>
      <c r="F33" s="26"/>
      <c r="G33" s="3"/>
      <c r="H33" s="26"/>
      <c r="I33" s="3"/>
      <c r="J33" s="27">
        <f t="shared" ref="J33:J54" si="7">I33+G33+D33</f>
        <v>13658.150596923077</v>
      </c>
    </row>
    <row r="34" spans="1:10" hidden="1">
      <c r="A34" s="31" t="s">
        <v>397</v>
      </c>
      <c r="B34" s="1">
        <f>0+30</f>
        <v>30</v>
      </c>
      <c r="C34" s="26">
        <f t="shared" si="5"/>
        <v>9.2307692307692316E-3</v>
      </c>
      <c r="D34" s="3">
        <f t="shared" si="6"/>
        <v>1600.5645230769233</v>
      </c>
      <c r="E34" s="1">
        <v>80</v>
      </c>
      <c r="F34" s="26">
        <f>E34/E$54</f>
        <v>0.29411764705882354</v>
      </c>
      <c r="G34" s="3">
        <f>F34*G$54</f>
        <v>6132.6470588235297</v>
      </c>
      <c r="H34" s="26"/>
      <c r="I34" s="3"/>
      <c r="J34" s="27">
        <f t="shared" si="7"/>
        <v>7733.211581900453</v>
      </c>
    </row>
    <row r="35" spans="1:10" hidden="1">
      <c r="A35" s="31" t="s">
        <v>75</v>
      </c>
      <c r="B35" s="1">
        <v>300</v>
      </c>
      <c r="C35" s="26">
        <f t="shared" si="5"/>
        <v>9.2307692307692313E-2</v>
      </c>
      <c r="D35" s="3">
        <f t="shared" si="6"/>
        <v>16005.645230769231</v>
      </c>
      <c r="E35" s="1">
        <v>48</v>
      </c>
      <c r="F35" s="26">
        <f>E35/E$54</f>
        <v>0.17647058823529413</v>
      </c>
      <c r="G35" s="3">
        <f t="shared" ref="G35:G49" si="8">F35*G$54</f>
        <v>3679.588235294118</v>
      </c>
      <c r="H35" s="26"/>
      <c r="I35" s="3"/>
      <c r="J35" s="27">
        <f>I35+G35+D35+0.01</f>
        <v>19685.243466063348</v>
      </c>
    </row>
    <row r="36" spans="1:10" hidden="1">
      <c r="A36" s="31" t="s">
        <v>76</v>
      </c>
      <c r="B36" s="1">
        <v>36</v>
      </c>
      <c r="C36" s="26">
        <f t="shared" si="5"/>
        <v>1.1076923076923076E-2</v>
      </c>
      <c r="D36" s="3">
        <f t="shared" si="6"/>
        <v>1920.6774276923074</v>
      </c>
      <c r="E36" s="1"/>
      <c r="F36" s="26"/>
      <c r="G36" s="3"/>
      <c r="H36" s="26"/>
      <c r="I36" s="3"/>
      <c r="J36" s="27">
        <f t="shared" si="7"/>
        <v>1920.6774276923074</v>
      </c>
    </row>
    <row r="37" spans="1:10" hidden="1">
      <c r="A37" s="31" t="s">
        <v>64</v>
      </c>
      <c r="B37" s="1">
        <v>370</v>
      </c>
      <c r="C37" s="26">
        <f t="shared" si="5"/>
        <v>0.11384615384615385</v>
      </c>
      <c r="D37" s="3">
        <f t="shared" si="6"/>
        <v>19740.295784615384</v>
      </c>
      <c r="E37" s="1">
        <v>16</v>
      </c>
      <c r="F37" s="26">
        <f>E37/E$54</f>
        <v>5.8823529411764705E-2</v>
      </c>
      <c r="G37" s="3">
        <f t="shared" si="8"/>
        <v>1226.5294117647059</v>
      </c>
      <c r="H37" s="26"/>
      <c r="I37" s="3"/>
      <c r="J37" s="27">
        <f t="shared" si="7"/>
        <v>20966.82519638009</v>
      </c>
    </row>
    <row r="38" spans="1:10" hidden="1">
      <c r="A38" s="31" t="s">
        <v>404</v>
      </c>
      <c r="B38" s="1">
        <v>310</v>
      </c>
      <c r="C38" s="26">
        <f t="shared" si="5"/>
        <v>9.5384615384615387E-2</v>
      </c>
      <c r="D38" s="3">
        <f t="shared" si="6"/>
        <v>16539.166738461539</v>
      </c>
      <c r="E38" s="1">
        <v>16</v>
      </c>
      <c r="F38" s="26">
        <f>E38/E$54</f>
        <v>5.8823529411764705E-2</v>
      </c>
      <c r="G38" s="3">
        <f t="shared" si="8"/>
        <v>1226.5294117647059</v>
      </c>
      <c r="H38" s="26"/>
      <c r="I38" s="3"/>
      <c r="J38" s="27">
        <f t="shared" si="7"/>
        <v>17765.696150226246</v>
      </c>
    </row>
    <row r="39" spans="1:10" hidden="1">
      <c r="A39" s="31" t="s">
        <v>412</v>
      </c>
      <c r="B39" s="1">
        <v>290</v>
      </c>
      <c r="C39" s="26">
        <f t="shared" si="5"/>
        <v>8.9230769230769225E-2</v>
      </c>
      <c r="D39" s="3">
        <f t="shared" si="6"/>
        <v>15472.123723076922</v>
      </c>
      <c r="E39" s="1">
        <v>16</v>
      </c>
      <c r="F39" s="26">
        <f>E39/E$54</f>
        <v>5.8823529411764705E-2</v>
      </c>
      <c r="G39" s="3">
        <f t="shared" si="8"/>
        <v>1226.5294117647059</v>
      </c>
      <c r="H39" s="26"/>
      <c r="I39" s="3"/>
      <c r="J39" s="27">
        <f t="shared" si="7"/>
        <v>16698.653134841628</v>
      </c>
    </row>
    <row r="40" spans="1:10" hidden="1">
      <c r="A40" s="31" t="s">
        <v>385</v>
      </c>
      <c r="B40" s="1">
        <v>230</v>
      </c>
      <c r="C40" s="26">
        <f t="shared" si="5"/>
        <v>7.0769230769230765E-2</v>
      </c>
      <c r="D40" s="3">
        <f t="shared" si="6"/>
        <v>12270.994676923076</v>
      </c>
      <c r="E40" s="1"/>
      <c r="F40" s="26"/>
      <c r="G40" s="3"/>
      <c r="H40" s="26"/>
      <c r="I40" s="3"/>
      <c r="J40" s="27">
        <f t="shared" si="7"/>
        <v>12270.994676923076</v>
      </c>
    </row>
    <row r="41" spans="1:10" hidden="1">
      <c r="A41" s="31" t="s">
        <v>77</v>
      </c>
      <c r="B41" s="1">
        <v>410</v>
      </c>
      <c r="C41" s="26">
        <f t="shared" si="5"/>
        <v>0.12615384615384614</v>
      </c>
      <c r="D41" s="3">
        <f>C41*D$54-0.01</f>
        <v>21874.371815384613</v>
      </c>
      <c r="E41" s="1"/>
      <c r="F41" s="26"/>
      <c r="G41" s="3"/>
      <c r="H41" s="28"/>
      <c r="I41" s="2"/>
      <c r="J41" s="27">
        <f t="shared" si="7"/>
        <v>21874.371815384613</v>
      </c>
    </row>
    <row r="42" spans="1:10" hidden="1">
      <c r="A42" s="31" t="s">
        <v>71</v>
      </c>
      <c r="B42" s="1">
        <v>50</v>
      </c>
      <c r="C42" s="26">
        <f t="shared" si="5"/>
        <v>1.5384615384615385E-2</v>
      </c>
      <c r="D42" s="3">
        <f t="shared" si="6"/>
        <v>2667.6075384615383</v>
      </c>
      <c r="E42" s="1">
        <v>8</v>
      </c>
      <c r="F42" s="26">
        <f>E42/E$54</f>
        <v>2.9411764705882353E-2</v>
      </c>
      <c r="G42" s="3">
        <f t="shared" si="8"/>
        <v>613.26470588235293</v>
      </c>
      <c r="H42" s="26"/>
      <c r="I42" s="3"/>
      <c r="J42" s="27">
        <f t="shared" si="7"/>
        <v>3280.872244343891</v>
      </c>
    </row>
    <row r="43" spans="1:10" hidden="1">
      <c r="A43" s="25" t="s">
        <v>58</v>
      </c>
      <c r="B43" s="1">
        <v>20</v>
      </c>
      <c r="C43" s="26">
        <f t="shared" si="5"/>
        <v>6.1538461538461538E-3</v>
      </c>
      <c r="D43" s="3">
        <f t="shared" si="6"/>
        <v>1067.0430153846153</v>
      </c>
      <c r="E43" s="1"/>
      <c r="F43" s="26"/>
      <c r="G43" s="3"/>
      <c r="H43" s="26"/>
      <c r="I43" s="3"/>
      <c r="J43" s="27">
        <f t="shared" si="7"/>
        <v>1067.0430153846153</v>
      </c>
    </row>
    <row r="44" spans="1:10" hidden="1">
      <c r="A44" s="25" t="s">
        <v>59</v>
      </c>
      <c r="B44" s="1"/>
      <c r="C44" s="26"/>
      <c r="D44" s="3"/>
      <c r="E44" s="1"/>
      <c r="F44" s="26"/>
      <c r="G44" s="3"/>
      <c r="H44" s="26"/>
      <c r="I44" s="3"/>
      <c r="J44" s="27">
        <f t="shared" si="7"/>
        <v>0</v>
      </c>
    </row>
    <row r="45" spans="1:10" hidden="1">
      <c r="A45" s="32" t="s">
        <v>65</v>
      </c>
      <c r="B45" s="1"/>
      <c r="C45" s="26"/>
      <c r="D45" s="3"/>
      <c r="E45" s="1"/>
      <c r="F45" s="26"/>
      <c r="G45" s="3"/>
      <c r="H45" s="26"/>
      <c r="I45" s="3"/>
      <c r="J45" s="27">
        <f t="shared" si="7"/>
        <v>0</v>
      </c>
    </row>
    <row r="46" spans="1:10" hidden="1">
      <c r="A46" s="32" t="s">
        <v>66</v>
      </c>
      <c r="B46" s="1">
        <v>278</v>
      </c>
      <c r="C46" s="26">
        <f t="shared" si="5"/>
        <v>8.5538461538461535E-2</v>
      </c>
      <c r="D46" s="3">
        <f t="shared" si="6"/>
        <v>14831.897913846153</v>
      </c>
      <c r="E46" s="33">
        <v>16</v>
      </c>
      <c r="F46" s="26">
        <f>E46/E$54</f>
        <v>5.8823529411764705E-2</v>
      </c>
      <c r="G46" s="3">
        <f t="shared" si="8"/>
        <v>1226.5294117647059</v>
      </c>
      <c r="H46" s="26"/>
      <c r="I46" s="3"/>
      <c r="J46" s="27">
        <f t="shared" si="7"/>
        <v>16058.427325610859</v>
      </c>
    </row>
    <row r="47" spans="1:10" hidden="1">
      <c r="A47" s="25" t="s">
        <v>60</v>
      </c>
      <c r="B47" s="1">
        <v>180</v>
      </c>
      <c r="C47" s="26">
        <f t="shared" si="5"/>
        <v>5.5384615384615386E-2</v>
      </c>
      <c r="D47" s="3">
        <f t="shared" si="6"/>
        <v>9603.3871384615377</v>
      </c>
      <c r="E47" s="1"/>
      <c r="F47" s="26"/>
      <c r="G47" s="3"/>
      <c r="H47" s="26"/>
      <c r="I47" s="3"/>
      <c r="J47" s="27">
        <f t="shared" si="7"/>
        <v>9603.3871384615377</v>
      </c>
    </row>
    <row r="48" spans="1:10" hidden="1">
      <c r="A48" s="25" t="s">
        <v>61</v>
      </c>
      <c r="B48" s="1">
        <v>120</v>
      </c>
      <c r="C48" s="26">
        <f t="shared" si="5"/>
        <v>3.6923076923076927E-2</v>
      </c>
      <c r="D48" s="3">
        <f t="shared" si="6"/>
        <v>6402.258092307693</v>
      </c>
      <c r="E48" s="1">
        <v>48</v>
      </c>
      <c r="F48" s="26">
        <f>E48/E$54</f>
        <v>0.17647058823529413</v>
      </c>
      <c r="G48" s="3">
        <f t="shared" si="8"/>
        <v>3679.588235294118</v>
      </c>
      <c r="H48" s="26"/>
      <c r="I48" s="3"/>
      <c r="J48" s="27">
        <f t="shared" si="7"/>
        <v>10081.846327601812</v>
      </c>
    </row>
    <row r="49" spans="1:10" hidden="1">
      <c r="A49" s="32" t="s">
        <v>67</v>
      </c>
      <c r="B49" s="1">
        <v>35</v>
      </c>
      <c r="C49" s="26">
        <f t="shared" si="5"/>
        <v>1.0769230769230769E-2</v>
      </c>
      <c r="D49" s="3">
        <f t="shared" si="6"/>
        <v>1867.3252769230767</v>
      </c>
      <c r="E49" s="1">
        <v>24</v>
      </c>
      <c r="F49" s="26">
        <f>E49/E$54</f>
        <v>8.8235294117647065E-2</v>
      </c>
      <c r="G49" s="3">
        <f t="shared" si="8"/>
        <v>1839.794117647059</v>
      </c>
      <c r="H49" s="26"/>
      <c r="I49" s="3"/>
      <c r="J49" s="27">
        <f t="shared" si="7"/>
        <v>3707.1193945701357</v>
      </c>
    </row>
    <row r="50" spans="1:10" hidden="1">
      <c r="A50" s="32" t="s">
        <v>42</v>
      </c>
      <c r="B50" s="1">
        <v>200</v>
      </c>
      <c r="C50" s="26">
        <f t="shared" si="5"/>
        <v>6.1538461538461542E-2</v>
      </c>
      <c r="D50" s="3">
        <f t="shared" si="6"/>
        <v>10670.430153846153</v>
      </c>
      <c r="E50" s="1"/>
      <c r="F50" s="26"/>
      <c r="G50" s="3"/>
      <c r="H50" s="26"/>
      <c r="I50" s="3"/>
      <c r="J50" s="27">
        <f t="shared" si="7"/>
        <v>10670.430153846153</v>
      </c>
    </row>
    <row r="51" spans="1:10" hidden="1">
      <c r="A51" s="32" t="s">
        <v>43</v>
      </c>
      <c r="B51" s="1">
        <v>15</v>
      </c>
      <c r="C51" s="26">
        <f t="shared" si="5"/>
        <v>4.6153846153846158E-3</v>
      </c>
      <c r="D51" s="3">
        <f t="shared" si="6"/>
        <v>800.28226153846163</v>
      </c>
      <c r="E51" s="1"/>
      <c r="F51" s="26"/>
      <c r="G51" s="3"/>
      <c r="H51" s="26"/>
      <c r="I51" s="3"/>
      <c r="J51" s="27">
        <f t="shared" si="7"/>
        <v>800.28226153846163</v>
      </c>
    </row>
    <row r="52" spans="1:10" hidden="1">
      <c r="A52" s="32" t="s">
        <v>44</v>
      </c>
      <c r="B52" s="1"/>
      <c r="C52" s="26"/>
      <c r="D52" s="3"/>
      <c r="E52" s="1"/>
      <c r="F52" s="26"/>
      <c r="G52" s="3"/>
      <c r="H52" s="26"/>
      <c r="I52" s="3"/>
      <c r="J52" s="27"/>
    </row>
    <row r="53" spans="1:10" hidden="1">
      <c r="A53" s="32" t="s">
        <v>53</v>
      </c>
      <c r="B53" s="1">
        <v>40</v>
      </c>
      <c r="C53" s="26">
        <f t="shared" si="5"/>
        <v>1.2307692307692308E-2</v>
      </c>
      <c r="D53" s="3">
        <f t="shared" si="6"/>
        <v>2134.0860307692305</v>
      </c>
      <c r="E53" s="1"/>
      <c r="F53" s="26"/>
      <c r="G53" s="3"/>
      <c r="H53" s="26">
        <v>1</v>
      </c>
      <c r="I53" s="27"/>
      <c r="J53" s="27">
        <f t="shared" si="7"/>
        <v>2134.0860307692305</v>
      </c>
    </row>
    <row r="54" spans="1:10" hidden="1">
      <c r="A54" s="34" t="s">
        <v>62</v>
      </c>
      <c r="B54" s="1">
        <f>SUM(B32:B53)</f>
        <v>3250</v>
      </c>
      <c r="C54" s="26">
        <f t="shared" si="5"/>
        <v>1</v>
      </c>
      <c r="D54" s="3">
        <v>173394.49</v>
      </c>
      <c r="E54" s="1">
        <f>SUM(E32:E53)</f>
        <v>272</v>
      </c>
      <c r="F54" s="26">
        <f>E54/E$54</f>
        <v>1</v>
      </c>
      <c r="G54" s="3">
        <v>20851</v>
      </c>
      <c r="H54" s="29">
        <v>1</v>
      </c>
      <c r="I54" s="27"/>
      <c r="J54" s="27">
        <f t="shared" si="7"/>
        <v>194245.49</v>
      </c>
    </row>
    <row r="55" spans="1:10" hidden="1"/>
    <row r="56" spans="1:10" hidden="1"/>
    <row r="57" spans="1:10" ht="25.8" hidden="1">
      <c r="A57" s="30" t="s">
        <v>422</v>
      </c>
      <c r="B57" s="21"/>
      <c r="C57" s="21"/>
      <c r="D57" s="21"/>
      <c r="E57" s="21"/>
      <c r="F57" s="21"/>
      <c r="G57" s="22"/>
      <c r="H57" s="21"/>
      <c r="I57" s="21"/>
      <c r="J57" s="21"/>
    </row>
    <row r="58" spans="1:10" hidden="1">
      <c r="A58" s="282" t="s">
        <v>78</v>
      </c>
      <c r="B58" s="284" t="s">
        <v>55</v>
      </c>
      <c r="C58" s="284"/>
      <c r="D58" s="284"/>
      <c r="E58" s="284" t="s">
        <v>56</v>
      </c>
      <c r="F58" s="284"/>
      <c r="G58" s="284"/>
      <c r="H58" s="284" t="s">
        <v>57</v>
      </c>
      <c r="I58" s="284"/>
      <c r="J58" s="282" t="s">
        <v>79</v>
      </c>
    </row>
    <row r="59" spans="1:10" hidden="1">
      <c r="A59" s="283"/>
      <c r="B59" s="125" t="s">
        <v>29</v>
      </c>
      <c r="C59" s="125" t="s">
        <v>50</v>
      </c>
      <c r="D59" s="125" t="s">
        <v>51</v>
      </c>
      <c r="E59" s="125" t="s">
        <v>29</v>
      </c>
      <c r="F59" s="125" t="s">
        <v>50</v>
      </c>
      <c r="G59" s="24" t="s">
        <v>51</v>
      </c>
      <c r="H59" s="125" t="s">
        <v>50</v>
      </c>
      <c r="I59" s="125" t="s">
        <v>51</v>
      </c>
      <c r="J59" s="283"/>
    </row>
    <row r="60" spans="1:10" hidden="1">
      <c r="A60" s="31" t="s">
        <v>72</v>
      </c>
      <c r="B60" s="1">
        <v>10</v>
      </c>
      <c r="C60" s="26">
        <f>B60/B$82</f>
        <v>5.4171180931744311E-3</v>
      </c>
      <c r="D60" s="3">
        <f>C60*D$82</f>
        <v>385.08179848320697</v>
      </c>
      <c r="E60" s="1">
        <v>48</v>
      </c>
      <c r="F60" s="26">
        <f>E60/E$82</f>
        <v>0.13953488372093023</v>
      </c>
      <c r="G60" s="3">
        <f>F60*G$82</f>
        <v>2128.5083720930234</v>
      </c>
      <c r="H60" s="26"/>
      <c r="I60" s="3"/>
      <c r="J60" s="27">
        <f>I60+G60+D60</f>
        <v>2513.5901705762303</v>
      </c>
    </row>
    <row r="61" spans="1:10" hidden="1">
      <c r="A61" s="31" t="s">
        <v>73</v>
      </c>
      <c r="B61" s="1"/>
      <c r="C61" s="26"/>
      <c r="D61" s="3">
        <f t="shared" ref="D61:D81" si="9">C61*D$82</f>
        <v>0</v>
      </c>
      <c r="E61" s="1">
        <v>88</v>
      </c>
      <c r="F61" s="26">
        <f>E61/E$82</f>
        <v>0.2558139534883721</v>
      </c>
      <c r="G61" s="3">
        <f t="shared" ref="G61:G81" si="10">F61*G$82</f>
        <v>3902.2653488372093</v>
      </c>
      <c r="H61" s="26"/>
      <c r="I61" s="3"/>
      <c r="J61" s="27">
        <f t="shared" ref="J61:J82" si="11">I61+G61+D61</f>
        <v>3902.2653488372093</v>
      </c>
    </row>
    <row r="62" spans="1:10" hidden="1">
      <c r="A62" s="31" t="s">
        <v>74</v>
      </c>
      <c r="B62" s="1">
        <f>30</f>
        <v>30</v>
      </c>
      <c r="C62" s="26">
        <f t="shared" ref="C62:C82" si="12">B62/B$82</f>
        <v>1.6251354279523293E-2</v>
      </c>
      <c r="D62" s="3">
        <f t="shared" si="9"/>
        <v>1155.2453954496209</v>
      </c>
      <c r="E62" s="1"/>
      <c r="F62" s="26"/>
      <c r="G62" s="3">
        <f t="shared" si="10"/>
        <v>0</v>
      </c>
      <c r="H62" s="26"/>
      <c r="I62" s="3"/>
      <c r="J62" s="27">
        <f t="shared" si="11"/>
        <v>1155.2453954496209</v>
      </c>
    </row>
    <row r="63" spans="1:10" hidden="1">
      <c r="A63" s="31" t="s">
        <v>75</v>
      </c>
      <c r="B63" s="1"/>
      <c r="C63" s="26"/>
      <c r="D63" s="3">
        <f t="shared" si="9"/>
        <v>0</v>
      </c>
      <c r="E63" s="1">
        <v>48</v>
      </c>
      <c r="F63" s="26">
        <f>E63/E$82</f>
        <v>0.13953488372093023</v>
      </c>
      <c r="G63" s="3">
        <f t="shared" si="10"/>
        <v>2128.5083720930234</v>
      </c>
      <c r="H63" s="26"/>
      <c r="I63" s="3"/>
      <c r="J63" s="27">
        <f t="shared" si="11"/>
        <v>2128.5083720930234</v>
      </c>
    </row>
    <row r="64" spans="1:10" hidden="1">
      <c r="A64" s="31" t="s">
        <v>76</v>
      </c>
      <c r="B64" s="1"/>
      <c r="C64" s="26"/>
      <c r="D64" s="3">
        <f t="shared" si="9"/>
        <v>0</v>
      </c>
      <c r="E64" s="1"/>
      <c r="F64" s="26"/>
      <c r="G64" s="3">
        <f t="shared" si="10"/>
        <v>0</v>
      </c>
      <c r="H64" s="26"/>
      <c r="I64" s="3"/>
      <c r="J64" s="27">
        <f t="shared" si="11"/>
        <v>0</v>
      </c>
    </row>
    <row r="65" spans="1:10" hidden="1">
      <c r="A65" s="31" t="s">
        <v>64</v>
      </c>
      <c r="B65" s="1">
        <f>4</f>
        <v>4</v>
      </c>
      <c r="C65" s="26">
        <f t="shared" si="12"/>
        <v>2.1668472372697724E-3</v>
      </c>
      <c r="D65" s="3">
        <f t="shared" si="9"/>
        <v>154.03271939328278</v>
      </c>
      <c r="E65" s="1"/>
      <c r="F65" s="26"/>
      <c r="G65" s="3">
        <f t="shared" si="10"/>
        <v>0</v>
      </c>
      <c r="H65" s="26"/>
      <c r="I65" s="3"/>
      <c r="J65" s="27">
        <f t="shared" si="11"/>
        <v>154.03271939328278</v>
      </c>
    </row>
    <row r="66" spans="1:10" hidden="1">
      <c r="A66" s="31" t="s">
        <v>68</v>
      </c>
      <c r="B66" s="1">
        <f>4</f>
        <v>4</v>
      </c>
      <c r="C66" s="26">
        <f t="shared" si="12"/>
        <v>2.1668472372697724E-3</v>
      </c>
      <c r="D66" s="3">
        <f t="shared" si="9"/>
        <v>154.03271939328278</v>
      </c>
      <c r="E66" s="1"/>
      <c r="F66" s="26"/>
      <c r="G66" s="3">
        <f t="shared" si="10"/>
        <v>0</v>
      </c>
      <c r="H66" s="26"/>
      <c r="I66" s="3"/>
      <c r="J66" s="27">
        <f t="shared" si="11"/>
        <v>154.03271939328278</v>
      </c>
    </row>
    <row r="67" spans="1:10" hidden="1">
      <c r="A67" s="31" t="s">
        <v>69</v>
      </c>
      <c r="B67" s="1"/>
      <c r="C67" s="26"/>
      <c r="D67" s="3">
        <f t="shared" si="9"/>
        <v>0</v>
      </c>
      <c r="E67" s="1"/>
      <c r="F67" s="26"/>
      <c r="G67" s="3">
        <f t="shared" si="10"/>
        <v>0</v>
      </c>
      <c r="H67" s="26"/>
      <c r="I67" s="3"/>
      <c r="J67" s="27">
        <f t="shared" si="11"/>
        <v>0</v>
      </c>
    </row>
    <row r="68" spans="1:10" hidden="1">
      <c r="A68" s="31" t="s">
        <v>70</v>
      </c>
      <c r="B68" s="1">
        <f>5</f>
        <v>5</v>
      </c>
      <c r="C68" s="26">
        <f t="shared" si="12"/>
        <v>2.7085590465872156E-3</v>
      </c>
      <c r="D68" s="3">
        <f t="shared" si="9"/>
        <v>192.54089924160348</v>
      </c>
      <c r="E68" s="1">
        <v>8</v>
      </c>
      <c r="F68" s="26">
        <f>E68/E$82</f>
        <v>2.3255813953488372E-2</v>
      </c>
      <c r="G68" s="3">
        <f t="shared" si="10"/>
        <v>354.75139534883721</v>
      </c>
      <c r="H68" s="26"/>
      <c r="I68" s="3"/>
      <c r="J68" s="27">
        <f t="shared" si="11"/>
        <v>547.29229459044063</v>
      </c>
    </row>
    <row r="69" spans="1:10" hidden="1">
      <c r="A69" s="31" t="s">
        <v>424</v>
      </c>
      <c r="B69" s="1">
        <f>152</f>
        <v>152</v>
      </c>
      <c r="C69" s="26">
        <f t="shared" si="12"/>
        <v>8.2340195016251352E-2</v>
      </c>
      <c r="D69" s="3">
        <f t="shared" si="9"/>
        <v>5853.2433369447454</v>
      </c>
      <c r="E69" s="1"/>
      <c r="F69" s="26"/>
      <c r="G69" s="3">
        <f t="shared" si="10"/>
        <v>0</v>
      </c>
      <c r="H69" s="28"/>
      <c r="I69" s="2"/>
      <c r="J69" s="27">
        <f t="shared" si="11"/>
        <v>5853.2433369447454</v>
      </c>
    </row>
    <row r="70" spans="1:10" hidden="1">
      <c r="A70" s="31" t="s">
        <v>71</v>
      </c>
      <c r="B70" s="1">
        <f>10</f>
        <v>10</v>
      </c>
      <c r="C70" s="26">
        <f t="shared" si="12"/>
        <v>5.4171180931744311E-3</v>
      </c>
      <c r="D70" s="3">
        <f t="shared" si="9"/>
        <v>385.08179848320697</v>
      </c>
      <c r="E70" s="1"/>
      <c r="F70" s="26"/>
      <c r="G70" s="3">
        <f t="shared" si="10"/>
        <v>0</v>
      </c>
      <c r="H70" s="26"/>
      <c r="I70" s="3"/>
      <c r="J70" s="27">
        <f t="shared" si="11"/>
        <v>385.08179848320697</v>
      </c>
    </row>
    <row r="71" spans="1:10" hidden="1">
      <c r="A71" s="25" t="s">
        <v>58</v>
      </c>
      <c r="B71" s="1">
        <f>10</f>
        <v>10</v>
      </c>
      <c r="C71" s="26">
        <f t="shared" si="12"/>
        <v>5.4171180931744311E-3</v>
      </c>
      <c r="D71" s="3">
        <f t="shared" si="9"/>
        <v>385.08179848320697</v>
      </c>
      <c r="E71" s="1"/>
      <c r="F71" s="26"/>
      <c r="G71" s="3">
        <f t="shared" si="10"/>
        <v>0</v>
      </c>
      <c r="H71" s="26"/>
      <c r="I71" s="3"/>
      <c r="J71" s="27">
        <f t="shared" si="11"/>
        <v>385.08179848320697</v>
      </c>
    </row>
    <row r="72" spans="1:10" hidden="1">
      <c r="A72" s="25" t="s">
        <v>59</v>
      </c>
      <c r="B72" s="1"/>
      <c r="C72" s="26"/>
      <c r="D72" s="3">
        <f t="shared" si="9"/>
        <v>0</v>
      </c>
      <c r="E72" s="1"/>
      <c r="F72" s="26"/>
      <c r="G72" s="3">
        <f t="shared" si="10"/>
        <v>0</v>
      </c>
      <c r="H72" s="26"/>
      <c r="I72" s="3"/>
      <c r="J72" s="27">
        <f t="shared" si="11"/>
        <v>0</v>
      </c>
    </row>
    <row r="73" spans="1:10" hidden="1">
      <c r="A73" s="32" t="s">
        <v>65</v>
      </c>
      <c r="B73" s="1"/>
      <c r="C73" s="26"/>
      <c r="D73" s="3">
        <f t="shared" si="9"/>
        <v>0</v>
      </c>
      <c r="E73" s="1"/>
      <c r="F73" s="26"/>
      <c r="G73" s="3">
        <f t="shared" si="10"/>
        <v>0</v>
      </c>
      <c r="H73" s="26"/>
      <c r="I73" s="3"/>
      <c r="J73" s="27">
        <f t="shared" si="11"/>
        <v>0</v>
      </c>
    </row>
    <row r="74" spans="1:10" hidden="1">
      <c r="A74" s="32" t="s">
        <v>66</v>
      </c>
      <c r="B74" s="1">
        <f>400</f>
        <v>400</v>
      </c>
      <c r="C74" s="26">
        <f t="shared" si="12"/>
        <v>0.21668472372697725</v>
      </c>
      <c r="D74" s="3">
        <f t="shared" si="9"/>
        <v>15403.271939328279</v>
      </c>
      <c r="E74" s="33"/>
      <c r="F74" s="26"/>
      <c r="G74" s="3">
        <f t="shared" si="10"/>
        <v>0</v>
      </c>
      <c r="H74" s="26"/>
      <c r="I74" s="3"/>
      <c r="J74" s="27">
        <f t="shared" si="11"/>
        <v>15403.271939328279</v>
      </c>
    </row>
    <row r="75" spans="1:10" hidden="1">
      <c r="A75" s="25" t="s">
        <v>60</v>
      </c>
      <c r="B75" s="1">
        <f>10</f>
        <v>10</v>
      </c>
      <c r="C75" s="26">
        <f t="shared" si="12"/>
        <v>5.4171180931744311E-3</v>
      </c>
      <c r="D75" s="3">
        <f t="shared" si="9"/>
        <v>385.08179848320697</v>
      </c>
      <c r="E75" s="1"/>
      <c r="F75" s="26"/>
      <c r="G75" s="3">
        <f t="shared" si="10"/>
        <v>0</v>
      </c>
      <c r="H75" s="26"/>
      <c r="I75" s="3"/>
      <c r="J75" s="27">
        <f t="shared" si="11"/>
        <v>385.08179848320697</v>
      </c>
    </row>
    <row r="76" spans="1:10" hidden="1">
      <c r="A76" s="25" t="s">
        <v>61</v>
      </c>
      <c r="B76" s="1"/>
      <c r="C76" s="26"/>
      <c r="D76" s="3">
        <f t="shared" si="9"/>
        <v>0</v>
      </c>
      <c r="E76" s="1">
        <v>24</v>
      </c>
      <c r="F76" s="26">
        <f>E76/E$82</f>
        <v>6.9767441860465115E-2</v>
      </c>
      <c r="G76" s="3">
        <f t="shared" si="10"/>
        <v>1064.2541860465117</v>
      </c>
      <c r="H76" s="26"/>
      <c r="I76" s="3"/>
      <c r="J76" s="27">
        <f t="shared" si="11"/>
        <v>1064.2541860465117</v>
      </c>
    </row>
    <row r="77" spans="1:10" hidden="1">
      <c r="A77" s="32" t="s">
        <v>67</v>
      </c>
      <c r="B77" s="1">
        <f>15</f>
        <v>15</v>
      </c>
      <c r="C77" s="26">
        <f t="shared" si="12"/>
        <v>8.1256771397616463E-3</v>
      </c>
      <c r="D77" s="3">
        <f t="shared" si="9"/>
        <v>577.62269772481045</v>
      </c>
      <c r="E77" s="1">
        <v>128</v>
      </c>
      <c r="F77" s="26">
        <f>E77/E$82</f>
        <v>0.37209302325581395</v>
      </c>
      <c r="G77" s="3">
        <f t="shared" si="10"/>
        <v>5676.0223255813953</v>
      </c>
      <c r="H77" s="26"/>
      <c r="I77" s="3"/>
      <c r="J77" s="27">
        <f t="shared" si="11"/>
        <v>6253.645023306206</v>
      </c>
    </row>
    <row r="78" spans="1:10" hidden="1">
      <c r="A78" s="32" t="s">
        <v>42</v>
      </c>
      <c r="B78" s="1">
        <f>616</f>
        <v>616</v>
      </c>
      <c r="C78" s="26">
        <f t="shared" si="12"/>
        <v>0.33369447453954498</v>
      </c>
      <c r="D78" s="3">
        <f t="shared" si="9"/>
        <v>23721.03878656555</v>
      </c>
      <c r="E78" s="1"/>
      <c r="F78" s="26"/>
      <c r="G78" s="3">
        <f t="shared" si="10"/>
        <v>0</v>
      </c>
      <c r="H78" s="26"/>
      <c r="I78" s="3"/>
      <c r="J78" s="27">
        <f t="shared" si="11"/>
        <v>23721.03878656555</v>
      </c>
    </row>
    <row r="79" spans="1:10" hidden="1">
      <c r="A79" s="32" t="s">
        <v>43</v>
      </c>
      <c r="B79" s="1">
        <f>530</f>
        <v>530</v>
      </c>
      <c r="C79" s="26">
        <f t="shared" si="12"/>
        <v>0.28710725893824485</v>
      </c>
      <c r="D79" s="3">
        <f t="shared" si="9"/>
        <v>20409.335319609967</v>
      </c>
      <c r="E79" s="1"/>
      <c r="F79" s="26"/>
      <c r="G79" s="3">
        <f t="shared" si="10"/>
        <v>0</v>
      </c>
      <c r="H79" s="26"/>
      <c r="I79" s="3"/>
      <c r="J79" s="27">
        <f t="shared" si="11"/>
        <v>20409.335319609967</v>
      </c>
    </row>
    <row r="80" spans="1:10" hidden="1">
      <c r="A80" s="32" t="s">
        <v>44</v>
      </c>
      <c r="B80" s="1"/>
      <c r="C80" s="26"/>
      <c r="D80" s="3">
        <f t="shared" si="9"/>
        <v>0</v>
      </c>
      <c r="E80" s="1"/>
      <c r="F80" s="26"/>
      <c r="G80" s="3">
        <f t="shared" si="10"/>
        <v>0</v>
      </c>
      <c r="H80" s="26"/>
      <c r="I80" s="3"/>
      <c r="J80" s="27">
        <f t="shared" si="11"/>
        <v>0</v>
      </c>
    </row>
    <row r="81" spans="1:10" hidden="1">
      <c r="A81" s="32" t="s">
        <v>53</v>
      </c>
      <c r="B81" s="1">
        <f>50</f>
        <v>50</v>
      </c>
      <c r="C81" s="26">
        <f t="shared" si="12"/>
        <v>2.7085590465872156E-2</v>
      </c>
      <c r="D81" s="3">
        <f t="shared" si="9"/>
        <v>1925.4089924160348</v>
      </c>
      <c r="E81" s="1"/>
      <c r="F81" s="26"/>
      <c r="G81" s="3">
        <f t="shared" si="10"/>
        <v>0</v>
      </c>
      <c r="H81" s="26">
        <v>1</v>
      </c>
      <c r="I81" s="27">
        <v>54152.13</v>
      </c>
      <c r="J81" s="27">
        <f t="shared" si="11"/>
        <v>56077.538992416034</v>
      </c>
    </row>
    <row r="82" spans="1:10" hidden="1">
      <c r="A82" s="125" t="s">
        <v>62</v>
      </c>
      <c r="B82" s="1">
        <f>SUM(B60:B81)</f>
        <v>1846</v>
      </c>
      <c r="C82" s="26">
        <f t="shared" si="12"/>
        <v>1</v>
      </c>
      <c r="D82" s="3">
        <v>71086.100000000006</v>
      </c>
      <c r="E82" s="1">
        <f>SUM(E60:E81)</f>
        <v>344</v>
      </c>
      <c r="F82" s="26">
        <f>E82/E$82</f>
        <v>1</v>
      </c>
      <c r="G82" s="3">
        <v>15254.31</v>
      </c>
      <c r="H82" s="29">
        <v>1</v>
      </c>
      <c r="I82" s="27">
        <v>54152.13</v>
      </c>
      <c r="J82" s="27">
        <f t="shared" si="11"/>
        <v>140492.54</v>
      </c>
    </row>
    <row r="83" spans="1:10" hidden="1"/>
    <row r="84" spans="1:10" hidden="1"/>
    <row r="85" spans="1:10" ht="25.8" hidden="1">
      <c r="A85" s="30" t="s">
        <v>468</v>
      </c>
      <c r="B85" s="21"/>
      <c r="C85" s="21"/>
      <c r="D85" s="21"/>
      <c r="E85" s="21"/>
      <c r="F85" s="21"/>
      <c r="G85" s="22"/>
      <c r="H85" s="21"/>
      <c r="I85" s="21"/>
      <c r="J85" s="21"/>
    </row>
    <row r="86" spans="1:10" hidden="1">
      <c r="A86" s="282" t="s">
        <v>78</v>
      </c>
      <c r="B86" s="284" t="s">
        <v>55</v>
      </c>
      <c r="C86" s="284"/>
      <c r="D86" s="284"/>
      <c r="E86" s="284" t="s">
        <v>56</v>
      </c>
      <c r="F86" s="284"/>
      <c r="G86" s="284"/>
      <c r="H86" s="284" t="s">
        <v>57</v>
      </c>
      <c r="I86" s="284"/>
      <c r="J86" s="282" t="s">
        <v>79</v>
      </c>
    </row>
    <row r="87" spans="1:10" hidden="1">
      <c r="A87" s="283"/>
      <c r="B87" s="148" t="s">
        <v>29</v>
      </c>
      <c r="C87" s="148" t="s">
        <v>50</v>
      </c>
      <c r="D87" s="148" t="s">
        <v>51</v>
      </c>
      <c r="E87" s="148" t="s">
        <v>29</v>
      </c>
      <c r="F87" s="148" t="s">
        <v>50</v>
      </c>
      <c r="G87" s="24" t="s">
        <v>51</v>
      </c>
      <c r="H87" s="148" t="s">
        <v>50</v>
      </c>
      <c r="I87" s="148" t="s">
        <v>51</v>
      </c>
      <c r="J87" s="283"/>
    </row>
    <row r="88" spans="1:10" hidden="1">
      <c r="A88" s="31" t="s">
        <v>81</v>
      </c>
      <c r="B88" s="1"/>
      <c r="C88" s="26"/>
      <c r="D88" s="3"/>
      <c r="E88" s="1"/>
      <c r="F88" s="26"/>
      <c r="G88" s="3"/>
      <c r="H88" s="26"/>
      <c r="I88" s="3"/>
      <c r="J88" s="27"/>
    </row>
    <row r="89" spans="1:10" hidden="1">
      <c r="A89" s="31" t="s">
        <v>486</v>
      </c>
      <c r="B89" s="1"/>
      <c r="C89" s="26"/>
      <c r="D89" s="3"/>
      <c r="E89" s="1">
        <v>20</v>
      </c>
      <c r="F89" s="26">
        <f>E89/E$110</f>
        <v>6.9444444444444448E-2</v>
      </c>
      <c r="G89" s="3">
        <f>F89*G$110</f>
        <v>1464.5895833333334</v>
      </c>
      <c r="H89" s="26"/>
      <c r="I89" s="3"/>
      <c r="J89" s="27">
        <f t="shared" ref="J89:J110" si="13">I89+G89+D89</f>
        <v>1464.5895833333334</v>
      </c>
    </row>
    <row r="90" spans="1:10" hidden="1">
      <c r="A90" s="31" t="s">
        <v>397</v>
      </c>
      <c r="B90" s="1"/>
      <c r="C90" s="26"/>
      <c r="D90" s="3"/>
      <c r="E90" s="1"/>
      <c r="F90" s="26"/>
      <c r="G90" s="3"/>
      <c r="H90" s="26"/>
      <c r="I90" s="3"/>
      <c r="J90" s="27"/>
    </row>
    <row r="91" spans="1:10" hidden="1">
      <c r="A91" s="31" t="s">
        <v>479</v>
      </c>
      <c r="B91" s="1"/>
      <c r="C91" s="26"/>
      <c r="D91" s="3"/>
      <c r="E91" s="1"/>
      <c r="F91" s="26"/>
      <c r="G91" s="3"/>
      <c r="H91" s="26"/>
      <c r="I91" s="3"/>
      <c r="J91" s="27"/>
    </row>
    <row r="92" spans="1:10" hidden="1">
      <c r="A92" s="31" t="s">
        <v>76</v>
      </c>
      <c r="B92" s="1"/>
      <c r="C92" s="26"/>
      <c r="D92" s="3"/>
      <c r="E92" s="1"/>
      <c r="F92" s="26"/>
      <c r="G92" s="3"/>
      <c r="H92" s="26"/>
      <c r="I92" s="3"/>
      <c r="J92" s="27"/>
    </row>
    <row r="93" spans="1:10" hidden="1">
      <c r="A93" s="31" t="s">
        <v>504</v>
      </c>
      <c r="B93" s="1"/>
      <c r="C93" s="26"/>
      <c r="D93" s="3"/>
      <c r="E93" s="1">
        <v>64</v>
      </c>
      <c r="F93" s="26">
        <f>E93/E$110</f>
        <v>0.22222222222222221</v>
      </c>
      <c r="G93" s="3">
        <f t="shared" ref="G93:G105" si="14">F93*G$110</f>
        <v>4686.6866666666665</v>
      </c>
      <c r="H93" s="26"/>
      <c r="I93" s="3"/>
      <c r="J93" s="27">
        <f t="shared" si="13"/>
        <v>4686.6866666666665</v>
      </c>
    </row>
    <row r="94" spans="1:10" hidden="1">
      <c r="A94" s="31" t="s">
        <v>506</v>
      </c>
      <c r="B94" s="1"/>
      <c r="C94" s="26"/>
      <c r="D94" s="3"/>
      <c r="E94" s="1">
        <v>40</v>
      </c>
      <c r="F94" s="26">
        <f>E94/E$110</f>
        <v>0.1388888888888889</v>
      </c>
      <c r="G94" s="3">
        <f t="shared" si="14"/>
        <v>2929.1791666666668</v>
      </c>
      <c r="H94" s="26"/>
      <c r="I94" s="3"/>
      <c r="J94" s="27">
        <f t="shared" si="13"/>
        <v>2929.1791666666668</v>
      </c>
    </row>
    <row r="95" spans="1:10" hidden="1">
      <c r="A95" s="31" t="s">
        <v>510</v>
      </c>
      <c r="B95" s="1"/>
      <c r="C95" s="26"/>
      <c r="D95" s="3"/>
      <c r="E95" s="1">
        <v>80</v>
      </c>
      <c r="F95" s="26">
        <f>E95/E$110</f>
        <v>0.27777777777777779</v>
      </c>
      <c r="G95" s="3">
        <f t="shared" si="14"/>
        <v>5858.3583333333336</v>
      </c>
      <c r="H95" s="26"/>
      <c r="I95" s="3"/>
      <c r="J95" s="27">
        <f t="shared" si="13"/>
        <v>5858.3583333333336</v>
      </c>
    </row>
    <row r="96" spans="1:10" hidden="1">
      <c r="A96" s="31" t="s">
        <v>70</v>
      </c>
      <c r="B96" s="1"/>
      <c r="C96" s="26"/>
      <c r="D96" s="3"/>
      <c r="E96" s="1"/>
      <c r="F96" s="26"/>
      <c r="G96" s="3"/>
      <c r="H96" s="26"/>
      <c r="I96" s="3"/>
      <c r="J96" s="27"/>
    </row>
    <row r="97" spans="1:10" hidden="1">
      <c r="A97" s="31" t="s">
        <v>77</v>
      </c>
      <c r="B97" s="1"/>
      <c r="C97" s="26"/>
      <c r="D97" s="3"/>
      <c r="E97" s="1"/>
      <c r="F97" s="26"/>
      <c r="G97" s="3"/>
      <c r="H97" s="28"/>
      <c r="I97" s="2"/>
      <c r="J97" s="27"/>
    </row>
    <row r="98" spans="1:10" hidden="1">
      <c r="A98" s="31" t="s">
        <v>500</v>
      </c>
      <c r="B98" s="1"/>
      <c r="C98" s="26"/>
      <c r="D98" s="3"/>
      <c r="E98" s="1">
        <v>16</v>
      </c>
      <c r="F98" s="26">
        <f>E98/E$110</f>
        <v>5.5555555555555552E-2</v>
      </c>
      <c r="G98" s="3">
        <f t="shared" si="14"/>
        <v>1171.6716666666666</v>
      </c>
      <c r="H98" s="26"/>
      <c r="I98" s="3"/>
      <c r="J98" s="27">
        <f t="shared" si="13"/>
        <v>1171.6716666666666</v>
      </c>
    </row>
    <row r="99" spans="1:10" hidden="1">
      <c r="A99" s="25" t="s">
        <v>58</v>
      </c>
      <c r="B99" s="1">
        <v>150</v>
      </c>
      <c r="C99" s="26">
        <f>B99/B$110</f>
        <v>8.2964601769911508E-2</v>
      </c>
      <c r="D99" s="3">
        <f>C99*D$110</f>
        <v>3853.0271017699115</v>
      </c>
      <c r="E99" s="1"/>
      <c r="F99" s="26"/>
      <c r="G99" s="3"/>
      <c r="H99" s="26"/>
      <c r="I99" s="3"/>
      <c r="J99" s="27">
        <f t="shared" si="13"/>
        <v>3853.0271017699115</v>
      </c>
    </row>
    <row r="100" spans="1:10" hidden="1">
      <c r="A100" s="25" t="s">
        <v>59</v>
      </c>
      <c r="B100" s="1"/>
      <c r="C100" s="26"/>
      <c r="D100" s="3"/>
      <c r="E100" s="1"/>
      <c r="F100" s="26"/>
      <c r="G100" s="3"/>
      <c r="H100" s="26"/>
      <c r="I100" s="3"/>
      <c r="J100" s="27"/>
    </row>
    <row r="101" spans="1:10" hidden="1">
      <c r="A101" s="32" t="s">
        <v>65</v>
      </c>
      <c r="B101" s="1"/>
      <c r="C101" s="26"/>
      <c r="D101" s="3"/>
      <c r="E101" s="1"/>
      <c r="F101" s="26"/>
      <c r="G101" s="3"/>
      <c r="H101" s="26"/>
      <c r="I101" s="3"/>
      <c r="J101" s="27"/>
    </row>
    <row r="102" spans="1:10" hidden="1">
      <c r="A102" s="32" t="s">
        <v>66</v>
      </c>
      <c r="B102" s="1">
        <f>376+300</f>
        <v>676</v>
      </c>
      <c r="C102" s="26">
        <f t="shared" ref="C102:C110" si="15">B102/B$110</f>
        <v>0.37389380530973454</v>
      </c>
      <c r="D102" s="3">
        <f t="shared" ref="D102:D109" si="16">C102*D$110</f>
        <v>17364.308805309734</v>
      </c>
      <c r="E102" s="33"/>
      <c r="F102" s="26"/>
      <c r="G102" s="3"/>
      <c r="H102" s="26"/>
      <c r="I102" s="3"/>
      <c r="J102" s="27">
        <f t="shared" si="13"/>
        <v>17364.308805309734</v>
      </c>
    </row>
    <row r="103" spans="1:10" hidden="1">
      <c r="A103" s="25" t="s">
        <v>60</v>
      </c>
      <c r="B103" s="1">
        <v>50</v>
      </c>
      <c r="C103" s="26">
        <f t="shared" si="15"/>
        <v>2.7654867256637169E-2</v>
      </c>
      <c r="D103" s="3">
        <f t="shared" si="16"/>
        <v>1284.3423672566373</v>
      </c>
      <c r="E103" s="1"/>
      <c r="F103" s="26"/>
      <c r="G103" s="3"/>
      <c r="H103" s="26"/>
      <c r="I103" s="3"/>
      <c r="J103" s="27">
        <f t="shared" si="13"/>
        <v>1284.3423672566373</v>
      </c>
    </row>
    <row r="104" spans="1:10" hidden="1">
      <c r="A104" s="25" t="s">
        <v>61</v>
      </c>
      <c r="B104" s="1"/>
      <c r="C104" s="26"/>
      <c r="D104" s="3"/>
      <c r="E104" s="1">
        <v>19</v>
      </c>
      <c r="F104" s="26">
        <f>E104/E$110</f>
        <v>6.5972222222222224E-2</v>
      </c>
      <c r="G104" s="3">
        <f t="shared" si="14"/>
        <v>1391.3601041666668</v>
      </c>
      <c r="H104" s="26"/>
      <c r="I104" s="3"/>
      <c r="J104" s="27">
        <f t="shared" si="13"/>
        <v>1391.3601041666668</v>
      </c>
    </row>
    <row r="105" spans="1:10" hidden="1">
      <c r="A105" s="32" t="s">
        <v>67</v>
      </c>
      <c r="B105" s="1">
        <v>100</v>
      </c>
      <c r="C105" s="26">
        <f t="shared" si="15"/>
        <v>5.5309734513274339E-2</v>
      </c>
      <c r="D105" s="3">
        <f t="shared" si="16"/>
        <v>2568.6847345132746</v>
      </c>
      <c r="E105" s="1">
        <v>49</v>
      </c>
      <c r="F105" s="26">
        <f>E105/E$110</f>
        <v>0.1701388888888889</v>
      </c>
      <c r="G105" s="3">
        <f t="shared" si="14"/>
        <v>3588.2444791666667</v>
      </c>
      <c r="H105" s="26"/>
      <c r="I105" s="3"/>
      <c r="J105" s="27">
        <f>I105+G105+D105-0.01</f>
        <v>6156.9192136799411</v>
      </c>
    </row>
    <row r="106" spans="1:10" hidden="1">
      <c r="A106" s="32" t="s">
        <v>42</v>
      </c>
      <c r="B106" s="1">
        <v>500</v>
      </c>
      <c r="C106" s="26">
        <f t="shared" si="15"/>
        <v>0.27654867256637167</v>
      </c>
      <c r="D106" s="3">
        <f t="shared" si="16"/>
        <v>12843.42367256637</v>
      </c>
      <c r="E106" s="1"/>
      <c r="F106" s="26"/>
      <c r="G106" s="3"/>
      <c r="H106" s="26"/>
      <c r="I106" s="3"/>
      <c r="J106" s="27">
        <f t="shared" si="13"/>
        <v>12843.42367256637</v>
      </c>
    </row>
    <row r="107" spans="1:10" hidden="1">
      <c r="A107" s="32" t="s">
        <v>43</v>
      </c>
      <c r="B107" s="1">
        <v>220</v>
      </c>
      <c r="C107" s="26">
        <f t="shared" si="15"/>
        <v>0.12168141592920353</v>
      </c>
      <c r="D107" s="3">
        <f t="shared" si="16"/>
        <v>5651.1064159292036</v>
      </c>
      <c r="E107" s="1"/>
      <c r="F107" s="26"/>
      <c r="G107" s="3"/>
      <c r="H107" s="26"/>
      <c r="I107" s="3"/>
      <c r="J107" s="27">
        <f t="shared" si="13"/>
        <v>5651.1064159292036</v>
      </c>
    </row>
    <row r="108" spans="1:10" hidden="1">
      <c r="A108" s="32" t="s">
        <v>44</v>
      </c>
      <c r="B108" s="1"/>
      <c r="C108" s="26"/>
      <c r="D108" s="3"/>
      <c r="E108" s="1"/>
      <c r="F108" s="26"/>
      <c r="G108" s="3"/>
      <c r="H108" s="26"/>
      <c r="I108" s="3"/>
      <c r="J108" s="27"/>
    </row>
    <row r="109" spans="1:10" hidden="1">
      <c r="A109" s="32" t="s">
        <v>53</v>
      </c>
      <c r="B109" s="1">
        <v>112</v>
      </c>
      <c r="C109" s="26">
        <f t="shared" si="15"/>
        <v>6.1946902654867256E-2</v>
      </c>
      <c r="D109" s="3">
        <f t="shared" si="16"/>
        <v>2876.9269026548673</v>
      </c>
      <c r="E109" s="1"/>
      <c r="F109" s="26"/>
      <c r="G109" s="3"/>
      <c r="H109" s="26">
        <v>1</v>
      </c>
      <c r="I109" s="27">
        <v>66606.89</v>
      </c>
      <c r="J109" s="27">
        <f t="shared" si="13"/>
        <v>69483.816902654871</v>
      </c>
    </row>
    <row r="110" spans="1:10" hidden="1">
      <c r="A110" s="148" t="s">
        <v>62</v>
      </c>
      <c r="B110" s="1">
        <f>SUM(B88:B109)</f>
        <v>1808</v>
      </c>
      <c r="C110" s="26">
        <f t="shared" si="15"/>
        <v>1</v>
      </c>
      <c r="D110" s="3">
        <v>46441.82</v>
      </c>
      <c r="E110" s="1">
        <f>SUM(E88:E109)</f>
        <v>288</v>
      </c>
      <c r="F110" s="26">
        <f>E110/E$110</f>
        <v>1</v>
      </c>
      <c r="G110" s="3">
        <v>21090.09</v>
      </c>
      <c r="H110" s="29">
        <v>1</v>
      </c>
      <c r="I110" s="27">
        <v>66606.89</v>
      </c>
      <c r="J110" s="27">
        <f t="shared" si="13"/>
        <v>134138.79999999999</v>
      </c>
    </row>
    <row r="111" spans="1:10" hidden="1"/>
    <row r="112" spans="1:10" hidden="1"/>
    <row r="113" spans="1:10" ht="25.8" hidden="1">
      <c r="A113" s="30" t="s">
        <v>512</v>
      </c>
      <c r="B113" s="21"/>
      <c r="C113" s="21"/>
      <c r="D113" s="21"/>
      <c r="E113" s="21"/>
      <c r="F113" s="21"/>
      <c r="G113" s="22"/>
      <c r="H113" s="21"/>
      <c r="I113" s="21"/>
      <c r="J113" s="21"/>
    </row>
    <row r="114" spans="1:10" hidden="1">
      <c r="A114" s="282" t="s">
        <v>78</v>
      </c>
      <c r="B114" s="284" t="s">
        <v>55</v>
      </c>
      <c r="C114" s="284"/>
      <c r="D114" s="284"/>
      <c r="E114" s="284" t="s">
        <v>56</v>
      </c>
      <c r="F114" s="284"/>
      <c r="G114" s="284"/>
      <c r="H114" s="284" t="s">
        <v>57</v>
      </c>
      <c r="I114" s="284"/>
      <c r="J114" s="282" t="s">
        <v>79</v>
      </c>
    </row>
    <row r="115" spans="1:10" hidden="1">
      <c r="A115" s="283"/>
      <c r="B115" s="166" t="s">
        <v>29</v>
      </c>
      <c r="C115" s="166" t="s">
        <v>50</v>
      </c>
      <c r="D115" s="166" t="s">
        <v>51</v>
      </c>
      <c r="E115" s="166" t="s">
        <v>29</v>
      </c>
      <c r="F115" s="166" t="s">
        <v>50</v>
      </c>
      <c r="G115" s="24" t="s">
        <v>51</v>
      </c>
      <c r="H115" s="166" t="s">
        <v>50</v>
      </c>
      <c r="I115" s="166" t="s">
        <v>51</v>
      </c>
      <c r="J115" s="283"/>
    </row>
    <row r="116" spans="1:10" hidden="1">
      <c r="A116" s="31" t="s">
        <v>72</v>
      </c>
      <c r="B116" s="1"/>
      <c r="C116" s="26"/>
      <c r="D116" s="3"/>
      <c r="E116" s="1"/>
      <c r="F116" s="26"/>
      <c r="G116" s="3"/>
      <c r="H116" s="26"/>
      <c r="I116" s="3"/>
      <c r="J116" s="27"/>
    </row>
    <row r="117" spans="1:10" hidden="1">
      <c r="A117" s="31" t="s">
        <v>73</v>
      </c>
      <c r="B117" s="1"/>
      <c r="C117" s="26"/>
      <c r="D117" s="3"/>
      <c r="E117" s="1"/>
      <c r="F117" s="26"/>
      <c r="G117" s="3"/>
      <c r="H117" s="26"/>
      <c r="I117" s="3"/>
      <c r="J117" s="27"/>
    </row>
    <row r="118" spans="1:10" hidden="1">
      <c r="A118" s="31" t="s">
        <v>74</v>
      </c>
      <c r="B118" s="1"/>
      <c r="C118" s="26"/>
      <c r="D118" s="3"/>
      <c r="E118" s="1">
        <v>16</v>
      </c>
      <c r="F118" s="26">
        <f>E118/E$138</f>
        <v>0.05</v>
      </c>
      <c r="G118" s="3">
        <f>F118*G$138</f>
        <v>708.55950000000007</v>
      </c>
      <c r="H118" s="26"/>
      <c r="I118" s="3"/>
      <c r="J118" s="27"/>
    </row>
    <row r="119" spans="1:10" hidden="1">
      <c r="A119" s="31" t="s">
        <v>75</v>
      </c>
      <c r="B119" s="1"/>
      <c r="C119" s="26"/>
      <c r="D119" s="3"/>
      <c r="E119" s="1"/>
      <c r="F119" s="26"/>
      <c r="G119" s="3"/>
      <c r="H119" s="26"/>
      <c r="I119" s="3"/>
      <c r="J119" s="27"/>
    </row>
    <row r="120" spans="1:10" hidden="1">
      <c r="A120" s="31" t="s">
        <v>76</v>
      </c>
      <c r="B120" s="1"/>
      <c r="C120" s="26"/>
      <c r="D120" s="3"/>
      <c r="E120" s="1"/>
      <c r="F120" s="26"/>
      <c r="G120" s="3"/>
      <c r="H120" s="26"/>
      <c r="I120" s="3"/>
      <c r="J120" s="27"/>
    </row>
    <row r="121" spans="1:10" hidden="1">
      <c r="A121" s="31" t="s">
        <v>64</v>
      </c>
      <c r="B121" s="1"/>
      <c r="C121" s="26"/>
      <c r="D121" s="3"/>
      <c r="E121" s="1">
        <v>16</v>
      </c>
      <c r="F121" s="26">
        <f>E121/E$138</f>
        <v>0.05</v>
      </c>
      <c r="G121" s="3">
        <f>F121*G$138</f>
        <v>708.55950000000007</v>
      </c>
      <c r="H121" s="26"/>
      <c r="I121" s="3"/>
      <c r="J121" s="27"/>
    </row>
    <row r="122" spans="1:10" hidden="1">
      <c r="A122" s="31" t="s">
        <v>68</v>
      </c>
      <c r="B122" s="1"/>
      <c r="C122" s="26"/>
      <c r="D122" s="3"/>
      <c r="E122" s="1">
        <v>32</v>
      </c>
      <c r="F122" s="26">
        <f>E122/E$138</f>
        <v>0.1</v>
      </c>
      <c r="G122" s="3">
        <f>F122*G$138</f>
        <v>1417.1190000000001</v>
      </c>
      <c r="H122" s="26"/>
      <c r="I122" s="3"/>
      <c r="J122" s="27"/>
    </row>
    <row r="123" spans="1:10" hidden="1">
      <c r="A123" s="31" t="s">
        <v>69</v>
      </c>
      <c r="B123" s="1"/>
      <c r="C123" s="26"/>
      <c r="D123" s="3"/>
      <c r="E123" s="1">
        <v>72</v>
      </c>
      <c r="F123" s="26">
        <f>E123/E$138</f>
        <v>0.22500000000000001</v>
      </c>
      <c r="G123" s="3">
        <f>F123*G$138-0.01</f>
        <v>3188.5077499999998</v>
      </c>
      <c r="H123" s="26"/>
      <c r="I123" s="3"/>
      <c r="J123" s="27"/>
    </row>
    <row r="124" spans="1:10" hidden="1">
      <c r="A124" s="31" t="s">
        <v>70</v>
      </c>
      <c r="B124" s="1"/>
      <c r="C124" s="26"/>
      <c r="D124" s="3"/>
      <c r="E124" s="1">
        <v>8</v>
      </c>
      <c r="F124" s="26">
        <f>E124/E$138</f>
        <v>2.5000000000000001E-2</v>
      </c>
      <c r="G124" s="3">
        <f>F124*G$138</f>
        <v>354.27975000000004</v>
      </c>
      <c r="H124" s="26"/>
      <c r="I124" s="3"/>
      <c r="J124" s="27"/>
    </row>
    <row r="125" spans="1:10" hidden="1">
      <c r="A125" s="31" t="s">
        <v>77</v>
      </c>
      <c r="B125" s="1"/>
      <c r="C125" s="26"/>
      <c r="D125" s="3"/>
      <c r="E125" s="1"/>
      <c r="F125" s="26"/>
      <c r="G125" s="3"/>
      <c r="H125" s="28"/>
      <c r="I125" s="2"/>
      <c r="J125" s="27"/>
    </row>
    <row r="126" spans="1:10" hidden="1">
      <c r="A126" s="31" t="s">
        <v>537</v>
      </c>
      <c r="B126" s="1"/>
      <c r="C126" s="26"/>
      <c r="D126" s="3"/>
      <c r="E126" s="1"/>
      <c r="F126" s="26"/>
      <c r="G126" s="3"/>
      <c r="H126" s="26"/>
      <c r="I126" s="3"/>
      <c r="J126" s="27"/>
    </row>
    <row r="127" spans="1:10" hidden="1">
      <c r="A127" s="25" t="s">
        <v>58</v>
      </c>
      <c r="B127" s="1">
        <v>72</v>
      </c>
      <c r="C127" s="26">
        <f>B127/B$138</f>
        <v>4.1284403669724773E-2</v>
      </c>
      <c r="D127" s="3">
        <f>C127*D$138</f>
        <v>1982.2689908256882</v>
      </c>
      <c r="E127" s="1">
        <v>152</v>
      </c>
      <c r="F127" s="26">
        <f>E127/E$138</f>
        <v>0.47499999999999998</v>
      </c>
      <c r="G127" s="3">
        <f>F127*G$138</f>
        <v>6731.3152499999997</v>
      </c>
      <c r="H127" s="26"/>
      <c r="I127" s="3"/>
      <c r="J127" s="27"/>
    </row>
    <row r="128" spans="1:10" hidden="1">
      <c r="A128" s="25" t="s">
        <v>59</v>
      </c>
      <c r="B128" s="1"/>
      <c r="C128" s="26"/>
      <c r="D128" s="3"/>
      <c r="E128" s="1"/>
      <c r="F128" s="26"/>
      <c r="G128" s="3"/>
      <c r="H128" s="26"/>
      <c r="I128" s="3"/>
      <c r="J128" s="27"/>
    </row>
    <row r="129" spans="1:10" hidden="1">
      <c r="A129" s="32" t="s">
        <v>65</v>
      </c>
      <c r="B129" s="1"/>
      <c r="C129" s="26"/>
      <c r="D129" s="3"/>
      <c r="E129" s="1"/>
      <c r="F129" s="26"/>
      <c r="G129" s="3"/>
      <c r="H129" s="26"/>
      <c r="I129" s="3"/>
      <c r="J129" s="27"/>
    </row>
    <row r="130" spans="1:10" hidden="1">
      <c r="A130" s="32" t="s">
        <v>66</v>
      </c>
      <c r="B130" s="1">
        <v>444</v>
      </c>
      <c r="C130" s="26">
        <f t="shared" ref="C130:C138" si="17">B130/B$138</f>
        <v>0.25458715596330272</v>
      </c>
      <c r="D130" s="3">
        <f t="shared" ref="D130:D137" si="18">C130*D$138</f>
        <v>12223.992110091742</v>
      </c>
      <c r="E130" s="33"/>
      <c r="F130" s="26"/>
      <c r="G130" s="3"/>
      <c r="H130" s="26"/>
      <c r="I130" s="3"/>
      <c r="J130" s="27"/>
    </row>
    <row r="131" spans="1:10" hidden="1">
      <c r="A131" s="25" t="s">
        <v>60</v>
      </c>
      <c r="B131" s="1">
        <v>60</v>
      </c>
      <c r="C131" s="26">
        <f t="shared" si="17"/>
        <v>3.4403669724770644E-2</v>
      </c>
      <c r="D131" s="3">
        <f t="shared" si="18"/>
        <v>1651.8908256880734</v>
      </c>
      <c r="E131" s="1"/>
      <c r="F131" s="26"/>
      <c r="G131" s="3"/>
      <c r="H131" s="26"/>
      <c r="I131" s="3"/>
      <c r="J131" s="27"/>
    </row>
    <row r="132" spans="1:10" hidden="1">
      <c r="A132" s="25" t="s">
        <v>61</v>
      </c>
      <c r="B132" s="1"/>
      <c r="C132" s="26"/>
      <c r="D132" s="3"/>
      <c r="E132" s="1"/>
      <c r="F132" s="26"/>
      <c r="G132" s="3"/>
      <c r="H132" s="26"/>
      <c r="I132" s="3"/>
      <c r="J132" s="27"/>
    </row>
    <row r="133" spans="1:10" hidden="1">
      <c r="A133" s="32" t="s">
        <v>67</v>
      </c>
      <c r="B133" s="1">
        <v>184</v>
      </c>
      <c r="C133" s="26">
        <f t="shared" si="17"/>
        <v>0.10550458715596331</v>
      </c>
      <c r="D133" s="3">
        <f t="shared" si="18"/>
        <v>5065.7985321100923</v>
      </c>
      <c r="E133" s="1">
        <v>24</v>
      </c>
      <c r="F133" s="26">
        <f>E133/E$138</f>
        <v>7.4999999999999997E-2</v>
      </c>
      <c r="G133" s="3">
        <f>F133*G$138</f>
        <v>1062.83925</v>
      </c>
      <c r="H133" s="26"/>
      <c r="I133" s="3"/>
      <c r="J133" s="27"/>
    </row>
    <row r="134" spans="1:10" hidden="1">
      <c r="A134" s="32" t="s">
        <v>42</v>
      </c>
      <c r="B134" s="1">
        <v>350</v>
      </c>
      <c r="C134" s="26">
        <f t="shared" si="17"/>
        <v>0.2006880733944954</v>
      </c>
      <c r="D134" s="3">
        <f t="shared" si="18"/>
        <v>9636.029816513761</v>
      </c>
      <c r="E134" s="1"/>
      <c r="F134" s="26"/>
      <c r="G134" s="3"/>
      <c r="H134" s="26"/>
      <c r="I134" s="3"/>
      <c r="J134" s="27"/>
    </row>
    <row r="135" spans="1:10" hidden="1">
      <c r="A135" s="32" t="s">
        <v>43</v>
      </c>
      <c r="B135" s="1">
        <v>234</v>
      </c>
      <c r="C135" s="26">
        <f t="shared" si="17"/>
        <v>0.13417431192660551</v>
      </c>
      <c r="D135" s="3">
        <f t="shared" si="18"/>
        <v>6442.3742201834857</v>
      </c>
      <c r="E135" s="1"/>
      <c r="F135" s="26"/>
      <c r="G135" s="3"/>
      <c r="H135" s="26"/>
      <c r="I135" s="3"/>
      <c r="J135" s="27"/>
    </row>
    <row r="136" spans="1:10" hidden="1">
      <c r="A136" s="32" t="s">
        <v>44</v>
      </c>
      <c r="B136" s="1"/>
      <c r="C136" s="26"/>
      <c r="D136" s="3"/>
      <c r="E136" s="1"/>
      <c r="F136" s="26"/>
      <c r="G136" s="3"/>
      <c r="H136" s="26"/>
      <c r="I136" s="3"/>
      <c r="J136" s="27"/>
    </row>
    <row r="137" spans="1:10" hidden="1">
      <c r="A137" s="32" t="s">
        <v>53</v>
      </c>
      <c r="B137" s="1">
        <v>400</v>
      </c>
      <c r="C137" s="26">
        <f t="shared" si="17"/>
        <v>0.22935779816513763</v>
      </c>
      <c r="D137" s="3">
        <f t="shared" si="18"/>
        <v>11012.605504587156</v>
      </c>
      <c r="E137" s="1"/>
      <c r="F137" s="26"/>
      <c r="G137" s="3"/>
      <c r="H137" s="26">
        <v>1</v>
      </c>
      <c r="I137" s="27">
        <v>72072</v>
      </c>
      <c r="J137" s="27"/>
    </row>
    <row r="138" spans="1:10" hidden="1">
      <c r="A138" s="166" t="s">
        <v>62</v>
      </c>
      <c r="B138" s="1">
        <f>SUM(B116:B137)</f>
        <v>1744</v>
      </c>
      <c r="C138" s="26">
        <f t="shared" si="17"/>
        <v>1</v>
      </c>
      <c r="D138" s="3">
        <v>48014.96</v>
      </c>
      <c r="E138" s="1">
        <f>SUM(E116:E137)</f>
        <v>320</v>
      </c>
      <c r="F138" s="26">
        <f>E138/E$138</f>
        <v>1</v>
      </c>
      <c r="G138" s="3">
        <v>14171.19</v>
      </c>
      <c r="H138" s="29">
        <v>1</v>
      </c>
      <c r="I138" s="27">
        <v>72072</v>
      </c>
      <c r="J138" s="27"/>
    </row>
    <row r="139" spans="1:10" hidden="1"/>
    <row r="140" spans="1:10" hidden="1"/>
    <row r="141" spans="1:10" ht="25.8" hidden="1">
      <c r="A141" s="30" t="s">
        <v>539</v>
      </c>
      <c r="B141" s="21"/>
      <c r="C141" s="21"/>
      <c r="D141" s="21"/>
      <c r="E141" s="21"/>
      <c r="F141" s="21"/>
      <c r="G141" s="22"/>
      <c r="H141" s="21"/>
      <c r="I141" s="21"/>
      <c r="J141" s="21"/>
    </row>
    <row r="142" spans="1:10" hidden="1">
      <c r="A142" s="282" t="s">
        <v>78</v>
      </c>
      <c r="B142" s="284" t="s">
        <v>55</v>
      </c>
      <c r="C142" s="284"/>
      <c r="D142" s="284"/>
      <c r="E142" s="284" t="s">
        <v>56</v>
      </c>
      <c r="F142" s="284"/>
      <c r="G142" s="284"/>
      <c r="H142" s="284" t="s">
        <v>57</v>
      </c>
      <c r="I142" s="284"/>
      <c r="J142" s="282" t="s">
        <v>79</v>
      </c>
    </row>
    <row r="143" spans="1:10" hidden="1">
      <c r="A143" s="283"/>
      <c r="B143" s="185" t="s">
        <v>29</v>
      </c>
      <c r="C143" s="185" t="s">
        <v>50</v>
      </c>
      <c r="D143" s="185" t="s">
        <v>51</v>
      </c>
      <c r="E143" s="185" t="s">
        <v>29</v>
      </c>
      <c r="F143" s="185" t="s">
        <v>50</v>
      </c>
      <c r="G143" s="24" t="s">
        <v>51</v>
      </c>
      <c r="H143" s="185" t="s">
        <v>50</v>
      </c>
      <c r="I143" s="185" t="s">
        <v>51</v>
      </c>
      <c r="J143" s="283"/>
    </row>
    <row r="144" spans="1:10" hidden="1">
      <c r="A144" s="31" t="s">
        <v>559</v>
      </c>
      <c r="B144" s="1"/>
      <c r="C144" s="26"/>
      <c r="D144" s="3"/>
      <c r="E144" s="1"/>
      <c r="F144" s="26"/>
      <c r="G144" s="3"/>
      <c r="H144" s="26"/>
      <c r="I144" s="3"/>
      <c r="J144" s="27"/>
    </row>
    <row r="145" spans="1:10" hidden="1">
      <c r="A145" s="31" t="s">
        <v>558</v>
      </c>
      <c r="B145" s="1"/>
      <c r="C145" s="26"/>
      <c r="D145" s="3"/>
      <c r="E145" s="1">
        <v>40</v>
      </c>
      <c r="F145" s="26">
        <f>E145/E$166</f>
        <v>0.11363636363636363</v>
      </c>
      <c r="G145" s="3">
        <f>F145*G$166</f>
        <v>1210.2272727272727</v>
      </c>
      <c r="H145" s="26"/>
      <c r="I145" s="3"/>
      <c r="J145" s="27">
        <f>D145+G145+I145</f>
        <v>1210.2272727272727</v>
      </c>
    </row>
    <row r="146" spans="1:10" hidden="1">
      <c r="A146" s="31" t="s">
        <v>397</v>
      </c>
      <c r="B146" s="1"/>
      <c r="C146" s="26"/>
      <c r="D146" s="3"/>
      <c r="E146" s="1"/>
      <c r="F146" s="26"/>
      <c r="G146" s="3"/>
      <c r="H146" s="26"/>
      <c r="I146" s="3"/>
      <c r="J146" s="27"/>
    </row>
    <row r="147" spans="1:10" hidden="1">
      <c r="A147" s="31" t="s">
        <v>560</v>
      </c>
      <c r="B147" s="1"/>
      <c r="C147" s="26"/>
      <c r="D147" s="3"/>
      <c r="E147" s="1"/>
      <c r="F147" s="26"/>
      <c r="G147" s="3"/>
      <c r="H147" s="26"/>
      <c r="I147" s="3"/>
      <c r="J147" s="27"/>
    </row>
    <row r="148" spans="1:10" hidden="1">
      <c r="A148" s="31" t="s">
        <v>76</v>
      </c>
      <c r="B148" s="1"/>
      <c r="C148" s="26"/>
      <c r="D148" s="3"/>
      <c r="E148" s="1"/>
      <c r="F148" s="26"/>
      <c r="G148" s="3"/>
      <c r="H148" s="26"/>
      <c r="I148" s="3"/>
      <c r="J148" s="27"/>
    </row>
    <row r="149" spans="1:10" hidden="1">
      <c r="A149" s="31" t="s">
        <v>82</v>
      </c>
      <c r="B149" s="1"/>
      <c r="C149" s="26"/>
      <c r="D149" s="3"/>
      <c r="E149" s="1">
        <v>16</v>
      </c>
      <c r="F149" s="26">
        <f t="shared" ref="F149:F166" si="19">E149/E$166</f>
        <v>4.5454545454545456E-2</v>
      </c>
      <c r="G149" s="3">
        <f t="shared" ref="G149:G161" si="20">F149*G$166</f>
        <v>484.09090909090912</v>
      </c>
      <c r="H149" s="26"/>
      <c r="I149" s="3"/>
      <c r="J149" s="27">
        <f t="shared" ref="J149:J166" si="21">D149+G149+I149</f>
        <v>484.09090909090912</v>
      </c>
    </row>
    <row r="150" spans="1:10" hidden="1">
      <c r="A150" s="31" t="s">
        <v>561</v>
      </c>
      <c r="B150" s="1"/>
      <c r="C150" s="26"/>
      <c r="D150" s="3"/>
      <c r="E150" s="1">
        <v>24</v>
      </c>
      <c r="F150" s="26">
        <f t="shared" si="19"/>
        <v>6.8181818181818177E-2</v>
      </c>
      <c r="G150" s="3">
        <f t="shared" si="20"/>
        <v>726.13636363636363</v>
      </c>
      <c r="H150" s="26"/>
      <c r="I150" s="3"/>
      <c r="J150" s="27">
        <f t="shared" si="21"/>
        <v>726.13636363636363</v>
      </c>
    </row>
    <row r="151" spans="1:10" hidden="1">
      <c r="A151" s="31" t="s">
        <v>553</v>
      </c>
      <c r="B151" s="1"/>
      <c r="C151" s="26"/>
      <c r="D151" s="3"/>
      <c r="E151" s="1">
        <v>32</v>
      </c>
      <c r="F151" s="26">
        <f t="shared" si="19"/>
        <v>9.0909090909090912E-2</v>
      </c>
      <c r="G151" s="3">
        <f t="shared" si="20"/>
        <v>968.18181818181824</v>
      </c>
      <c r="H151" s="26"/>
      <c r="I151" s="3"/>
      <c r="J151" s="27">
        <f t="shared" si="21"/>
        <v>968.18181818181824</v>
      </c>
    </row>
    <row r="152" spans="1:10" hidden="1">
      <c r="A152" s="31" t="s">
        <v>552</v>
      </c>
      <c r="B152" s="1"/>
      <c r="C152" s="26"/>
      <c r="D152" s="3"/>
      <c r="E152" s="1"/>
      <c r="F152" s="26"/>
      <c r="G152" s="3"/>
      <c r="H152" s="26"/>
      <c r="I152" s="3"/>
      <c r="J152" s="27"/>
    </row>
    <row r="153" spans="1:10" hidden="1">
      <c r="A153" s="31" t="s">
        <v>77</v>
      </c>
      <c r="B153" s="1"/>
      <c r="C153" s="26"/>
      <c r="D153" s="3"/>
      <c r="E153" s="1"/>
      <c r="F153" s="26"/>
      <c r="G153" s="3"/>
      <c r="H153" s="28"/>
      <c r="I153" s="2"/>
      <c r="J153" s="27"/>
    </row>
    <row r="154" spans="1:10" hidden="1">
      <c r="A154" s="31" t="s">
        <v>500</v>
      </c>
      <c r="B154" s="1"/>
      <c r="C154" s="26"/>
      <c r="D154" s="3"/>
      <c r="E154" s="1">
        <v>72</v>
      </c>
      <c r="F154" s="26">
        <f t="shared" si="19"/>
        <v>0.20454545454545456</v>
      </c>
      <c r="G154" s="3">
        <f>F154*G$166-0.01</f>
        <v>2178.3990909090908</v>
      </c>
      <c r="H154" s="26"/>
      <c r="I154" s="3"/>
      <c r="J154" s="27">
        <f t="shared" si="21"/>
        <v>2178.3990909090908</v>
      </c>
    </row>
    <row r="155" spans="1:10" hidden="1">
      <c r="A155" s="25" t="s">
        <v>58</v>
      </c>
      <c r="B155" s="1">
        <v>40</v>
      </c>
      <c r="C155" s="26">
        <f>B155/B$166</f>
        <v>2.1367521367521368E-2</v>
      </c>
      <c r="D155" s="3">
        <f>C155*D$166</f>
        <v>1114.3512820512822</v>
      </c>
      <c r="E155" s="1">
        <v>64</v>
      </c>
      <c r="F155" s="26">
        <f t="shared" si="19"/>
        <v>0.18181818181818182</v>
      </c>
      <c r="G155" s="3">
        <f t="shared" si="20"/>
        <v>1936.3636363636365</v>
      </c>
      <c r="H155" s="26"/>
      <c r="I155" s="3"/>
      <c r="J155" s="27">
        <f t="shared" si="21"/>
        <v>3050.7149184149184</v>
      </c>
    </row>
    <row r="156" spans="1:10" hidden="1">
      <c r="A156" s="25" t="s">
        <v>59</v>
      </c>
      <c r="B156" s="1"/>
      <c r="C156" s="26"/>
      <c r="D156" s="3"/>
      <c r="E156" s="1"/>
      <c r="F156" s="26"/>
      <c r="G156" s="3"/>
      <c r="H156" s="26"/>
      <c r="I156" s="3"/>
      <c r="J156" s="27"/>
    </row>
    <row r="157" spans="1:10" hidden="1">
      <c r="A157" s="32" t="s">
        <v>65</v>
      </c>
      <c r="B157" s="1"/>
      <c r="C157" s="26"/>
      <c r="D157" s="3"/>
      <c r="E157" s="1">
        <v>8</v>
      </c>
      <c r="F157" s="26">
        <f t="shared" si="19"/>
        <v>2.2727272727272728E-2</v>
      </c>
      <c r="G157" s="3">
        <f t="shared" si="20"/>
        <v>242.04545454545456</v>
      </c>
      <c r="H157" s="26"/>
      <c r="I157" s="3"/>
      <c r="J157" s="27">
        <f t="shared" si="21"/>
        <v>242.04545454545456</v>
      </c>
    </row>
    <row r="158" spans="1:10" hidden="1">
      <c r="A158" s="32" t="s">
        <v>66</v>
      </c>
      <c r="B158" s="1">
        <v>550</v>
      </c>
      <c r="C158" s="26">
        <f t="shared" ref="C158:C166" si="22">B158/B$166</f>
        <v>0.29380341880341881</v>
      </c>
      <c r="D158" s="3">
        <f t="shared" ref="D158:D165" si="23">C158*D$166</f>
        <v>15322.330128205129</v>
      </c>
      <c r="E158" s="33"/>
      <c r="F158" s="26"/>
      <c r="G158" s="3"/>
      <c r="H158" s="26"/>
      <c r="I158" s="3"/>
      <c r="J158" s="27">
        <f t="shared" si="21"/>
        <v>15322.330128205129</v>
      </c>
    </row>
    <row r="159" spans="1:10" hidden="1">
      <c r="A159" s="25" t="s">
        <v>60</v>
      </c>
      <c r="B159" s="1">
        <v>30</v>
      </c>
      <c r="C159" s="26">
        <f t="shared" si="22"/>
        <v>1.6025641025641024E-2</v>
      </c>
      <c r="D159" s="3">
        <f t="shared" si="23"/>
        <v>835.76346153846146</v>
      </c>
      <c r="E159" s="1"/>
      <c r="F159" s="26"/>
      <c r="G159" s="3"/>
      <c r="H159" s="26"/>
      <c r="I159" s="3"/>
      <c r="J159" s="27">
        <f t="shared" si="21"/>
        <v>835.76346153846146</v>
      </c>
    </row>
    <row r="160" spans="1:10" hidden="1">
      <c r="A160" s="25" t="s">
        <v>61</v>
      </c>
      <c r="B160" s="1"/>
      <c r="C160" s="26"/>
      <c r="D160" s="3"/>
      <c r="E160" s="1">
        <v>56</v>
      </c>
      <c r="F160" s="26">
        <f t="shared" si="19"/>
        <v>0.15909090909090909</v>
      </c>
      <c r="G160" s="3">
        <f t="shared" si="20"/>
        <v>1694.3181818181818</v>
      </c>
      <c r="H160" s="26"/>
      <c r="I160" s="3"/>
      <c r="J160" s="27">
        <f t="shared" si="21"/>
        <v>1694.3181818181818</v>
      </c>
    </row>
    <row r="161" spans="1:10" hidden="1">
      <c r="A161" s="32" t="s">
        <v>67</v>
      </c>
      <c r="B161" s="1">
        <v>112</v>
      </c>
      <c r="C161" s="26">
        <f t="shared" si="22"/>
        <v>5.9829059829059832E-2</v>
      </c>
      <c r="D161" s="3">
        <f t="shared" si="23"/>
        <v>3120.1835897435899</v>
      </c>
      <c r="E161" s="1">
        <v>40</v>
      </c>
      <c r="F161" s="26">
        <f t="shared" si="19"/>
        <v>0.11363636363636363</v>
      </c>
      <c r="G161" s="3">
        <f t="shared" si="20"/>
        <v>1210.2272727272727</v>
      </c>
      <c r="H161" s="26"/>
      <c r="I161" s="3"/>
      <c r="J161" s="27">
        <f t="shared" si="21"/>
        <v>4330.4108624708624</v>
      </c>
    </row>
    <row r="162" spans="1:10" hidden="1">
      <c r="A162" s="32" t="s">
        <v>42</v>
      </c>
      <c r="B162" s="1">
        <v>390</v>
      </c>
      <c r="C162" s="26">
        <f t="shared" si="22"/>
        <v>0.20833333333333334</v>
      </c>
      <c r="D162" s="3">
        <f t="shared" si="23"/>
        <v>10864.925000000001</v>
      </c>
      <c r="E162" s="1"/>
      <c r="F162" s="26"/>
      <c r="G162" s="3"/>
      <c r="H162" s="26"/>
      <c r="I162" s="3"/>
      <c r="J162" s="27">
        <f t="shared" si="21"/>
        <v>10864.925000000001</v>
      </c>
    </row>
    <row r="163" spans="1:10" hidden="1">
      <c r="A163" s="32" t="s">
        <v>43</v>
      </c>
      <c r="B163" s="1">
        <v>390</v>
      </c>
      <c r="C163" s="26">
        <f t="shared" si="22"/>
        <v>0.20833333333333334</v>
      </c>
      <c r="D163" s="3">
        <f t="shared" si="23"/>
        <v>10864.925000000001</v>
      </c>
      <c r="E163" s="1"/>
      <c r="F163" s="26"/>
      <c r="G163" s="3"/>
      <c r="H163" s="26"/>
      <c r="I163" s="3"/>
      <c r="J163" s="27">
        <f t="shared" si="21"/>
        <v>10864.925000000001</v>
      </c>
    </row>
    <row r="164" spans="1:10" hidden="1">
      <c r="A164" s="32" t="s">
        <v>44</v>
      </c>
      <c r="B164" s="1"/>
      <c r="C164" s="26"/>
      <c r="D164" s="3"/>
      <c r="E164" s="1"/>
      <c r="F164" s="26"/>
      <c r="G164" s="3"/>
      <c r="H164" s="26"/>
      <c r="I164" s="3"/>
      <c r="J164" s="27"/>
    </row>
    <row r="165" spans="1:10" hidden="1">
      <c r="A165" s="32" t="s">
        <v>53</v>
      </c>
      <c r="B165" s="1">
        <v>360</v>
      </c>
      <c r="C165" s="26">
        <f t="shared" si="22"/>
        <v>0.19230769230769232</v>
      </c>
      <c r="D165" s="3">
        <f t="shared" si="23"/>
        <v>10029.16153846154</v>
      </c>
      <c r="E165" s="1"/>
      <c r="F165" s="26"/>
      <c r="G165" s="3"/>
      <c r="H165" s="26">
        <v>1</v>
      </c>
      <c r="I165" s="27">
        <v>56341.93</v>
      </c>
      <c r="J165" s="27">
        <f t="shared" si="21"/>
        <v>66371.091538461536</v>
      </c>
    </row>
    <row r="166" spans="1:10" hidden="1">
      <c r="A166" s="185" t="s">
        <v>62</v>
      </c>
      <c r="B166" s="1">
        <f>SUM(B144:B165)</f>
        <v>1872</v>
      </c>
      <c r="C166" s="26">
        <f t="shared" si="22"/>
        <v>1</v>
      </c>
      <c r="D166" s="3">
        <v>52151.64</v>
      </c>
      <c r="E166" s="1">
        <f>SUM(E144:E165)</f>
        <v>352</v>
      </c>
      <c r="F166" s="26">
        <f t="shared" si="19"/>
        <v>1</v>
      </c>
      <c r="G166" s="3">
        <v>10650</v>
      </c>
      <c r="H166" s="29">
        <v>1</v>
      </c>
      <c r="I166" s="27">
        <v>56341.93</v>
      </c>
      <c r="J166" s="27">
        <f t="shared" si="21"/>
        <v>119143.57</v>
      </c>
    </row>
    <row r="167" spans="1:10" hidden="1"/>
    <row r="168" spans="1:10" hidden="1"/>
    <row r="169" spans="1:10" ht="25.8" hidden="1">
      <c r="A169" s="30" t="s">
        <v>574</v>
      </c>
      <c r="B169" s="21"/>
      <c r="C169" s="21"/>
      <c r="D169" s="21"/>
      <c r="E169" s="21"/>
      <c r="F169" s="21"/>
      <c r="G169" s="22"/>
      <c r="H169" s="21"/>
      <c r="I169" s="21"/>
      <c r="J169" s="21"/>
    </row>
    <row r="170" spans="1:10" hidden="1">
      <c r="A170" s="282" t="s">
        <v>78</v>
      </c>
      <c r="B170" s="284" t="s">
        <v>55</v>
      </c>
      <c r="C170" s="284"/>
      <c r="D170" s="284"/>
      <c r="E170" s="284" t="s">
        <v>56</v>
      </c>
      <c r="F170" s="284"/>
      <c r="G170" s="284"/>
      <c r="H170" s="284" t="s">
        <v>57</v>
      </c>
      <c r="I170" s="284"/>
      <c r="J170" s="282" t="s">
        <v>79</v>
      </c>
    </row>
    <row r="171" spans="1:10" hidden="1">
      <c r="A171" s="283"/>
      <c r="B171" s="202" t="s">
        <v>29</v>
      </c>
      <c r="C171" s="202" t="s">
        <v>50</v>
      </c>
      <c r="D171" s="202" t="s">
        <v>51</v>
      </c>
      <c r="E171" s="202" t="s">
        <v>29</v>
      </c>
      <c r="F171" s="202" t="s">
        <v>50</v>
      </c>
      <c r="G171" s="24" t="s">
        <v>51</v>
      </c>
      <c r="H171" s="202" t="s">
        <v>50</v>
      </c>
      <c r="I171" s="202" t="s">
        <v>51</v>
      </c>
      <c r="J171" s="283"/>
    </row>
    <row r="172" spans="1:10" hidden="1">
      <c r="A172" s="31" t="s">
        <v>579</v>
      </c>
      <c r="B172" s="1"/>
      <c r="C172" s="26"/>
      <c r="D172" s="3"/>
      <c r="E172" s="1">
        <v>56</v>
      </c>
      <c r="F172" s="26">
        <f>E172/E$194</f>
        <v>0.19444444444444445</v>
      </c>
      <c r="G172" s="3">
        <f>F172*G$194</f>
        <v>2165.4072222222221</v>
      </c>
      <c r="H172" s="26"/>
      <c r="I172" s="3"/>
      <c r="J172" s="27">
        <f>I172+G172+D172</f>
        <v>2165.4072222222221</v>
      </c>
    </row>
    <row r="173" spans="1:10" hidden="1">
      <c r="A173" s="31" t="s">
        <v>576</v>
      </c>
      <c r="B173" s="1"/>
      <c r="C173" s="26"/>
      <c r="D173" s="3"/>
      <c r="E173" s="1"/>
      <c r="F173" s="26"/>
      <c r="G173" s="3"/>
      <c r="H173" s="26"/>
      <c r="I173" s="3"/>
      <c r="J173" s="27">
        <f t="shared" ref="J173:J194" si="24">I173+G173+D173</f>
        <v>0</v>
      </c>
    </row>
    <row r="174" spans="1:10" hidden="1">
      <c r="A174" s="31" t="s">
        <v>575</v>
      </c>
      <c r="B174" s="1"/>
      <c r="C174" s="26"/>
      <c r="D174" s="3"/>
      <c r="E174" s="1"/>
      <c r="F174" s="26"/>
      <c r="G174" s="3"/>
      <c r="H174" s="26"/>
      <c r="I174" s="3"/>
      <c r="J174" s="27">
        <f t="shared" si="24"/>
        <v>0</v>
      </c>
    </row>
    <row r="175" spans="1:10" hidden="1">
      <c r="A175" s="31" t="s">
        <v>580</v>
      </c>
      <c r="B175" s="1"/>
      <c r="C175" s="26"/>
      <c r="D175" s="3"/>
      <c r="E175" s="1"/>
      <c r="F175" s="26"/>
      <c r="G175" s="3"/>
      <c r="H175" s="26"/>
      <c r="I175" s="3"/>
      <c r="J175" s="27">
        <f t="shared" si="24"/>
        <v>0</v>
      </c>
    </row>
    <row r="176" spans="1:10" hidden="1">
      <c r="A176" s="31" t="s">
        <v>76</v>
      </c>
      <c r="B176" s="1"/>
      <c r="C176" s="26"/>
      <c r="D176" s="3"/>
      <c r="E176" s="1"/>
      <c r="F176" s="26"/>
      <c r="G176" s="3"/>
      <c r="H176" s="26"/>
      <c r="I176" s="3"/>
      <c r="J176" s="27">
        <f t="shared" si="24"/>
        <v>0</v>
      </c>
    </row>
    <row r="177" spans="1:10" hidden="1">
      <c r="A177" s="31" t="s">
        <v>64</v>
      </c>
      <c r="B177" s="1"/>
      <c r="C177" s="26"/>
      <c r="D177" s="3"/>
      <c r="E177" s="1">
        <v>8</v>
      </c>
      <c r="F177" s="26">
        <f>E177/E$194</f>
        <v>2.7777777777777776E-2</v>
      </c>
      <c r="G177" s="3">
        <f>F177*G$194</f>
        <v>309.34388888888884</v>
      </c>
      <c r="H177" s="26"/>
      <c r="I177" s="3"/>
      <c r="J177" s="27">
        <f t="shared" si="24"/>
        <v>309.34388888888884</v>
      </c>
    </row>
    <row r="178" spans="1:10" hidden="1">
      <c r="A178" s="31" t="s">
        <v>589</v>
      </c>
      <c r="B178" s="1"/>
      <c r="C178" s="26"/>
      <c r="D178" s="3"/>
      <c r="E178" s="1"/>
      <c r="F178" s="26"/>
      <c r="G178" s="3"/>
      <c r="H178" s="26"/>
      <c r="I178" s="3"/>
      <c r="J178" s="27">
        <f t="shared" si="24"/>
        <v>0</v>
      </c>
    </row>
    <row r="179" spans="1:10" hidden="1">
      <c r="A179" s="31" t="s">
        <v>588</v>
      </c>
      <c r="B179" s="1"/>
      <c r="C179" s="26"/>
      <c r="D179" s="3"/>
      <c r="E179" s="1">
        <v>24</v>
      </c>
      <c r="F179" s="26">
        <f>E179/E$194</f>
        <v>8.3333333333333329E-2</v>
      </c>
      <c r="G179" s="3">
        <f>F179*G$194</f>
        <v>928.03166666666652</v>
      </c>
      <c r="H179" s="26"/>
      <c r="I179" s="3"/>
      <c r="J179" s="27">
        <f t="shared" si="24"/>
        <v>928.03166666666652</v>
      </c>
    </row>
    <row r="180" spans="1:10" hidden="1">
      <c r="A180" s="31" t="s">
        <v>552</v>
      </c>
      <c r="B180" s="1"/>
      <c r="C180" s="26"/>
      <c r="D180" s="3"/>
      <c r="E180" s="1"/>
      <c r="F180" s="26"/>
      <c r="G180" s="3"/>
      <c r="H180" s="26"/>
      <c r="I180" s="3"/>
      <c r="J180" s="27">
        <f t="shared" si="24"/>
        <v>0</v>
      </c>
    </row>
    <row r="181" spans="1:10" hidden="1">
      <c r="A181" s="31" t="s">
        <v>77</v>
      </c>
      <c r="B181" s="1"/>
      <c r="C181" s="26"/>
      <c r="D181" s="3"/>
      <c r="E181" s="1"/>
      <c r="F181" s="26"/>
      <c r="G181" s="3"/>
      <c r="H181" s="28"/>
      <c r="I181" s="2"/>
      <c r="J181" s="27">
        <f t="shared" si="24"/>
        <v>0</v>
      </c>
    </row>
    <row r="182" spans="1:10" hidden="1">
      <c r="A182" s="31" t="s">
        <v>500</v>
      </c>
      <c r="B182" s="1"/>
      <c r="C182" s="26"/>
      <c r="D182" s="3"/>
      <c r="E182" s="1"/>
      <c r="F182" s="26"/>
      <c r="G182" s="3"/>
      <c r="H182" s="26"/>
      <c r="I182" s="3"/>
      <c r="J182" s="27">
        <f t="shared" si="24"/>
        <v>0</v>
      </c>
    </row>
    <row r="183" spans="1:10" hidden="1">
      <c r="A183" s="25" t="s">
        <v>58</v>
      </c>
      <c r="B183" s="1">
        <v>50</v>
      </c>
      <c r="C183" s="26">
        <f>B183/B$194</f>
        <v>2.3674242424242424E-2</v>
      </c>
      <c r="D183" s="3">
        <f>C183*D$194</f>
        <v>1334.5913825757575</v>
      </c>
      <c r="E183" s="1"/>
      <c r="F183" s="26"/>
      <c r="G183" s="3"/>
      <c r="H183" s="26"/>
      <c r="I183" s="3"/>
      <c r="J183" s="27">
        <f t="shared" si="24"/>
        <v>1334.5913825757575</v>
      </c>
    </row>
    <row r="184" spans="1:10" hidden="1">
      <c r="A184" s="25" t="s">
        <v>59</v>
      </c>
      <c r="B184" s="1"/>
      <c r="C184" s="26"/>
      <c r="D184" s="3"/>
      <c r="E184" s="1"/>
      <c r="F184" s="26"/>
      <c r="G184" s="3"/>
      <c r="H184" s="26"/>
      <c r="I184" s="3"/>
      <c r="J184" s="27">
        <f t="shared" si="24"/>
        <v>0</v>
      </c>
    </row>
    <row r="185" spans="1:10" hidden="1">
      <c r="A185" s="32" t="s">
        <v>65</v>
      </c>
      <c r="B185" s="1"/>
      <c r="C185" s="26"/>
      <c r="D185" s="3"/>
      <c r="E185" s="1">
        <v>36</v>
      </c>
      <c r="F185" s="26">
        <f>E185/E$194</f>
        <v>0.125</v>
      </c>
      <c r="G185" s="3">
        <f>F185*G$194</f>
        <v>1392.0474999999999</v>
      </c>
      <c r="H185" s="26"/>
      <c r="I185" s="3"/>
      <c r="J185" s="27">
        <f t="shared" si="24"/>
        <v>1392.0474999999999</v>
      </c>
    </row>
    <row r="186" spans="1:10" hidden="1">
      <c r="A186" s="32" t="s">
        <v>66</v>
      </c>
      <c r="B186" s="1">
        <v>592</v>
      </c>
      <c r="C186" s="26">
        <f t="shared" ref="C186:C194" si="25">B186/B$194</f>
        <v>0.28030303030303028</v>
      </c>
      <c r="D186" s="3">
        <f>C186*D$194+0.01</f>
        <v>15801.571969696968</v>
      </c>
      <c r="E186" s="33"/>
      <c r="F186" s="26"/>
      <c r="G186" s="3"/>
      <c r="H186" s="26"/>
      <c r="I186" s="3"/>
      <c r="J186" s="27">
        <f t="shared" si="24"/>
        <v>15801.571969696968</v>
      </c>
    </row>
    <row r="187" spans="1:10" hidden="1">
      <c r="A187" s="25" t="s">
        <v>60</v>
      </c>
      <c r="B187" s="1">
        <v>100</v>
      </c>
      <c r="C187" s="26">
        <f t="shared" si="25"/>
        <v>4.7348484848484848E-2</v>
      </c>
      <c r="D187" s="3">
        <f t="shared" ref="D187:D193" si="26">C187*D$194</f>
        <v>2669.182765151515</v>
      </c>
      <c r="E187" s="1"/>
      <c r="F187" s="26"/>
      <c r="G187" s="3"/>
      <c r="H187" s="26"/>
      <c r="I187" s="3"/>
      <c r="J187" s="27">
        <f t="shared" si="24"/>
        <v>2669.182765151515</v>
      </c>
    </row>
    <row r="188" spans="1:10" hidden="1">
      <c r="A188" s="25" t="s">
        <v>61</v>
      </c>
      <c r="B188" s="1"/>
      <c r="C188" s="26"/>
      <c r="D188" s="3"/>
      <c r="E188" s="1">
        <v>96</v>
      </c>
      <c r="F188" s="26">
        <f>E188/E$194</f>
        <v>0.33333333333333331</v>
      </c>
      <c r="G188" s="3">
        <f>F188*G$194</f>
        <v>3712.1266666666661</v>
      </c>
      <c r="H188" s="26"/>
      <c r="I188" s="3"/>
      <c r="J188" s="27">
        <f t="shared" si="24"/>
        <v>3712.1266666666661</v>
      </c>
    </row>
    <row r="189" spans="1:10" hidden="1">
      <c r="A189" s="32" t="s">
        <v>67</v>
      </c>
      <c r="B189" s="1">
        <v>50</v>
      </c>
      <c r="C189" s="26">
        <f t="shared" si="25"/>
        <v>2.3674242424242424E-2</v>
      </c>
      <c r="D189" s="3">
        <f t="shared" si="26"/>
        <v>1334.5913825757575</v>
      </c>
      <c r="E189" s="1">
        <v>68</v>
      </c>
      <c r="F189" s="26">
        <f>E189/E$194</f>
        <v>0.2361111111111111</v>
      </c>
      <c r="G189" s="3">
        <f>F189*G$194</f>
        <v>2629.4230555555555</v>
      </c>
      <c r="H189" s="26"/>
      <c r="I189" s="3"/>
      <c r="J189" s="27">
        <f t="shared" si="24"/>
        <v>3964.014438131313</v>
      </c>
    </row>
    <row r="190" spans="1:10" hidden="1">
      <c r="A190" s="32" t="s">
        <v>42</v>
      </c>
      <c r="B190" s="1">
        <v>560</v>
      </c>
      <c r="C190" s="26">
        <f t="shared" si="25"/>
        <v>0.26515151515151514</v>
      </c>
      <c r="D190" s="3">
        <f t="shared" si="26"/>
        <v>14947.423484848485</v>
      </c>
      <c r="E190" s="1"/>
      <c r="F190" s="26"/>
      <c r="G190" s="3"/>
      <c r="H190" s="26"/>
      <c r="I190" s="3"/>
      <c r="J190" s="27">
        <f t="shared" si="24"/>
        <v>14947.423484848485</v>
      </c>
    </row>
    <row r="191" spans="1:10" hidden="1">
      <c r="A191" s="32" t="s">
        <v>43</v>
      </c>
      <c r="B191" s="1">
        <v>560</v>
      </c>
      <c r="C191" s="26">
        <f t="shared" si="25"/>
        <v>0.26515151515151514</v>
      </c>
      <c r="D191" s="3">
        <f t="shared" si="26"/>
        <v>14947.423484848485</v>
      </c>
      <c r="E191" s="1"/>
      <c r="F191" s="26"/>
      <c r="G191" s="3"/>
      <c r="H191" s="26"/>
      <c r="I191" s="3"/>
      <c r="J191" s="27">
        <f t="shared" si="24"/>
        <v>14947.423484848485</v>
      </c>
    </row>
    <row r="192" spans="1:10" hidden="1">
      <c r="A192" s="32" t="s">
        <v>44</v>
      </c>
      <c r="B192" s="1"/>
      <c r="C192" s="26"/>
      <c r="D192" s="3"/>
      <c r="E192" s="1"/>
      <c r="F192" s="26"/>
      <c r="G192" s="3"/>
      <c r="H192" s="26"/>
      <c r="I192" s="3"/>
      <c r="J192" s="27">
        <f t="shared" si="24"/>
        <v>0</v>
      </c>
    </row>
    <row r="193" spans="1:10" hidden="1">
      <c r="A193" s="32" t="s">
        <v>53</v>
      </c>
      <c r="B193" s="1">
        <v>200</v>
      </c>
      <c r="C193" s="26">
        <f t="shared" si="25"/>
        <v>9.4696969696969696E-2</v>
      </c>
      <c r="D193" s="3">
        <f t="shared" si="26"/>
        <v>5338.36553030303</v>
      </c>
      <c r="E193" s="1"/>
      <c r="F193" s="26"/>
      <c r="G193" s="3"/>
      <c r="H193" s="26">
        <v>1</v>
      </c>
      <c r="I193" s="27">
        <v>57760.73</v>
      </c>
      <c r="J193" s="27">
        <f t="shared" si="24"/>
        <v>63099.095530303035</v>
      </c>
    </row>
    <row r="194" spans="1:10" hidden="1">
      <c r="A194" s="202" t="s">
        <v>62</v>
      </c>
      <c r="B194" s="1">
        <f>SUM(B172:B193)</f>
        <v>2112</v>
      </c>
      <c r="C194" s="26">
        <f t="shared" si="25"/>
        <v>1</v>
      </c>
      <c r="D194" s="3">
        <v>56373.14</v>
      </c>
      <c r="E194" s="1">
        <f>SUM(E172:E193)</f>
        <v>288</v>
      </c>
      <c r="F194" s="26">
        <f>E194/E$194</f>
        <v>1</v>
      </c>
      <c r="G194" s="3">
        <v>11136.38</v>
      </c>
      <c r="H194" s="29">
        <v>1</v>
      </c>
      <c r="I194" s="27">
        <v>57760.73</v>
      </c>
      <c r="J194" s="27">
        <f t="shared" si="24"/>
        <v>125270.25</v>
      </c>
    </row>
    <row r="195" spans="1:10" hidden="1"/>
    <row r="196" spans="1:10" hidden="1"/>
    <row r="197" spans="1:10" ht="25.8" hidden="1">
      <c r="A197" s="30" t="s">
        <v>591</v>
      </c>
      <c r="B197" s="21"/>
      <c r="C197" s="21"/>
      <c r="D197" s="21"/>
      <c r="E197" s="21"/>
      <c r="F197" s="21"/>
      <c r="G197" s="22"/>
      <c r="H197" s="21"/>
      <c r="I197" s="21"/>
      <c r="J197" s="21"/>
    </row>
    <row r="198" spans="1:10" hidden="1">
      <c r="A198" s="282" t="s">
        <v>78</v>
      </c>
      <c r="B198" s="284" t="s">
        <v>55</v>
      </c>
      <c r="C198" s="284"/>
      <c r="D198" s="284"/>
      <c r="E198" s="284" t="s">
        <v>56</v>
      </c>
      <c r="F198" s="284"/>
      <c r="G198" s="284"/>
      <c r="H198" s="284" t="s">
        <v>57</v>
      </c>
      <c r="I198" s="284"/>
      <c r="J198" s="282" t="s">
        <v>79</v>
      </c>
    </row>
    <row r="199" spans="1:10" hidden="1">
      <c r="A199" s="283"/>
      <c r="B199" s="221" t="s">
        <v>29</v>
      </c>
      <c r="C199" s="221" t="s">
        <v>50</v>
      </c>
      <c r="D199" s="221" t="s">
        <v>51</v>
      </c>
      <c r="E199" s="221" t="s">
        <v>29</v>
      </c>
      <c r="F199" s="221" t="s">
        <v>50</v>
      </c>
      <c r="G199" s="24" t="s">
        <v>51</v>
      </c>
      <c r="H199" s="221" t="s">
        <v>50</v>
      </c>
      <c r="I199" s="221" t="s">
        <v>51</v>
      </c>
      <c r="J199" s="283"/>
    </row>
    <row r="200" spans="1:10" hidden="1">
      <c r="A200" s="31" t="s">
        <v>81</v>
      </c>
      <c r="B200" s="1"/>
      <c r="C200" s="26"/>
      <c r="D200" s="3"/>
      <c r="E200" s="1">
        <f>59</f>
        <v>59</v>
      </c>
      <c r="F200" s="26">
        <f>E200/E$222</f>
        <v>0.17559523809523808</v>
      </c>
      <c r="G200" s="3">
        <f>F200*G$222</f>
        <v>1940.3273809523807</v>
      </c>
      <c r="H200" s="26"/>
      <c r="I200" s="3"/>
      <c r="J200" s="27">
        <f>I200+G200+D200</f>
        <v>1940.3273809523807</v>
      </c>
    </row>
    <row r="201" spans="1:10" hidden="1">
      <c r="A201" s="31" t="s">
        <v>486</v>
      </c>
      <c r="B201" s="1"/>
      <c r="C201" s="26"/>
      <c r="D201" s="3"/>
      <c r="E201" s="1"/>
      <c r="F201" s="26"/>
      <c r="G201" s="3"/>
      <c r="H201" s="26"/>
      <c r="I201" s="3"/>
      <c r="J201" s="27"/>
    </row>
    <row r="202" spans="1:10" hidden="1">
      <c r="A202" s="31" t="s">
        <v>397</v>
      </c>
      <c r="B202" s="1"/>
      <c r="C202" s="26"/>
      <c r="D202" s="3"/>
      <c r="E202" s="1">
        <f>88</f>
        <v>88</v>
      </c>
      <c r="F202" s="26">
        <f>E202/E$222</f>
        <v>0.26190476190476192</v>
      </c>
      <c r="G202" s="3">
        <f t="shared" ref="G202:G218" si="27">F202*G$222</f>
        <v>2894.0476190476193</v>
      </c>
      <c r="H202" s="26"/>
      <c r="I202" s="3"/>
      <c r="J202" s="27">
        <f t="shared" ref="J202:J222" si="28">I202+G202+D202</f>
        <v>2894.0476190476193</v>
      </c>
    </row>
    <row r="203" spans="1:10" hidden="1">
      <c r="A203" s="31" t="s">
        <v>636</v>
      </c>
      <c r="B203" s="1"/>
      <c r="C203" s="26"/>
      <c r="D203" s="3"/>
      <c r="E203" s="1"/>
      <c r="F203" s="26"/>
      <c r="G203" s="3"/>
      <c r="H203" s="26"/>
      <c r="I203" s="3"/>
      <c r="J203" s="27"/>
    </row>
    <row r="204" spans="1:10" hidden="1">
      <c r="A204" s="31" t="s">
        <v>76</v>
      </c>
      <c r="B204" s="1"/>
      <c r="C204" s="26"/>
      <c r="D204" s="3"/>
      <c r="E204" s="1"/>
      <c r="F204" s="26"/>
      <c r="G204" s="3"/>
      <c r="H204" s="26"/>
      <c r="I204" s="3"/>
      <c r="J204" s="27"/>
    </row>
    <row r="205" spans="1:10" hidden="1">
      <c r="A205" s="31" t="s">
        <v>82</v>
      </c>
      <c r="B205" s="1"/>
      <c r="C205" s="26"/>
      <c r="D205" s="3"/>
      <c r="E205" s="1">
        <f>20</f>
        <v>20</v>
      </c>
      <c r="F205" s="26">
        <f>E205/E$222</f>
        <v>5.9523809523809521E-2</v>
      </c>
      <c r="G205" s="3">
        <f t="shared" si="27"/>
        <v>657.73809523809518</v>
      </c>
      <c r="H205" s="26"/>
      <c r="I205" s="3"/>
      <c r="J205" s="27">
        <f t="shared" si="28"/>
        <v>657.73809523809518</v>
      </c>
    </row>
    <row r="206" spans="1:10" hidden="1">
      <c r="A206" s="31" t="s">
        <v>623</v>
      </c>
      <c r="B206" s="1"/>
      <c r="C206" s="26"/>
      <c r="D206" s="3"/>
      <c r="E206" s="1"/>
      <c r="F206" s="26"/>
      <c r="G206" s="3"/>
      <c r="H206" s="26"/>
      <c r="I206" s="3"/>
      <c r="J206" s="27"/>
    </row>
    <row r="207" spans="1:10" hidden="1">
      <c r="A207" s="31" t="s">
        <v>626</v>
      </c>
      <c r="B207" s="1"/>
      <c r="C207" s="26"/>
      <c r="D207" s="3"/>
      <c r="E207" s="1">
        <f>48</f>
        <v>48</v>
      </c>
      <c r="F207" s="26">
        <f>E207/E$222</f>
        <v>0.14285714285714285</v>
      </c>
      <c r="G207" s="3">
        <f t="shared" si="27"/>
        <v>1578.5714285714284</v>
      </c>
      <c r="H207" s="26"/>
      <c r="I207" s="3"/>
      <c r="J207" s="27">
        <f t="shared" si="28"/>
        <v>1578.5714285714284</v>
      </c>
    </row>
    <row r="208" spans="1:10" hidden="1">
      <c r="A208" s="31" t="s">
        <v>635</v>
      </c>
      <c r="B208" s="1"/>
      <c r="C208" s="26"/>
      <c r="D208" s="3"/>
      <c r="E208" s="1">
        <f>25</f>
        <v>25</v>
      </c>
      <c r="F208" s="26">
        <f>E208/E$222</f>
        <v>7.4404761904761904E-2</v>
      </c>
      <c r="G208" s="3">
        <f t="shared" si="27"/>
        <v>822.17261904761904</v>
      </c>
      <c r="H208" s="26"/>
      <c r="I208" s="3"/>
      <c r="J208" s="27">
        <f t="shared" si="28"/>
        <v>822.17261904761904</v>
      </c>
    </row>
    <row r="209" spans="1:10" hidden="1">
      <c r="A209" s="31" t="s">
        <v>657</v>
      </c>
      <c r="B209" s="1"/>
      <c r="C209" s="26"/>
      <c r="D209" s="3"/>
      <c r="E209" s="1"/>
      <c r="F209" s="26"/>
      <c r="G209" s="3"/>
      <c r="H209" s="28"/>
      <c r="I209" s="2"/>
      <c r="J209" s="27"/>
    </row>
    <row r="210" spans="1:10" hidden="1">
      <c r="A210" s="31" t="s">
        <v>500</v>
      </c>
      <c r="B210" s="1"/>
      <c r="C210" s="26"/>
      <c r="D210" s="3"/>
      <c r="E210" s="1"/>
      <c r="F210" s="26"/>
      <c r="G210" s="3"/>
      <c r="H210" s="26"/>
      <c r="I210" s="3"/>
      <c r="J210" s="27"/>
    </row>
    <row r="211" spans="1:10" hidden="1">
      <c r="A211" s="25" t="s">
        <v>58</v>
      </c>
      <c r="B211" s="1">
        <f>30</f>
        <v>30</v>
      </c>
      <c r="C211" s="26">
        <f>B211/B$222</f>
        <v>1.948051948051948E-2</v>
      </c>
      <c r="D211" s="3">
        <f>C211*D$222</f>
        <v>887.26792207792198</v>
      </c>
      <c r="E211" s="1"/>
      <c r="F211" s="26"/>
      <c r="G211" s="3"/>
      <c r="H211" s="26"/>
      <c r="I211" s="3"/>
      <c r="J211" s="27">
        <f t="shared" si="28"/>
        <v>887.26792207792198</v>
      </c>
    </row>
    <row r="212" spans="1:10" hidden="1">
      <c r="A212" s="25" t="s">
        <v>59</v>
      </c>
      <c r="B212" s="1"/>
      <c r="C212" s="26"/>
      <c r="D212" s="3"/>
      <c r="E212" s="1"/>
      <c r="F212" s="26"/>
      <c r="G212" s="3"/>
      <c r="H212" s="26"/>
      <c r="I212" s="3"/>
      <c r="J212" s="27"/>
    </row>
    <row r="213" spans="1:10" hidden="1">
      <c r="A213" s="32" t="s">
        <v>65</v>
      </c>
      <c r="B213" s="1"/>
      <c r="C213" s="26"/>
      <c r="D213" s="3"/>
      <c r="E213" s="1"/>
      <c r="F213" s="26"/>
      <c r="G213" s="3"/>
      <c r="H213" s="26"/>
      <c r="I213" s="3"/>
      <c r="J213" s="27"/>
    </row>
    <row r="214" spans="1:10" hidden="1">
      <c r="A214" s="32" t="s">
        <v>66</v>
      </c>
      <c r="B214" s="1">
        <f>300</f>
        <v>300</v>
      </c>
      <c r="C214" s="26">
        <f t="shared" ref="C214:C222" si="29">B214/B$222</f>
        <v>0.19480519480519481</v>
      </c>
      <c r="D214" s="3">
        <f t="shared" ref="D214:D221" si="30">C214*D$222</f>
        <v>8872.6792207792205</v>
      </c>
      <c r="E214" s="33">
        <f>6</f>
        <v>6</v>
      </c>
      <c r="F214" s="26">
        <f>E214/E$222</f>
        <v>1.7857142857142856E-2</v>
      </c>
      <c r="G214" s="3">
        <f t="shared" si="27"/>
        <v>197.32142857142856</v>
      </c>
      <c r="H214" s="26"/>
      <c r="I214" s="3"/>
      <c r="J214" s="27">
        <f t="shared" si="28"/>
        <v>9070.0006493506498</v>
      </c>
    </row>
    <row r="215" spans="1:10" hidden="1">
      <c r="A215" s="25" t="s">
        <v>60</v>
      </c>
      <c r="B215" s="1">
        <f>120</f>
        <v>120</v>
      </c>
      <c r="C215" s="26">
        <f t="shared" si="29"/>
        <v>7.792207792207792E-2</v>
      </c>
      <c r="D215" s="3">
        <f t="shared" si="30"/>
        <v>3549.0716883116879</v>
      </c>
      <c r="E215" s="1"/>
      <c r="F215" s="26"/>
      <c r="G215" s="3"/>
      <c r="H215" s="26"/>
      <c r="I215" s="3"/>
      <c r="J215" s="27">
        <f t="shared" si="28"/>
        <v>3549.0716883116879</v>
      </c>
    </row>
    <row r="216" spans="1:10" hidden="1">
      <c r="A216" s="25" t="s">
        <v>61</v>
      </c>
      <c r="B216" s="1"/>
      <c r="C216" s="26"/>
      <c r="D216" s="3"/>
      <c r="E216" s="1">
        <f>34</f>
        <v>34</v>
      </c>
      <c r="F216" s="26">
        <f>E216/E$222</f>
        <v>0.10119047619047619</v>
      </c>
      <c r="G216" s="3">
        <f t="shared" si="27"/>
        <v>1118.1547619047619</v>
      </c>
      <c r="H216" s="26"/>
      <c r="I216" s="3"/>
      <c r="J216" s="27">
        <f t="shared" si="28"/>
        <v>1118.1547619047619</v>
      </c>
    </row>
    <row r="217" spans="1:10" hidden="1">
      <c r="A217" s="32" t="s">
        <v>67</v>
      </c>
      <c r="B217" s="1">
        <f>50</f>
        <v>50</v>
      </c>
      <c r="C217" s="26">
        <f t="shared" si="29"/>
        <v>3.2467532467532464E-2</v>
      </c>
      <c r="D217" s="3">
        <f t="shared" si="30"/>
        <v>1478.77987012987</v>
      </c>
      <c r="E217" s="1">
        <f>40</f>
        <v>40</v>
      </c>
      <c r="F217" s="26">
        <f>E217/E$222</f>
        <v>0.11904761904761904</v>
      </c>
      <c r="G217" s="3">
        <f t="shared" si="27"/>
        <v>1315.4761904761904</v>
      </c>
      <c r="H217" s="26"/>
      <c r="I217" s="3"/>
      <c r="J217" s="27">
        <f t="shared" si="28"/>
        <v>2794.2560606060606</v>
      </c>
    </row>
    <row r="218" spans="1:10" hidden="1">
      <c r="A218" s="32" t="s">
        <v>42</v>
      </c>
      <c r="B218" s="1">
        <f>370</f>
        <v>370</v>
      </c>
      <c r="C218" s="26">
        <f t="shared" si="29"/>
        <v>0.24025974025974026</v>
      </c>
      <c r="D218" s="3">
        <f t="shared" si="30"/>
        <v>10942.971038961039</v>
      </c>
      <c r="E218" s="1">
        <f>16</f>
        <v>16</v>
      </c>
      <c r="F218" s="26">
        <f>E218/E$222</f>
        <v>4.7619047619047616E-2</v>
      </c>
      <c r="G218" s="3">
        <f t="shared" si="27"/>
        <v>526.19047619047615</v>
      </c>
      <c r="H218" s="26"/>
      <c r="I218" s="3"/>
      <c r="J218" s="27">
        <f t="shared" si="28"/>
        <v>11469.161515151514</v>
      </c>
    </row>
    <row r="219" spans="1:10" hidden="1">
      <c r="A219" s="32" t="s">
        <v>43</v>
      </c>
      <c r="B219" s="1">
        <f>370</f>
        <v>370</v>
      </c>
      <c r="C219" s="26">
        <f t="shared" si="29"/>
        <v>0.24025974025974026</v>
      </c>
      <c r="D219" s="3">
        <f t="shared" si="30"/>
        <v>10942.971038961039</v>
      </c>
      <c r="E219" s="1"/>
      <c r="F219" s="26"/>
      <c r="G219" s="3"/>
      <c r="H219" s="26"/>
      <c r="I219" s="3"/>
      <c r="J219" s="27">
        <f t="shared" si="28"/>
        <v>10942.971038961039</v>
      </c>
    </row>
    <row r="220" spans="1:10" hidden="1">
      <c r="A220" s="32" t="s">
        <v>44</v>
      </c>
      <c r="B220" s="1"/>
      <c r="C220" s="26"/>
      <c r="D220" s="3"/>
      <c r="E220" s="1"/>
      <c r="F220" s="26"/>
      <c r="G220" s="3"/>
      <c r="H220" s="26"/>
      <c r="I220" s="3"/>
      <c r="J220" s="27"/>
    </row>
    <row r="221" spans="1:10" hidden="1">
      <c r="A221" s="32" t="s">
        <v>53</v>
      </c>
      <c r="B221" s="1">
        <f>300</f>
        <v>300</v>
      </c>
      <c r="C221" s="26">
        <f t="shared" si="29"/>
        <v>0.19480519480519481</v>
      </c>
      <c r="D221" s="3">
        <f t="shared" si="30"/>
        <v>8872.6792207792205</v>
      </c>
      <c r="E221" s="1"/>
      <c r="F221" s="26"/>
      <c r="G221" s="3"/>
      <c r="H221" s="26">
        <v>1</v>
      </c>
      <c r="I221" s="27">
        <v>59812.02</v>
      </c>
      <c r="J221" s="27">
        <f t="shared" si="28"/>
        <v>68684.699220779221</v>
      </c>
    </row>
    <row r="222" spans="1:10" hidden="1">
      <c r="A222" s="221" t="s">
        <v>62</v>
      </c>
      <c r="B222" s="1">
        <f>SUM(B200:B221)</f>
        <v>1540</v>
      </c>
      <c r="C222" s="26">
        <f t="shared" si="29"/>
        <v>1</v>
      </c>
      <c r="D222" s="3">
        <v>45546.42</v>
      </c>
      <c r="E222" s="1">
        <f>SUM(E200:E221)</f>
        <v>336</v>
      </c>
      <c r="F222" s="26">
        <f>E222/E$222</f>
        <v>1</v>
      </c>
      <c r="G222" s="3">
        <v>11050</v>
      </c>
      <c r="H222" s="29">
        <v>1</v>
      </c>
      <c r="I222" s="27">
        <v>59812.02</v>
      </c>
      <c r="J222" s="27">
        <f t="shared" si="28"/>
        <v>116408.43999999999</v>
      </c>
    </row>
    <row r="223" spans="1:10" hidden="1"/>
    <row r="224" spans="1:10" ht="25.8" hidden="1">
      <c r="A224" s="30" t="s">
        <v>658</v>
      </c>
      <c r="B224" s="21"/>
      <c r="C224" s="21"/>
      <c r="D224" s="21"/>
      <c r="E224" s="21"/>
      <c r="F224" s="21"/>
      <c r="G224" s="22"/>
      <c r="H224" s="21"/>
      <c r="I224" s="21"/>
      <c r="J224" s="21"/>
    </row>
    <row r="225" spans="1:10" hidden="1">
      <c r="A225" s="282" t="s">
        <v>78</v>
      </c>
      <c r="B225" s="284" t="s">
        <v>55</v>
      </c>
      <c r="C225" s="284"/>
      <c r="D225" s="284"/>
      <c r="E225" s="284" t="s">
        <v>56</v>
      </c>
      <c r="F225" s="284"/>
      <c r="G225" s="284"/>
      <c r="H225" s="284" t="s">
        <v>57</v>
      </c>
      <c r="I225" s="284"/>
      <c r="J225" s="282" t="s">
        <v>79</v>
      </c>
    </row>
    <row r="226" spans="1:10" hidden="1">
      <c r="A226" s="283"/>
      <c r="B226" s="230" t="s">
        <v>29</v>
      </c>
      <c r="C226" s="230" t="s">
        <v>50</v>
      </c>
      <c r="D226" s="230" t="s">
        <v>51</v>
      </c>
      <c r="E226" s="230" t="s">
        <v>29</v>
      </c>
      <c r="F226" s="230" t="s">
        <v>50</v>
      </c>
      <c r="G226" s="24" t="s">
        <v>51</v>
      </c>
      <c r="H226" s="230" t="s">
        <v>50</v>
      </c>
      <c r="I226" s="230" t="s">
        <v>51</v>
      </c>
      <c r="J226" s="283"/>
    </row>
    <row r="227" spans="1:10" hidden="1">
      <c r="A227" s="31" t="s">
        <v>72</v>
      </c>
      <c r="B227" s="1"/>
      <c r="C227" s="26"/>
      <c r="D227" s="3"/>
      <c r="E227" s="231"/>
      <c r="F227" s="26"/>
      <c r="G227" s="3"/>
      <c r="H227" s="26"/>
      <c r="I227" s="3"/>
      <c r="J227" s="27"/>
    </row>
    <row r="228" spans="1:10" hidden="1">
      <c r="A228" s="31" t="s">
        <v>73</v>
      </c>
      <c r="B228" s="1"/>
      <c r="C228" s="26"/>
      <c r="D228" s="3"/>
      <c r="E228" s="231">
        <v>90</v>
      </c>
      <c r="F228" s="26">
        <f>E228/E$249</f>
        <v>0.27439024390243905</v>
      </c>
      <c r="G228" s="3">
        <f>F228*G$249</f>
        <v>4346.7695121951219</v>
      </c>
      <c r="H228" s="26"/>
      <c r="I228" s="3"/>
      <c r="J228" s="27">
        <f>I228+G228+D228</f>
        <v>4346.7695121951219</v>
      </c>
    </row>
    <row r="229" spans="1:10" hidden="1">
      <c r="A229" s="31" t="s">
        <v>685</v>
      </c>
      <c r="B229" s="1"/>
      <c r="C229" s="26"/>
      <c r="D229" s="3"/>
      <c r="E229" s="231"/>
      <c r="F229" s="26"/>
      <c r="G229" s="3"/>
      <c r="H229" s="26"/>
      <c r="I229" s="3"/>
      <c r="J229" s="27"/>
    </row>
    <row r="230" spans="1:10" hidden="1">
      <c r="A230" s="31" t="s">
        <v>682</v>
      </c>
      <c r="B230" s="1"/>
      <c r="C230" s="26"/>
      <c r="D230" s="3"/>
      <c r="E230" s="231">
        <v>74</v>
      </c>
      <c r="F230" s="26">
        <f>E230/E$249</f>
        <v>0.22560975609756098</v>
      </c>
      <c r="G230" s="3">
        <f>F230*G$249</f>
        <v>3574.0104878048778</v>
      </c>
      <c r="H230" s="26"/>
      <c r="I230" s="3"/>
      <c r="J230" s="27">
        <f t="shared" ref="J230:J249" si="31">I230+G230+D230</f>
        <v>3574.0104878048778</v>
      </c>
    </row>
    <row r="231" spans="1:10" hidden="1">
      <c r="A231" s="31" t="s">
        <v>76</v>
      </c>
      <c r="B231" s="1"/>
      <c r="C231" s="26"/>
      <c r="D231" s="3"/>
      <c r="E231" s="231"/>
      <c r="F231" s="26"/>
      <c r="G231" s="3"/>
      <c r="H231" s="26"/>
      <c r="I231" s="3"/>
      <c r="J231" s="27"/>
    </row>
    <row r="232" spans="1:10" hidden="1">
      <c r="A232" s="31" t="s">
        <v>692</v>
      </c>
      <c r="B232" s="1"/>
      <c r="C232" s="26"/>
      <c r="D232" s="3"/>
      <c r="E232" s="231"/>
      <c r="F232" s="26"/>
      <c r="G232" s="3"/>
      <c r="H232" s="26"/>
      <c r="I232" s="3"/>
      <c r="J232" s="27"/>
    </row>
    <row r="233" spans="1:10" hidden="1">
      <c r="A233" s="31" t="s">
        <v>68</v>
      </c>
      <c r="B233" s="1"/>
      <c r="C233" s="26"/>
      <c r="D233" s="3"/>
      <c r="E233" s="231"/>
      <c r="F233" s="26"/>
      <c r="G233" s="3"/>
      <c r="H233" s="26"/>
      <c r="I233" s="3"/>
      <c r="J233" s="27"/>
    </row>
    <row r="234" spans="1:10" hidden="1">
      <c r="A234" s="31" t="s">
        <v>69</v>
      </c>
      <c r="B234" s="1"/>
      <c r="C234" s="26"/>
      <c r="D234" s="3"/>
      <c r="E234" s="231"/>
      <c r="F234" s="26"/>
      <c r="G234" s="3"/>
      <c r="H234" s="26"/>
      <c r="I234" s="3"/>
      <c r="J234" s="27"/>
    </row>
    <row r="235" spans="1:10" hidden="1">
      <c r="A235" s="31" t="s">
        <v>70</v>
      </c>
      <c r="B235" s="1"/>
      <c r="C235" s="26"/>
      <c r="D235" s="3"/>
      <c r="E235" s="231"/>
      <c r="F235" s="26"/>
      <c r="G235" s="3"/>
      <c r="H235" s="26"/>
      <c r="I235" s="3"/>
      <c r="J235" s="27"/>
    </row>
    <row r="236" spans="1:10" hidden="1">
      <c r="A236" s="31" t="s">
        <v>657</v>
      </c>
      <c r="B236" s="1"/>
      <c r="C236" s="26"/>
      <c r="D236" s="3"/>
      <c r="E236" s="231"/>
      <c r="F236" s="26"/>
      <c r="G236" s="3"/>
      <c r="H236" s="28"/>
      <c r="I236" s="2"/>
      <c r="J236" s="27"/>
    </row>
    <row r="237" spans="1:10" hidden="1">
      <c r="A237" s="31" t="s">
        <v>71</v>
      </c>
      <c r="B237" s="1"/>
      <c r="C237" s="26"/>
      <c r="D237" s="3"/>
      <c r="E237" s="231">
        <v>50</v>
      </c>
      <c r="F237" s="26">
        <f>E237/E$249</f>
        <v>0.1524390243902439</v>
      </c>
      <c r="G237" s="3">
        <f>F237*G$249</f>
        <v>2414.8719512195121</v>
      </c>
      <c r="H237" s="26"/>
      <c r="I237" s="3"/>
      <c r="J237" s="27">
        <f t="shared" si="31"/>
        <v>2414.8719512195121</v>
      </c>
    </row>
    <row r="238" spans="1:10" hidden="1">
      <c r="A238" s="25" t="s">
        <v>58</v>
      </c>
      <c r="B238" s="1">
        <v>50</v>
      </c>
      <c r="C238" s="26">
        <f>B238/B$249</f>
        <v>3.109452736318408E-2</v>
      </c>
      <c r="D238" s="3">
        <f>C238*D$249</f>
        <v>1362.1346393034826</v>
      </c>
      <c r="E238" s="231"/>
      <c r="F238" s="26"/>
      <c r="G238" s="3"/>
      <c r="H238" s="26"/>
      <c r="I238" s="3"/>
      <c r="J238" s="27">
        <f t="shared" si="31"/>
        <v>1362.1346393034826</v>
      </c>
    </row>
    <row r="239" spans="1:10" hidden="1">
      <c r="A239" s="25" t="s">
        <v>59</v>
      </c>
      <c r="B239" s="1"/>
      <c r="C239" s="26"/>
      <c r="D239" s="3"/>
      <c r="E239" s="231"/>
      <c r="F239" s="26"/>
      <c r="G239" s="3"/>
      <c r="H239" s="26"/>
      <c r="I239" s="3"/>
      <c r="J239" s="27"/>
    </row>
    <row r="240" spans="1:10" hidden="1">
      <c r="A240" s="32" t="s">
        <v>65</v>
      </c>
      <c r="B240" s="1"/>
      <c r="C240" s="26"/>
      <c r="D240" s="3"/>
      <c r="E240" s="231"/>
      <c r="F240" s="26"/>
      <c r="G240" s="3"/>
      <c r="H240" s="26"/>
      <c r="I240" s="3"/>
      <c r="J240" s="27"/>
    </row>
    <row r="241" spans="1:10" hidden="1">
      <c r="A241" s="32" t="s">
        <v>66</v>
      </c>
      <c r="B241" s="1">
        <v>376</v>
      </c>
      <c r="C241" s="26">
        <f t="shared" ref="C241:C249" si="32">B241/B$249</f>
        <v>0.23383084577114427</v>
      </c>
      <c r="D241" s="3">
        <f t="shared" ref="D241:D246" si="33">C241*D$249</f>
        <v>10243.252487562189</v>
      </c>
      <c r="E241" s="232">
        <v>30</v>
      </c>
      <c r="F241" s="26">
        <f>E241/E$249</f>
        <v>9.1463414634146339E-2</v>
      </c>
      <c r="G241" s="3">
        <f>F241*G$249</f>
        <v>1448.9231707317072</v>
      </c>
      <c r="H241" s="26"/>
      <c r="I241" s="3"/>
      <c r="J241" s="27">
        <f t="shared" si="31"/>
        <v>11692.175658293896</v>
      </c>
    </row>
    <row r="242" spans="1:10" hidden="1">
      <c r="A242" s="25" t="s">
        <v>60</v>
      </c>
      <c r="B242" s="1">
        <v>250</v>
      </c>
      <c r="C242" s="26">
        <f t="shared" si="32"/>
        <v>0.15547263681592038</v>
      </c>
      <c r="D242" s="3">
        <f t="shared" si="33"/>
        <v>6810.6731965174122</v>
      </c>
      <c r="E242" s="231"/>
      <c r="F242" s="26"/>
      <c r="G242" s="3"/>
      <c r="H242" s="26"/>
      <c r="I242" s="3"/>
      <c r="J242" s="27">
        <f t="shared" si="31"/>
        <v>6810.6731965174122</v>
      </c>
    </row>
    <row r="243" spans="1:10" hidden="1">
      <c r="A243" s="25" t="s">
        <v>61</v>
      </c>
      <c r="B243" s="1"/>
      <c r="C243" s="26"/>
      <c r="D243" s="3"/>
      <c r="E243" s="231">
        <v>24</v>
      </c>
      <c r="F243" s="26">
        <f>E243/E$249</f>
        <v>7.3170731707317069E-2</v>
      </c>
      <c r="G243" s="3">
        <f>F243*G$249</f>
        <v>1159.1385365853657</v>
      </c>
      <c r="H243" s="26"/>
      <c r="I243" s="3"/>
      <c r="J243" s="27">
        <f t="shared" si="31"/>
        <v>1159.1385365853657</v>
      </c>
    </row>
    <row r="244" spans="1:10" hidden="1">
      <c r="A244" s="32" t="s">
        <v>67</v>
      </c>
      <c r="B244" s="1">
        <v>164</v>
      </c>
      <c r="C244" s="26">
        <f t="shared" si="32"/>
        <v>0.10199004975124377</v>
      </c>
      <c r="D244" s="3">
        <f t="shared" si="33"/>
        <v>4467.8016169154225</v>
      </c>
      <c r="E244" s="231">
        <v>60</v>
      </c>
      <c r="F244" s="26">
        <f>E244/E$249</f>
        <v>0.18292682926829268</v>
      </c>
      <c r="G244" s="3">
        <f>F244*G$249</f>
        <v>2897.8463414634143</v>
      </c>
      <c r="H244" s="26"/>
      <c r="I244" s="3"/>
      <c r="J244" s="27">
        <f t="shared" si="31"/>
        <v>7365.6479583788368</v>
      </c>
    </row>
    <row r="245" spans="1:10" hidden="1">
      <c r="A245" s="32" t="s">
        <v>42</v>
      </c>
      <c r="B245" s="1">
        <v>400</v>
      </c>
      <c r="C245" s="26">
        <f t="shared" si="32"/>
        <v>0.24875621890547264</v>
      </c>
      <c r="D245" s="3">
        <f t="shared" si="33"/>
        <v>10897.077114427861</v>
      </c>
      <c r="E245" s="231"/>
      <c r="F245" s="26"/>
      <c r="G245" s="3"/>
      <c r="H245" s="26"/>
      <c r="I245" s="3"/>
      <c r="J245" s="27">
        <f t="shared" si="31"/>
        <v>10897.077114427861</v>
      </c>
    </row>
    <row r="246" spans="1:10" hidden="1">
      <c r="A246" s="32" t="s">
        <v>43</v>
      </c>
      <c r="B246" s="1">
        <v>368</v>
      </c>
      <c r="C246" s="26">
        <f t="shared" si="32"/>
        <v>0.22885572139303484</v>
      </c>
      <c r="D246" s="3">
        <f t="shared" si="33"/>
        <v>10025.310945273632</v>
      </c>
      <c r="E246" s="231"/>
      <c r="F246" s="26"/>
      <c r="G246" s="3"/>
      <c r="H246" s="26"/>
      <c r="I246" s="3"/>
      <c r="J246" s="27">
        <f t="shared" si="31"/>
        <v>10025.310945273632</v>
      </c>
    </row>
    <row r="247" spans="1:10" hidden="1">
      <c r="A247" s="32" t="s">
        <v>44</v>
      </c>
      <c r="B247" s="1"/>
      <c r="C247" s="26"/>
      <c r="D247" s="3"/>
      <c r="E247" s="231"/>
      <c r="F247" s="26"/>
      <c r="G247" s="3"/>
      <c r="H247" s="26"/>
      <c r="I247" s="3"/>
      <c r="J247" s="27"/>
    </row>
    <row r="248" spans="1:10" hidden="1">
      <c r="A248" s="32" t="s">
        <v>53</v>
      </c>
      <c r="B248" s="1"/>
      <c r="C248" s="26"/>
      <c r="D248" s="3"/>
      <c r="E248" s="231"/>
      <c r="F248" s="26"/>
      <c r="G248" s="3"/>
      <c r="H248" s="26">
        <v>1</v>
      </c>
      <c r="I248" s="27">
        <v>54341.93</v>
      </c>
      <c r="J248" s="27">
        <f t="shared" si="31"/>
        <v>54341.93</v>
      </c>
    </row>
    <row r="249" spans="1:10" hidden="1">
      <c r="A249" s="230" t="s">
        <v>62</v>
      </c>
      <c r="B249" s="1">
        <f>SUM(B227:B248)</f>
        <v>1608</v>
      </c>
      <c r="C249" s="26">
        <f t="shared" si="32"/>
        <v>1</v>
      </c>
      <c r="D249" s="3">
        <v>43806.25</v>
      </c>
      <c r="E249" s="231">
        <f>SUM(E227:E248)</f>
        <v>328</v>
      </c>
      <c r="F249" s="26">
        <f>SUM(F227:F248)</f>
        <v>1</v>
      </c>
      <c r="G249" s="3">
        <v>15841.56</v>
      </c>
      <c r="H249" s="29">
        <v>1</v>
      </c>
      <c r="I249" s="27">
        <v>54341.93</v>
      </c>
      <c r="J249" s="27">
        <f t="shared" si="31"/>
        <v>113989.74</v>
      </c>
    </row>
    <row r="250" spans="1:10" hidden="1"/>
    <row r="251" spans="1:10" hidden="1"/>
    <row r="252" spans="1:10" ht="25.8" hidden="1">
      <c r="A252" s="30" t="s">
        <v>704</v>
      </c>
      <c r="B252" s="21"/>
      <c r="C252" s="21"/>
      <c r="D252" s="21"/>
      <c r="E252" s="21"/>
      <c r="F252" s="21"/>
      <c r="G252" s="22"/>
      <c r="H252" s="21"/>
      <c r="I252" s="21"/>
      <c r="J252" s="21"/>
    </row>
    <row r="253" spans="1:10" hidden="1">
      <c r="A253" s="282" t="s">
        <v>78</v>
      </c>
      <c r="B253" s="284" t="s">
        <v>55</v>
      </c>
      <c r="C253" s="284"/>
      <c r="D253" s="284"/>
      <c r="E253" s="284" t="s">
        <v>56</v>
      </c>
      <c r="F253" s="284"/>
      <c r="G253" s="284"/>
      <c r="H253" s="284" t="s">
        <v>57</v>
      </c>
      <c r="I253" s="284"/>
      <c r="J253" s="282" t="s">
        <v>79</v>
      </c>
    </row>
    <row r="254" spans="1:10" hidden="1">
      <c r="A254" s="283"/>
      <c r="B254" s="237" t="s">
        <v>29</v>
      </c>
      <c r="C254" s="237" t="s">
        <v>50</v>
      </c>
      <c r="D254" s="237" t="s">
        <v>51</v>
      </c>
      <c r="E254" s="237" t="s">
        <v>29</v>
      </c>
      <c r="F254" s="237" t="s">
        <v>50</v>
      </c>
      <c r="G254" s="24" t="s">
        <v>51</v>
      </c>
      <c r="H254" s="237" t="s">
        <v>50</v>
      </c>
      <c r="I254" s="237" t="s">
        <v>51</v>
      </c>
      <c r="J254" s="283"/>
    </row>
    <row r="255" spans="1:10" hidden="1">
      <c r="A255" s="31" t="s">
        <v>708</v>
      </c>
      <c r="B255" s="1"/>
      <c r="C255" s="26"/>
      <c r="D255" s="3"/>
      <c r="E255" s="231"/>
      <c r="F255" s="26"/>
      <c r="G255" s="3"/>
      <c r="H255" s="26"/>
      <c r="I255" s="3"/>
      <c r="J255" s="27"/>
    </row>
    <row r="256" spans="1:10" hidden="1">
      <c r="A256" s="31" t="s">
        <v>73</v>
      </c>
      <c r="B256" s="1"/>
      <c r="C256" s="26"/>
      <c r="D256" s="3"/>
      <c r="E256" s="231"/>
      <c r="F256" s="26"/>
      <c r="G256" s="3"/>
      <c r="H256" s="26"/>
      <c r="I256" s="3"/>
      <c r="J256" s="27"/>
    </row>
    <row r="257" spans="1:10" hidden="1">
      <c r="A257" s="31" t="s">
        <v>74</v>
      </c>
      <c r="B257" s="1"/>
      <c r="C257" s="26"/>
      <c r="D257" s="3"/>
      <c r="E257" s="231"/>
      <c r="F257" s="26"/>
      <c r="G257" s="3"/>
      <c r="H257" s="26"/>
      <c r="I257" s="3"/>
      <c r="J257" s="27"/>
    </row>
    <row r="258" spans="1:10" hidden="1">
      <c r="A258" s="31" t="s">
        <v>75</v>
      </c>
      <c r="B258" s="1"/>
      <c r="C258" s="26"/>
      <c r="D258" s="3"/>
      <c r="E258" s="231">
        <v>13</v>
      </c>
      <c r="F258" s="26">
        <f>E258/E$277</f>
        <v>5.6521739130434782E-2</v>
      </c>
      <c r="G258" s="3">
        <f>F258*G$277</f>
        <v>762.6828695652174</v>
      </c>
      <c r="H258" s="26"/>
      <c r="I258" s="3"/>
      <c r="J258" s="27">
        <f>I258+G258+D258</f>
        <v>762.6828695652174</v>
      </c>
    </row>
    <row r="259" spans="1:10" hidden="1">
      <c r="A259" s="31" t="s">
        <v>76</v>
      </c>
      <c r="B259" s="1"/>
      <c r="C259" s="26"/>
      <c r="D259" s="3"/>
      <c r="E259" s="231"/>
      <c r="F259" s="26"/>
      <c r="G259" s="3"/>
      <c r="H259" s="26"/>
      <c r="I259" s="3"/>
      <c r="J259" s="27"/>
    </row>
    <row r="260" spans="1:10" hidden="1">
      <c r="A260" s="31" t="s">
        <v>64</v>
      </c>
      <c r="B260" s="1"/>
      <c r="C260" s="26"/>
      <c r="D260" s="3"/>
      <c r="E260" s="231">
        <v>36</v>
      </c>
      <c r="F260" s="26">
        <f>E260/E$277</f>
        <v>0.15652173913043479</v>
      </c>
      <c r="G260" s="3">
        <f t="shared" ref="G260:G273" si="34">F260*G$277</f>
        <v>2112.0448695652176</v>
      </c>
      <c r="H260" s="26"/>
      <c r="I260" s="3"/>
      <c r="J260" s="27">
        <f t="shared" ref="J260:J277" si="35">I260+G260+D260</f>
        <v>2112.0448695652176</v>
      </c>
    </row>
    <row r="261" spans="1:10" hidden="1">
      <c r="A261" s="31" t="s">
        <v>717</v>
      </c>
      <c r="B261" s="1"/>
      <c r="C261" s="26"/>
      <c r="D261" s="3"/>
      <c r="E261" s="231">
        <v>58</v>
      </c>
      <c r="F261" s="26">
        <f>E261/E$277</f>
        <v>0.25217391304347825</v>
      </c>
      <c r="G261" s="3">
        <f t="shared" si="34"/>
        <v>3402.7389565217391</v>
      </c>
      <c r="H261" s="26"/>
      <c r="I261" s="3"/>
      <c r="J261" s="27">
        <f t="shared" si="35"/>
        <v>3402.7389565217391</v>
      </c>
    </row>
    <row r="262" spans="1:10" hidden="1">
      <c r="A262" s="31" t="s">
        <v>718</v>
      </c>
      <c r="B262" s="1"/>
      <c r="C262" s="26"/>
      <c r="D262" s="3"/>
      <c r="E262" s="231"/>
      <c r="F262" s="26"/>
      <c r="G262" s="3"/>
      <c r="H262" s="26"/>
      <c r="I262" s="3"/>
      <c r="J262" s="27"/>
    </row>
    <row r="263" spans="1:10" hidden="1">
      <c r="A263" s="31" t="s">
        <v>385</v>
      </c>
      <c r="B263" s="1"/>
      <c r="C263" s="26"/>
      <c r="D263" s="3"/>
      <c r="E263" s="231"/>
      <c r="F263" s="26"/>
      <c r="G263" s="3"/>
      <c r="H263" s="26"/>
      <c r="I263" s="3"/>
      <c r="J263" s="27"/>
    </row>
    <row r="264" spans="1:10" hidden="1">
      <c r="A264" s="31" t="s">
        <v>77</v>
      </c>
      <c r="B264" s="1"/>
      <c r="C264" s="26"/>
      <c r="D264" s="3"/>
      <c r="E264" s="231"/>
      <c r="F264" s="26"/>
      <c r="G264" s="3"/>
      <c r="H264" s="28"/>
      <c r="I264" s="2"/>
      <c r="J264" s="27"/>
    </row>
    <row r="265" spans="1:10" hidden="1">
      <c r="A265" s="31" t="s">
        <v>709</v>
      </c>
      <c r="B265" s="1"/>
      <c r="C265" s="26"/>
      <c r="D265" s="3"/>
      <c r="E265" s="231">
        <v>24</v>
      </c>
      <c r="F265" s="26">
        <f>E265/E$277</f>
        <v>0.10434782608695652</v>
      </c>
      <c r="G265" s="3">
        <f t="shared" si="34"/>
        <v>1408.0299130434782</v>
      </c>
      <c r="H265" s="26"/>
      <c r="I265" s="3"/>
      <c r="J265" s="27">
        <f t="shared" si="35"/>
        <v>1408.0299130434782</v>
      </c>
    </row>
    <row r="266" spans="1:10" hidden="1">
      <c r="A266" s="25" t="s">
        <v>58</v>
      </c>
      <c r="B266" s="1">
        <v>50</v>
      </c>
      <c r="C266" s="26">
        <f>B266/B$277</f>
        <v>3.2051282051282048E-2</v>
      </c>
      <c r="D266" s="3">
        <f>C266*D$277</f>
        <v>1248.3948717948717</v>
      </c>
      <c r="E266" s="231"/>
      <c r="F266" s="26"/>
      <c r="G266" s="3"/>
      <c r="H266" s="26"/>
      <c r="I266" s="3"/>
      <c r="J266" s="27">
        <f t="shared" si="35"/>
        <v>1248.3948717948717</v>
      </c>
    </row>
    <row r="267" spans="1:10" hidden="1">
      <c r="A267" s="25" t="s">
        <v>59</v>
      </c>
      <c r="B267" s="1"/>
      <c r="C267" s="26"/>
      <c r="D267" s="3"/>
      <c r="E267" s="231"/>
      <c r="F267" s="26"/>
      <c r="G267" s="3"/>
      <c r="H267" s="26"/>
      <c r="I267" s="3"/>
      <c r="J267" s="27"/>
    </row>
    <row r="268" spans="1:10" hidden="1">
      <c r="A268" s="32" t="s">
        <v>65</v>
      </c>
      <c r="B268" s="1"/>
      <c r="C268" s="26"/>
      <c r="D268" s="3"/>
      <c r="E268" s="231"/>
      <c r="F268" s="26"/>
      <c r="G268" s="3"/>
      <c r="H268" s="26"/>
      <c r="I268" s="3"/>
      <c r="J268" s="27"/>
    </row>
    <row r="269" spans="1:10" hidden="1">
      <c r="A269" s="32" t="s">
        <v>66</v>
      </c>
      <c r="B269" s="1">
        <v>328</v>
      </c>
      <c r="C269" s="26">
        <f t="shared" ref="C269:C277" si="36">B269/B$277</f>
        <v>0.21025641025641026</v>
      </c>
      <c r="D269" s="3">
        <f>C269*D$277+0.01</f>
        <v>8189.4803589743588</v>
      </c>
      <c r="E269" s="232">
        <v>24</v>
      </c>
      <c r="F269" s="26">
        <f>E269/E$277</f>
        <v>0.10434782608695652</v>
      </c>
      <c r="G269" s="3">
        <f t="shared" si="34"/>
        <v>1408.0299130434782</v>
      </c>
      <c r="H269" s="26"/>
      <c r="I269" s="3"/>
      <c r="J269" s="27">
        <f t="shared" si="35"/>
        <v>9597.5102720178365</v>
      </c>
    </row>
    <row r="270" spans="1:10" hidden="1">
      <c r="A270" s="25" t="s">
        <v>60</v>
      </c>
      <c r="B270" s="1">
        <v>80</v>
      </c>
      <c r="C270" s="26">
        <f t="shared" si="36"/>
        <v>5.128205128205128E-2</v>
      </c>
      <c r="D270" s="3">
        <f t="shared" ref="D270:D276" si="37">C270*D$277</f>
        <v>1997.4317948717946</v>
      </c>
      <c r="E270" s="231"/>
      <c r="F270" s="26"/>
      <c r="G270" s="3"/>
      <c r="H270" s="26"/>
      <c r="I270" s="3"/>
      <c r="J270" s="27">
        <f t="shared" si="35"/>
        <v>1997.4317948717946</v>
      </c>
    </row>
    <row r="271" spans="1:10" hidden="1">
      <c r="A271" s="25" t="s">
        <v>61</v>
      </c>
      <c r="B271" s="1"/>
      <c r="C271" s="26"/>
      <c r="D271" s="3"/>
      <c r="E271" s="231">
        <v>35</v>
      </c>
      <c r="F271" s="26">
        <f>E271/E$277</f>
        <v>0.15217391304347827</v>
      </c>
      <c r="G271" s="3">
        <f t="shared" si="34"/>
        <v>2053.3769565217394</v>
      </c>
      <c r="H271" s="26"/>
      <c r="I271" s="3"/>
      <c r="J271" s="27">
        <f t="shared" si="35"/>
        <v>2053.3769565217394</v>
      </c>
    </row>
    <row r="272" spans="1:10" hidden="1">
      <c r="A272" s="32" t="s">
        <v>67</v>
      </c>
      <c r="B272" s="1">
        <v>180</v>
      </c>
      <c r="C272" s="26">
        <f t="shared" si="36"/>
        <v>0.11538461538461539</v>
      </c>
      <c r="D272" s="3">
        <f t="shared" si="37"/>
        <v>4494.2215384615383</v>
      </c>
      <c r="E272" s="231">
        <v>10</v>
      </c>
      <c r="F272" s="26">
        <f>E272/E$277</f>
        <v>4.3478260869565216E-2</v>
      </c>
      <c r="G272" s="3">
        <f t="shared" si="34"/>
        <v>586.67913043478268</v>
      </c>
      <c r="H272" s="26"/>
      <c r="I272" s="3"/>
      <c r="J272" s="27">
        <f t="shared" si="35"/>
        <v>5080.9006688963209</v>
      </c>
    </row>
    <row r="273" spans="1:10" hidden="1">
      <c r="A273" s="32" t="s">
        <v>42</v>
      </c>
      <c r="B273" s="1">
        <v>376</v>
      </c>
      <c r="C273" s="26">
        <f t="shared" si="36"/>
        <v>0.24102564102564103</v>
      </c>
      <c r="D273" s="3">
        <f t="shared" si="37"/>
        <v>9387.9294358974348</v>
      </c>
      <c r="E273" s="231">
        <v>30</v>
      </c>
      <c r="F273" s="26">
        <f>E273/E$277</f>
        <v>0.13043478260869565</v>
      </c>
      <c r="G273" s="3">
        <f t="shared" si="34"/>
        <v>1760.0373913043479</v>
      </c>
      <c r="H273" s="26"/>
      <c r="I273" s="3"/>
      <c r="J273" s="27">
        <f t="shared" si="35"/>
        <v>11147.966827201783</v>
      </c>
    </row>
    <row r="274" spans="1:10" hidden="1">
      <c r="A274" s="32" t="s">
        <v>43</v>
      </c>
      <c r="B274" s="1">
        <v>376</v>
      </c>
      <c r="C274" s="26">
        <f t="shared" si="36"/>
        <v>0.24102564102564103</v>
      </c>
      <c r="D274" s="3">
        <f t="shared" si="37"/>
        <v>9387.9294358974348</v>
      </c>
      <c r="E274" s="231"/>
      <c r="F274" s="26"/>
      <c r="G274" s="3"/>
      <c r="H274" s="26"/>
      <c r="I274" s="3"/>
      <c r="J274" s="27">
        <f t="shared" si="35"/>
        <v>9387.9294358974348</v>
      </c>
    </row>
    <row r="275" spans="1:10" hidden="1">
      <c r="A275" s="32" t="s">
        <v>44</v>
      </c>
      <c r="B275" s="1"/>
      <c r="C275" s="26"/>
      <c r="D275" s="3"/>
      <c r="E275" s="231"/>
      <c r="F275" s="26"/>
      <c r="G275" s="3"/>
      <c r="H275" s="26"/>
      <c r="I275" s="3"/>
      <c r="J275" s="27"/>
    </row>
    <row r="276" spans="1:10" hidden="1">
      <c r="A276" s="32" t="s">
        <v>53</v>
      </c>
      <c r="B276" s="1">
        <v>170</v>
      </c>
      <c r="C276" s="26">
        <f t="shared" si="36"/>
        <v>0.10897435897435898</v>
      </c>
      <c r="D276" s="3">
        <f t="shared" si="37"/>
        <v>4244.542564102564</v>
      </c>
      <c r="E276" s="231"/>
      <c r="F276" s="26"/>
      <c r="G276" s="3"/>
      <c r="H276" s="26">
        <v>1</v>
      </c>
      <c r="I276" s="27">
        <v>54341.93</v>
      </c>
      <c r="J276" s="27">
        <f t="shared" si="35"/>
        <v>58586.472564102565</v>
      </c>
    </row>
    <row r="277" spans="1:10" hidden="1">
      <c r="A277" s="237" t="s">
        <v>62</v>
      </c>
      <c r="B277" s="1">
        <f>SUM(B255:B276)</f>
        <v>1560</v>
      </c>
      <c r="C277" s="26">
        <f t="shared" si="36"/>
        <v>1</v>
      </c>
      <c r="D277" s="3">
        <v>38949.919999999998</v>
      </c>
      <c r="E277" s="231">
        <f>SUM(E255:E276)</f>
        <v>230</v>
      </c>
      <c r="F277" s="26">
        <f>E277/E$277</f>
        <v>1</v>
      </c>
      <c r="G277" s="3">
        <v>13493.62</v>
      </c>
      <c r="H277" s="29">
        <v>1</v>
      </c>
      <c r="I277" s="27">
        <v>54341.93</v>
      </c>
      <c r="J277" s="27">
        <f t="shared" si="35"/>
        <v>106785.47</v>
      </c>
    </row>
    <row r="278" spans="1:10" hidden="1"/>
    <row r="279" spans="1:10" hidden="1"/>
    <row r="280" spans="1:10" ht="25.8" hidden="1">
      <c r="A280" s="30" t="s">
        <v>724</v>
      </c>
      <c r="B280" s="21"/>
      <c r="C280" s="21"/>
      <c r="D280" s="21"/>
      <c r="E280" s="21"/>
      <c r="F280" s="21"/>
      <c r="G280" s="22"/>
      <c r="H280" s="21"/>
      <c r="I280" s="21"/>
      <c r="J280" s="21"/>
    </row>
    <row r="281" spans="1:10" hidden="1">
      <c r="A281" s="282" t="s">
        <v>78</v>
      </c>
      <c r="B281" s="284" t="s">
        <v>55</v>
      </c>
      <c r="C281" s="284"/>
      <c r="D281" s="284"/>
      <c r="E281" s="284" t="s">
        <v>56</v>
      </c>
      <c r="F281" s="284"/>
      <c r="G281" s="284"/>
      <c r="H281" s="284" t="s">
        <v>57</v>
      </c>
      <c r="I281" s="284"/>
      <c r="J281" s="282" t="s">
        <v>79</v>
      </c>
    </row>
    <row r="282" spans="1:10" hidden="1">
      <c r="A282" s="283"/>
      <c r="B282" s="257" t="s">
        <v>29</v>
      </c>
      <c r="C282" s="257" t="s">
        <v>50</v>
      </c>
      <c r="D282" s="257" t="s">
        <v>51</v>
      </c>
      <c r="E282" s="257" t="s">
        <v>29</v>
      </c>
      <c r="F282" s="257" t="s">
        <v>50</v>
      </c>
      <c r="G282" s="24" t="s">
        <v>51</v>
      </c>
      <c r="H282" s="257" t="s">
        <v>50</v>
      </c>
      <c r="I282" s="257" t="s">
        <v>51</v>
      </c>
      <c r="J282" s="283"/>
    </row>
    <row r="283" spans="1:10" hidden="1">
      <c r="A283" s="31" t="s">
        <v>740</v>
      </c>
      <c r="B283" s="1"/>
      <c r="C283" s="26"/>
      <c r="D283" s="3"/>
      <c r="E283" s="231"/>
      <c r="F283" s="26"/>
      <c r="G283" s="3"/>
      <c r="H283" s="26"/>
      <c r="I283" s="3"/>
      <c r="J283" s="27"/>
    </row>
    <row r="284" spans="1:10" hidden="1">
      <c r="A284" s="31" t="s">
        <v>73</v>
      </c>
      <c r="B284" s="1"/>
      <c r="C284" s="26"/>
      <c r="D284" s="3"/>
      <c r="E284" s="231">
        <v>2</v>
      </c>
      <c r="F284" s="26">
        <f>E284/E$305</f>
        <v>6.993006993006993E-3</v>
      </c>
      <c r="G284" s="3">
        <f>F284*G$305</f>
        <v>144.6979020979021</v>
      </c>
      <c r="H284" s="26"/>
      <c r="I284" s="3"/>
      <c r="J284" s="27">
        <f t="shared" ref="J284:J305" si="38">I284+G284+D284</f>
        <v>144.6979020979021</v>
      </c>
    </row>
    <row r="285" spans="1:10" hidden="1">
      <c r="A285" s="31" t="s">
        <v>74</v>
      </c>
      <c r="B285" s="1"/>
      <c r="C285" s="26"/>
      <c r="D285" s="3"/>
      <c r="E285" s="231">
        <v>2</v>
      </c>
      <c r="F285" s="26">
        <f t="shared" ref="F285:F305" si="39">E285/E$305</f>
        <v>6.993006993006993E-3</v>
      </c>
      <c r="G285" s="3">
        <f t="shared" ref="G285:G300" si="40">F285*G$305</f>
        <v>144.6979020979021</v>
      </c>
      <c r="H285" s="26"/>
      <c r="I285" s="3"/>
      <c r="J285" s="27">
        <f t="shared" si="38"/>
        <v>144.6979020979021</v>
      </c>
    </row>
    <row r="286" spans="1:10" hidden="1">
      <c r="A286" s="31" t="s">
        <v>770</v>
      </c>
      <c r="B286" s="1"/>
      <c r="C286" s="26"/>
      <c r="D286" s="3"/>
      <c r="E286" s="231"/>
      <c r="F286" s="26"/>
      <c r="G286" s="3"/>
      <c r="H286" s="26"/>
      <c r="I286" s="3"/>
      <c r="J286" s="27"/>
    </row>
    <row r="287" spans="1:10" hidden="1">
      <c r="A287" s="31" t="s">
        <v>76</v>
      </c>
      <c r="B287" s="1"/>
      <c r="C287" s="26"/>
      <c r="D287" s="3"/>
      <c r="E287" s="231"/>
      <c r="F287" s="26"/>
      <c r="G287" s="3"/>
      <c r="H287" s="26"/>
      <c r="I287" s="3"/>
      <c r="J287" s="27"/>
    </row>
    <row r="288" spans="1:10" hidden="1">
      <c r="A288" s="31" t="s">
        <v>64</v>
      </c>
      <c r="B288" s="1"/>
      <c r="C288" s="26"/>
      <c r="D288" s="3"/>
      <c r="E288" s="231">
        <v>14</v>
      </c>
      <c r="F288" s="26">
        <f t="shared" si="39"/>
        <v>4.8951048951048952E-2</v>
      </c>
      <c r="G288" s="3">
        <f t="shared" si="40"/>
        <v>1012.8853146853147</v>
      </c>
      <c r="H288" s="26"/>
      <c r="I288" s="3"/>
      <c r="J288" s="27">
        <f t="shared" si="38"/>
        <v>1012.8853146853147</v>
      </c>
    </row>
    <row r="289" spans="1:10" hidden="1">
      <c r="A289" s="31" t="s">
        <v>68</v>
      </c>
      <c r="B289" s="1"/>
      <c r="C289" s="26"/>
      <c r="D289" s="3"/>
      <c r="E289" s="231">
        <v>66</v>
      </c>
      <c r="F289" s="26">
        <f t="shared" si="39"/>
        <v>0.23076923076923078</v>
      </c>
      <c r="G289" s="3">
        <f t="shared" si="40"/>
        <v>4775.0307692307697</v>
      </c>
      <c r="H289" s="26"/>
      <c r="I289" s="3"/>
      <c r="J289" s="27">
        <f t="shared" si="38"/>
        <v>4775.0307692307697</v>
      </c>
    </row>
    <row r="290" spans="1:10" hidden="1">
      <c r="A290" s="31" t="s">
        <v>777</v>
      </c>
      <c r="B290" s="1"/>
      <c r="C290" s="26"/>
      <c r="D290" s="3"/>
      <c r="E290" s="231">
        <v>108</v>
      </c>
      <c r="F290" s="26">
        <f t="shared" si="39"/>
        <v>0.3776223776223776</v>
      </c>
      <c r="G290" s="3">
        <f t="shared" si="40"/>
        <v>7813.6867132867128</v>
      </c>
      <c r="H290" s="26"/>
      <c r="I290" s="3"/>
      <c r="J290" s="27">
        <f t="shared" si="38"/>
        <v>7813.6867132867128</v>
      </c>
    </row>
    <row r="291" spans="1:10" hidden="1">
      <c r="A291" s="31" t="s">
        <v>70</v>
      </c>
      <c r="B291" s="1"/>
      <c r="C291" s="26"/>
      <c r="D291" s="3"/>
      <c r="E291" s="231">
        <v>56</v>
      </c>
      <c r="F291" s="26">
        <f t="shared" si="39"/>
        <v>0.19580419580419581</v>
      </c>
      <c r="G291" s="3">
        <f t="shared" si="40"/>
        <v>4051.5412587412588</v>
      </c>
      <c r="H291" s="26"/>
      <c r="I291" s="3"/>
      <c r="J291" s="27">
        <f t="shared" si="38"/>
        <v>4051.5412587412588</v>
      </c>
    </row>
    <row r="292" spans="1:10" hidden="1">
      <c r="A292" s="31" t="s">
        <v>77</v>
      </c>
      <c r="B292" s="1"/>
      <c r="C292" s="26"/>
      <c r="D292" s="3"/>
      <c r="E292" s="231"/>
      <c r="F292" s="26"/>
      <c r="G292" s="3"/>
      <c r="H292" s="28"/>
      <c r="I292" s="2"/>
      <c r="J292" s="27"/>
    </row>
    <row r="293" spans="1:10" hidden="1">
      <c r="A293" s="31" t="s">
        <v>71</v>
      </c>
      <c r="B293" s="1"/>
      <c r="C293" s="26"/>
      <c r="D293" s="3"/>
      <c r="E293" s="231">
        <v>8</v>
      </c>
      <c r="F293" s="26">
        <f t="shared" si="39"/>
        <v>2.7972027972027972E-2</v>
      </c>
      <c r="G293" s="3">
        <f t="shared" si="40"/>
        <v>578.79160839160841</v>
      </c>
      <c r="H293" s="26"/>
      <c r="I293" s="3"/>
      <c r="J293" s="27">
        <f t="shared" si="38"/>
        <v>578.79160839160841</v>
      </c>
    </row>
    <row r="294" spans="1:10" hidden="1">
      <c r="A294" s="25" t="s">
        <v>58</v>
      </c>
      <c r="B294" s="1">
        <v>300</v>
      </c>
      <c r="C294" s="26">
        <f>B294/B$305</f>
        <v>0.16519823788546256</v>
      </c>
      <c r="D294" s="3">
        <f>C294*D$305</f>
        <v>6723.4328193832598</v>
      </c>
      <c r="E294" s="231">
        <v>6</v>
      </c>
      <c r="F294" s="26">
        <f t="shared" si="39"/>
        <v>2.097902097902098E-2</v>
      </c>
      <c r="G294" s="3">
        <f t="shared" si="40"/>
        <v>434.0937062937063</v>
      </c>
      <c r="H294" s="26"/>
      <c r="I294" s="3"/>
      <c r="J294" s="27">
        <f>I294+G294+D294-0.01</f>
        <v>7157.516525676966</v>
      </c>
    </row>
    <row r="295" spans="1:10" hidden="1">
      <c r="A295" s="25" t="s">
        <v>59</v>
      </c>
      <c r="B295" s="1"/>
      <c r="C295" s="26"/>
      <c r="D295" s="3"/>
      <c r="E295" s="231"/>
      <c r="F295" s="26"/>
      <c r="G295" s="3"/>
      <c r="H295" s="26"/>
      <c r="I295" s="3"/>
      <c r="J295" s="27"/>
    </row>
    <row r="296" spans="1:10" hidden="1">
      <c r="A296" s="32" t="s">
        <v>65</v>
      </c>
      <c r="B296" s="1"/>
      <c r="C296" s="26"/>
      <c r="D296" s="3"/>
      <c r="E296" s="231"/>
      <c r="F296" s="26"/>
      <c r="G296" s="3"/>
      <c r="H296" s="26"/>
      <c r="I296" s="3"/>
      <c r="J296" s="27"/>
    </row>
    <row r="297" spans="1:10" hidden="1">
      <c r="A297" s="32" t="s">
        <v>66</v>
      </c>
      <c r="B297" s="1">
        <v>292</v>
      </c>
      <c r="C297" s="26">
        <f t="shared" ref="C297:C305" si="41">B297/B$305</f>
        <v>0.16079295154185022</v>
      </c>
      <c r="D297" s="3">
        <f t="shared" ref="D297:D302" si="42">C297*D$305</f>
        <v>6544.14127753304</v>
      </c>
      <c r="E297" s="232"/>
      <c r="F297" s="26"/>
      <c r="G297" s="3"/>
      <c r="H297" s="26"/>
      <c r="I297" s="3"/>
      <c r="J297" s="27">
        <f t="shared" si="38"/>
        <v>6544.14127753304</v>
      </c>
    </row>
    <row r="298" spans="1:10" hidden="1">
      <c r="A298" s="25" t="s">
        <v>60</v>
      </c>
      <c r="B298" s="1">
        <v>92</v>
      </c>
      <c r="C298" s="26">
        <f t="shared" si="41"/>
        <v>5.0660792951541848E-2</v>
      </c>
      <c r="D298" s="3">
        <f t="shared" si="42"/>
        <v>2061.8527312775332</v>
      </c>
      <c r="E298" s="231"/>
      <c r="F298" s="26"/>
      <c r="G298" s="3"/>
      <c r="H298" s="26"/>
      <c r="I298" s="3"/>
      <c r="J298" s="27">
        <f t="shared" si="38"/>
        <v>2061.8527312775332</v>
      </c>
    </row>
    <row r="299" spans="1:10" hidden="1">
      <c r="A299" s="25" t="s">
        <v>61</v>
      </c>
      <c r="B299" s="1"/>
      <c r="C299" s="26"/>
      <c r="D299" s="3"/>
      <c r="E299" s="231"/>
      <c r="F299" s="26"/>
      <c r="G299" s="3"/>
      <c r="H299" s="26"/>
      <c r="I299" s="3"/>
      <c r="J299" s="27"/>
    </row>
    <row r="300" spans="1:10" hidden="1">
      <c r="A300" s="32" t="s">
        <v>67</v>
      </c>
      <c r="B300" s="1">
        <v>276</v>
      </c>
      <c r="C300" s="26">
        <f t="shared" si="41"/>
        <v>0.15198237885462554</v>
      </c>
      <c r="D300" s="3">
        <f t="shared" si="42"/>
        <v>6185.5581938325986</v>
      </c>
      <c r="E300" s="231">
        <v>24</v>
      </c>
      <c r="F300" s="26">
        <f t="shared" si="39"/>
        <v>8.3916083916083919E-2</v>
      </c>
      <c r="G300" s="3">
        <f t="shared" si="40"/>
        <v>1736.3748251748252</v>
      </c>
      <c r="H300" s="26"/>
      <c r="I300" s="3"/>
      <c r="J300" s="27">
        <f t="shared" si="38"/>
        <v>7921.9330190074234</v>
      </c>
    </row>
    <row r="301" spans="1:10" hidden="1">
      <c r="A301" s="32" t="s">
        <v>42</v>
      </c>
      <c r="B301" s="1">
        <v>428</v>
      </c>
      <c r="C301" s="26">
        <f t="shared" si="41"/>
        <v>0.23568281938325991</v>
      </c>
      <c r="D301" s="3">
        <f t="shared" si="42"/>
        <v>9592.0974889867848</v>
      </c>
      <c r="E301" s="231"/>
      <c r="F301" s="26"/>
      <c r="G301" s="3"/>
      <c r="H301" s="26"/>
      <c r="I301" s="3"/>
      <c r="J301" s="27">
        <f t="shared" si="38"/>
        <v>9592.0974889867848</v>
      </c>
    </row>
    <row r="302" spans="1:10" hidden="1">
      <c r="A302" s="32" t="s">
        <v>43</v>
      </c>
      <c r="B302" s="1">
        <v>428</v>
      </c>
      <c r="C302" s="26">
        <f t="shared" si="41"/>
        <v>0.23568281938325991</v>
      </c>
      <c r="D302" s="3">
        <f t="shared" si="42"/>
        <v>9592.0974889867848</v>
      </c>
      <c r="E302" s="231"/>
      <c r="F302" s="26"/>
      <c r="G302" s="3"/>
      <c r="H302" s="26"/>
      <c r="I302" s="3"/>
      <c r="J302" s="27">
        <f t="shared" si="38"/>
        <v>9592.0974889867848</v>
      </c>
    </row>
    <row r="303" spans="1:10" hidden="1">
      <c r="A303" s="32" t="s">
        <v>44</v>
      </c>
      <c r="B303" s="1"/>
      <c r="C303" s="26"/>
      <c r="D303" s="3"/>
      <c r="E303" s="231"/>
      <c r="F303" s="26"/>
      <c r="G303" s="3"/>
      <c r="H303" s="26"/>
      <c r="I303" s="3"/>
      <c r="J303" s="27"/>
    </row>
    <row r="304" spans="1:10" hidden="1">
      <c r="A304" s="32" t="s">
        <v>53</v>
      </c>
      <c r="B304" s="1"/>
      <c r="C304" s="26"/>
      <c r="D304" s="3"/>
      <c r="E304" s="231"/>
      <c r="F304" s="26"/>
      <c r="G304" s="3"/>
      <c r="H304" s="26">
        <v>1</v>
      </c>
      <c r="I304" s="27">
        <v>55880.39</v>
      </c>
      <c r="J304" s="27">
        <f t="shared" si="38"/>
        <v>55880.39</v>
      </c>
    </row>
    <row r="305" spans="1:10" hidden="1">
      <c r="A305" s="257" t="s">
        <v>62</v>
      </c>
      <c r="B305" s="1">
        <f>SUM(B283:B304)</f>
        <v>1816</v>
      </c>
      <c r="C305" s="26">
        <f t="shared" si="41"/>
        <v>1</v>
      </c>
      <c r="D305" s="3">
        <v>40699.18</v>
      </c>
      <c r="E305" s="231">
        <f>SUM(E283:E304)</f>
        <v>286</v>
      </c>
      <c r="F305" s="26">
        <f t="shared" si="39"/>
        <v>1</v>
      </c>
      <c r="G305" s="3">
        <v>20691.8</v>
      </c>
      <c r="H305" s="29">
        <v>1</v>
      </c>
      <c r="I305" s="27">
        <v>55880.39</v>
      </c>
      <c r="J305" s="27">
        <f t="shared" si="38"/>
        <v>117271.37</v>
      </c>
    </row>
    <row r="306" spans="1:10" hidden="1"/>
    <row r="307" spans="1:10" hidden="1"/>
    <row r="308" spans="1:10" ht="25.8">
      <c r="A308" s="30" t="s">
        <v>779</v>
      </c>
      <c r="B308" s="21"/>
      <c r="C308" s="21"/>
      <c r="D308" s="21"/>
      <c r="E308" s="21"/>
      <c r="F308" s="21"/>
      <c r="G308" s="22"/>
      <c r="H308" s="21"/>
      <c r="I308" s="21"/>
      <c r="J308" s="21"/>
    </row>
    <row r="309" spans="1:10">
      <c r="A309" s="282" t="s">
        <v>78</v>
      </c>
      <c r="B309" s="284" t="s">
        <v>55</v>
      </c>
      <c r="C309" s="284"/>
      <c r="D309" s="284"/>
      <c r="E309" s="284" t="s">
        <v>56</v>
      </c>
      <c r="F309" s="284"/>
      <c r="G309" s="284"/>
      <c r="H309" s="284" t="s">
        <v>57</v>
      </c>
      <c r="I309" s="284"/>
      <c r="J309" s="282" t="s">
        <v>79</v>
      </c>
    </row>
    <row r="310" spans="1:10">
      <c r="A310" s="283"/>
      <c r="B310" s="259" t="s">
        <v>29</v>
      </c>
      <c r="C310" s="259" t="s">
        <v>50</v>
      </c>
      <c r="D310" s="259" t="s">
        <v>51</v>
      </c>
      <c r="E310" s="259" t="s">
        <v>29</v>
      </c>
      <c r="F310" s="259" t="s">
        <v>50</v>
      </c>
      <c r="G310" s="24" t="s">
        <v>51</v>
      </c>
      <c r="H310" s="259" t="s">
        <v>50</v>
      </c>
      <c r="I310" s="259" t="s">
        <v>51</v>
      </c>
      <c r="J310" s="283"/>
    </row>
    <row r="311" spans="1:10">
      <c r="A311" s="31" t="s">
        <v>803</v>
      </c>
      <c r="B311" s="1"/>
      <c r="C311" s="26"/>
      <c r="D311" s="3"/>
      <c r="E311" s="231"/>
      <c r="F311" s="26"/>
      <c r="G311" s="3"/>
      <c r="H311" s="26"/>
      <c r="I311" s="3"/>
      <c r="J311" s="27"/>
    </row>
    <row r="312" spans="1:10">
      <c r="A312" s="31" t="s">
        <v>73</v>
      </c>
      <c r="B312" s="1"/>
      <c r="C312" s="26"/>
      <c r="D312" s="3"/>
      <c r="E312" s="231">
        <v>138</v>
      </c>
      <c r="F312" s="26">
        <f>E312/E$333</f>
        <v>0.4859154929577465</v>
      </c>
      <c r="G312" s="3">
        <f>F312*G$333+0.01</f>
        <v>40837.941830985917</v>
      </c>
      <c r="H312" s="26"/>
      <c r="I312" s="3"/>
      <c r="J312" s="27">
        <f t="shared" ref="J312:J333" si="43">I312+G312+D312</f>
        <v>40837.941830985917</v>
      </c>
    </row>
    <row r="313" spans="1:10">
      <c r="A313" s="31" t="s">
        <v>397</v>
      </c>
      <c r="B313" s="1"/>
      <c r="C313" s="26"/>
      <c r="D313" s="3"/>
      <c r="E313" s="231"/>
      <c r="F313" s="26"/>
      <c r="G313" s="3"/>
      <c r="H313" s="26"/>
      <c r="I313" s="3"/>
      <c r="J313" s="27"/>
    </row>
    <row r="314" spans="1:10">
      <c r="A314" s="31" t="s">
        <v>805</v>
      </c>
      <c r="B314" s="1"/>
      <c r="C314" s="26"/>
      <c r="D314" s="3"/>
      <c r="E314" s="231"/>
      <c r="F314" s="26"/>
      <c r="G314" s="3"/>
      <c r="H314" s="26"/>
      <c r="I314" s="3"/>
      <c r="J314" s="27"/>
    </row>
    <row r="315" spans="1:10">
      <c r="A315" s="31" t="s">
        <v>76</v>
      </c>
      <c r="B315" s="1"/>
      <c r="C315" s="26"/>
      <c r="D315" s="3"/>
      <c r="E315" s="231"/>
      <c r="F315" s="26"/>
      <c r="G315" s="3"/>
      <c r="H315" s="26"/>
      <c r="I315" s="3"/>
      <c r="J315" s="27"/>
    </row>
    <row r="316" spans="1:10">
      <c r="A316" s="31" t="s">
        <v>813</v>
      </c>
      <c r="B316" s="1"/>
      <c r="C316" s="26"/>
      <c r="D316" s="3"/>
      <c r="E316" s="231"/>
      <c r="F316" s="26"/>
      <c r="G316" s="3"/>
      <c r="H316" s="26"/>
      <c r="I316" s="3"/>
      <c r="J316" s="27"/>
    </row>
    <row r="317" spans="1:10">
      <c r="A317" s="31" t="s">
        <v>404</v>
      </c>
      <c r="B317" s="1"/>
      <c r="C317" s="26"/>
      <c r="D317" s="3"/>
      <c r="E317" s="231"/>
      <c r="F317" s="26"/>
      <c r="G317" s="3"/>
      <c r="H317" s="26"/>
      <c r="I317" s="3"/>
      <c r="J317" s="27"/>
    </row>
    <row r="318" spans="1:10">
      <c r="A318" s="31" t="s">
        <v>69</v>
      </c>
      <c r="B318" s="1"/>
      <c r="C318" s="26"/>
      <c r="D318" s="3"/>
      <c r="E318" s="231">
        <v>14</v>
      </c>
      <c r="F318" s="26">
        <f t="shared" ref="F318:F333" si="44">E318/E$333</f>
        <v>4.9295774647887321E-2</v>
      </c>
      <c r="G318" s="3">
        <f t="shared" ref="G318:G328" si="45">F318*G$333</f>
        <v>4142.9785915492957</v>
      </c>
      <c r="H318" s="26"/>
      <c r="I318" s="3"/>
      <c r="J318" s="27">
        <f t="shared" si="43"/>
        <v>4142.9785915492957</v>
      </c>
    </row>
    <row r="319" spans="1:10">
      <c r="A319" s="31" t="s">
        <v>385</v>
      </c>
      <c r="B319" s="1"/>
      <c r="C319" s="26"/>
      <c r="D319" s="3"/>
      <c r="E319" s="231">
        <v>22</v>
      </c>
      <c r="F319" s="26">
        <f t="shared" si="44"/>
        <v>7.746478873239436E-2</v>
      </c>
      <c r="G319" s="3">
        <f t="shared" si="45"/>
        <v>6510.3949295774646</v>
      </c>
      <c r="H319" s="26"/>
      <c r="I319" s="3"/>
      <c r="J319" s="27">
        <f t="shared" si="43"/>
        <v>6510.3949295774646</v>
      </c>
    </row>
    <row r="320" spans="1:10">
      <c r="A320" s="31" t="s">
        <v>77</v>
      </c>
      <c r="B320" s="1"/>
      <c r="C320" s="26"/>
      <c r="D320" s="3"/>
      <c r="E320" s="231"/>
      <c r="F320" s="26"/>
      <c r="G320" s="3"/>
      <c r="H320" s="28"/>
      <c r="I320" s="2"/>
      <c r="J320" s="27"/>
    </row>
    <row r="321" spans="1:10">
      <c r="A321" s="31" t="s">
        <v>819</v>
      </c>
      <c r="B321" s="1"/>
      <c r="C321" s="26"/>
      <c r="D321" s="3"/>
      <c r="E321" s="231"/>
      <c r="F321" s="26"/>
      <c r="G321" s="3"/>
      <c r="H321" s="26"/>
      <c r="I321" s="3"/>
      <c r="J321" s="27"/>
    </row>
    <row r="322" spans="1:10">
      <c r="A322" s="25" t="s">
        <v>58</v>
      </c>
      <c r="B322" s="1">
        <v>426</v>
      </c>
      <c r="C322" s="26">
        <f>B322/B$333</f>
        <v>0.2859060402684564</v>
      </c>
      <c r="D322" s="3">
        <f>C322*D$333</f>
        <v>11261.418644295303</v>
      </c>
      <c r="E322" s="231">
        <v>18</v>
      </c>
      <c r="F322" s="26">
        <f t="shared" si="44"/>
        <v>6.3380281690140844E-2</v>
      </c>
      <c r="G322" s="3">
        <f t="shared" si="45"/>
        <v>5326.6867605633797</v>
      </c>
      <c r="H322" s="26"/>
      <c r="I322" s="3"/>
      <c r="J322" s="27">
        <f t="shared" si="43"/>
        <v>16588.105404858681</v>
      </c>
    </row>
    <row r="323" spans="1:10">
      <c r="A323" s="25" t="s">
        <v>59</v>
      </c>
      <c r="B323" s="1"/>
      <c r="C323" s="26"/>
      <c r="D323" s="3"/>
      <c r="E323" s="231"/>
      <c r="F323" s="26"/>
      <c r="G323" s="3"/>
      <c r="H323" s="26"/>
      <c r="I323" s="3"/>
      <c r="J323" s="27"/>
    </row>
    <row r="324" spans="1:10">
      <c r="A324" s="32" t="s">
        <v>65</v>
      </c>
      <c r="B324" s="1"/>
      <c r="C324" s="26"/>
      <c r="D324" s="3"/>
      <c r="E324" s="231"/>
      <c r="F324" s="26"/>
      <c r="G324" s="3"/>
      <c r="H324" s="26"/>
      <c r="I324" s="3"/>
      <c r="J324" s="27"/>
    </row>
    <row r="325" spans="1:10">
      <c r="A325" s="32" t="s">
        <v>66</v>
      </c>
      <c r="B325" s="1"/>
      <c r="C325" s="26"/>
      <c r="D325" s="3"/>
      <c r="E325" s="232"/>
      <c r="F325" s="26"/>
      <c r="G325" s="3"/>
      <c r="H325" s="26"/>
      <c r="I325" s="3"/>
      <c r="J325" s="27"/>
    </row>
    <row r="326" spans="1:10">
      <c r="A326" s="25" t="s">
        <v>60</v>
      </c>
      <c r="B326" s="1">
        <v>18</v>
      </c>
      <c r="C326" s="26">
        <f t="shared" ref="C326:C333" si="46">B326/B$333</f>
        <v>1.2080536912751677E-2</v>
      </c>
      <c r="D326" s="3">
        <f t="shared" ref="D326:D332" si="47">C326*D$333</f>
        <v>475.8345906040268</v>
      </c>
      <c r="E326" s="231"/>
      <c r="F326" s="26"/>
      <c r="G326" s="3"/>
      <c r="H326" s="26"/>
      <c r="I326" s="3"/>
      <c r="J326" s="27">
        <f t="shared" si="43"/>
        <v>475.8345906040268</v>
      </c>
    </row>
    <row r="327" spans="1:10">
      <c r="A327" s="25" t="s">
        <v>61</v>
      </c>
      <c r="B327" s="1">
        <v>20</v>
      </c>
      <c r="C327" s="26">
        <f t="shared" si="46"/>
        <v>1.3422818791946308E-2</v>
      </c>
      <c r="D327" s="3">
        <f t="shared" si="47"/>
        <v>528.70510067114094</v>
      </c>
      <c r="E327" s="231">
        <v>19</v>
      </c>
      <c r="F327" s="26">
        <f t="shared" si="44"/>
        <v>6.6901408450704219E-2</v>
      </c>
      <c r="G327" s="3">
        <f t="shared" si="45"/>
        <v>5622.6138028169007</v>
      </c>
      <c r="H327" s="26"/>
      <c r="I327" s="3"/>
      <c r="J327" s="27">
        <f t="shared" si="43"/>
        <v>6151.3189034880415</v>
      </c>
    </row>
    <row r="328" spans="1:10">
      <c r="A328" s="32" t="s">
        <v>67</v>
      </c>
      <c r="B328" s="1">
        <v>354</v>
      </c>
      <c r="C328" s="26">
        <f t="shared" si="46"/>
        <v>0.23758389261744967</v>
      </c>
      <c r="D328" s="3">
        <f t="shared" si="47"/>
        <v>9358.0802818791944</v>
      </c>
      <c r="E328" s="231">
        <v>73</v>
      </c>
      <c r="F328" s="26">
        <f t="shared" si="44"/>
        <v>0.25704225352112675</v>
      </c>
      <c r="G328" s="3">
        <f t="shared" si="45"/>
        <v>21602.674084507042</v>
      </c>
      <c r="H328" s="26"/>
      <c r="I328" s="3"/>
      <c r="J328" s="27">
        <f t="shared" si="43"/>
        <v>30960.754366386238</v>
      </c>
    </row>
    <row r="329" spans="1:10">
      <c r="A329" s="32" t="s">
        <v>42</v>
      </c>
      <c r="B329" s="1">
        <v>385</v>
      </c>
      <c r="C329" s="26">
        <f t="shared" si="46"/>
        <v>0.25838926174496646</v>
      </c>
      <c r="D329" s="3">
        <f>C329*D$333+0.01</f>
        <v>10177.583187919463</v>
      </c>
      <c r="E329" s="231"/>
      <c r="F329" s="26"/>
      <c r="G329" s="3"/>
      <c r="H329" s="26"/>
      <c r="I329" s="3"/>
      <c r="J329" s="27">
        <f t="shared" si="43"/>
        <v>10177.583187919463</v>
      </c>
    </row>
    <row r="330" spans="1:10">
      <c r="A330" s="32" t="s">
        <v>43</v>
      </c>
      <c r="B330" s="1">
        <v>248</v>
      </c>
      <c r="C330" s="26">
        <f t="shared" si="46"/>
        <v>0.16644295302013423</v>
      </c>
      <c r="D330" s="3">
        <f t="shared" si="47"/>
        <v>6555.9432483221481</v>
      </c>
      <c r="E330" s="231"/>
      <c r="F330" s="26"/>
      <c r="G330" s="3"/>
      <c r="H330" s="26"/>
      <c r="I330" s="3"/>
      <c r="J330" s="27">
        <f t="shared" si="43"/>
        <v>6555.9432483221481</v>
      </c>
    </row>
    <row r="331" spans="1:10">
      <c r="A331" s="32" t="s">
        <v>44</v>
      </c>
      <c r="B331" s="1"/>
      <c r="C331" s="26"/>
      <c r="D331" s="3"/>
      <c r="E331" s="231"/>
      <c r="F331" s="26"/>
      <c r="G331" s="3"/>
      <c r="H331" s="26"/>
      <c r="I331" s="3"/>
      <c r="J331" s="27"/>
    </row>
    <row r="332" spans="1:10">
      <c r="A332" s="32" t="s">
        <v>53</v>
      </c>
      <c r="B332" s="1">
        <v>39</v>
      </c>
      <c r="C332" s="26">
        <f t="shared" si="46"/>
        <v>2.6174496644295303E-2</v>
      </c>
      <c r="D332" s="3">
        <f t="shared" si="47"/>
        <v>1030.9749463087248</v>
      </c>
      <c r="E332" s="231"/>
      <c r="F332" s="26"/>
      <c r="G332" s="3"/>
      <c r="H332" s="26">
        <v>1</v>
      </c>
      <c r="I332" s="27">
        <v>54371.35</v>
      </c>
      <c r="J332" s="27">
        <f t="shared" si="43"/>
        <v>55402.324946308727</v>
      </c>
    </row>
    <row r="333" spans="1:10">
      <c r="A333" s="259" t="s">
        <v>62</v>
      </c>
      <c r="B333" s="1">
        <f>SUM(B311:B332)</f>
        <v>1490</v>
      </c>
      <c r="C333" s="26">
        <f t="shared" si="46"/>
        <v>1</v>
      </c>
      <c r="D333" s="3">
        <v>39388.53</v>
      </c>
      <c r="E333" s="231">
        <f>SUM(E311:E332)</f>
        <v>284</v>
      </c>
      <c r="F333" s="26">
        <f t="shared" si="44"/>
        <v>1</v>
      </c>
      <c r="G333" s="3">
        <v>84043.28</v>
      </c>
      <c r="H333" s="29">
        <v>1</v>
      </c>
      <c r="I333" s="27">
        <v>54371.35</v>
      </c>
      <c r="J333" s="27">
        <f t="shared" si="43"/>
        <v>177803.16</v>
      </c>
    </row>
  </sheetData>
  <mergeCells count="60">
    <mergeCell ref="A253:A254"/>
    <mergeCell ref="B253:D253"/>
    <mergeCell ref="E253:G253"/>
    <mergeCell ref="H253:I253"/>
    <mergeCell ref="J253:J254"/>
    <mergeCell ref="A225:A226"/>
    <mergeCell ref="B225:D225"/>
    <mergeCell ref="E225:G225"/>
    <mergeCell ref="H225:I225"/>
    <mergeCell ref="J225:J226"/>
    <mergeCell ref="A198:A199"/>
    <mergeCell ref="B198:D198"/>
    <mergeCell ref="E198:G198"/>
    <mergeCell ref="H198:I198"/>
    <mergeCell ref="J198:J199"/>
    <mergeCell ref="A170:A171"/>
    <mergeCell ref="B170:D170"/>
    <mergeCell ref="E170:G170"/>
    <mergeCell ref="H170:I170"/>
    <mergeCell ref="J170:J171"/>
    <mergeCell ref="A142:A143"/>
    <mergeCell ref="B142:D142"/>
    <mergeCell ref="E142:G142"/>
    <mergeCell ref="H142:I142"/>
    <mergeCell ref="J142:J143"/>
    <mergeCell ref="A114:A115"/>
    <mergeCell ref="B114:D114"/>
    <mergeCell ref="E114:G114"/>
    <mergeCell ref="H114:I114"/>
    <mergeCell ref="J114:J115"/>
    <mergeCell ref="A86:A87"/>
    <mergeCell ref="B86:D86"/>
    <mergeCell ref="E86:G86"/>
    <mergeCell ref="H86:I86"/>
    <mergeCell ref="J86:J87"/>
    <mergeCell ref="B2:D2"/>
    <mergeCell ref="E2:G2"/>
    <mergeCell ref="H2:I2"/>
    <mergeCell ref="A2:A3"/>
    <mergeCell ref="J2:J3"/>
    <mergeCell ref="A30:A31"/>
    <mergeCell ref="B30:D30"/>
    <mergeCell ref="E30:G30"/>
    <mergeCell ref="H30:I30"/>
    <mergeCell ref="J30:J31"/>
    <mergeCell ref="A58:A59"/>
    <mergeCell ref="B58:D58"/>
    <mergeCell ref="E58:G58"/>
    <mergeCell ref="H58:I58"/>
    <mergeCell ref="J58:J59"/>
    <mergeCell ref="A281:A282"/>
    <mergeCell ref="B281:D281"/>
    <mergeCell ref="E281:G281"/>
    <mergeCell ref="H281:I281"/>
    <mergeCell ref="J281:J282"/>
    <mergeCell ref="A309:A310"/>
    <mergeCell ref="B309:D309"/>
    <mergeCell ref="E309:G309"/>
    <mergeCell ref="H309:I309"/>
    <mergeCell ref="J309:J310"/>
  </mergeCells>
  <phoneticPr fontId="2" type="noConversion"/>
  <printOptions horizontalCentered="1" verticalCentered="1"/>
  <pageMargins left="0.7" right="0.7" top="0.75" bottom="0.75" header="0.3" footer="0.3"/>
  <pageSetup paperSize="9" scale="1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"/>
  <sheetViews>
    <sheetView tabSelected="1" topLeftCell="B261" workbookViewId="0">
      <selection activeCell="O282" sqref="O282"/>
    </sheetView>
  </sheetViews>
  <sheetFormatPr defaultColWidth="9" defaultRowHeight="13.8"/>
  <cols>
    <col min="1" max="1" width="25.88671875" style="131" customWidth="1"/>
    <col min="2" max="2" width="9" style="131"/>
    <col min="3" max="3" width="14.5546875" style="131" customWidth="1"/>
    <col min="4" max="4" width="13.33203125" style="131" bestFit="1" customWidth="1"/>
    <col min="5" max="5" width="12.77734375" style="131" bestFit="1" customWidth="1"/>
    <col min="6" max="6" width="9" style="131"/>
    <col min="7" max="7" width="11.109375" style="131" bestFit="1" customWidth="1"/>
    <col min="8" max="8" width="13.33203125" style="131" bestFit="1" customWidth="1"/>
    <col min="9" max="9" width="11.109375" style="131" bestFit="1" customWidth="1"/>
    <col min="10" max="10" width="12.77734375" style="131" bestFit="1" customWidth="1"/>
    <col min="11" max="16384" width="9" style="131"/>
  </cols>
  <sheetData>
    <row r="1" spans="1:10" ht="26.4" thickBot="1">
      <c r="A1" s="285" t="s">
        <v>426</v>
      </c>
      <c r="B1" s="285"/>
      <c r="C1" s="285"/>
      <c r="D1" s="285"/>
      <c r="E1" s="285"/>
      <c r="F1" s="285"/>
      <c r="G1" s="285"/>
      <c r="H1" s="285"/>
      <c r="I1" s="285"/>
      <c r="J1" s="285"/>
    </row>
    <row r="2" spans="1:10" ht="15.6">
      <c r="A2" s="286" t="s">
        <v>45</v>
      </c>
      <c r="B2" s="288" t="s">
        <v>46</v>
      </c>
      <c r="C2" s="288"/>
      <c r="D2" s="288" t="s">
        <v>47</v>
      </c>
      <c r="E2" s="288"/>
      <c r="F2" s="288" t="s">
        <v>48</v>
      </c>
      <c r="G2" s="288"/>
      <c r="H2" s="289" t="s">
        <v>425</v>
      </c>
      <c r="I2" s="289"/>
      <c r="J2" s="4" t="s">
        <v>49</v>
      </c>
    </row>
    <row r="3" spans="1:10" ht="15.6">
      <c r="A3" s="287"/>
      <c r="B3" s="5" t="s">
        <v>50</v>
      </c>
      <c r="C3" s="6" t="s">
        <v>51</v>
      </c>
      <c r="D3" s="5" t="s">
        <v>50</v>
      </c>
      <c r="E3" s="6" t="s">
        <v>51</v>
      </c>
      <c r="F3" s="5" t="s">
        <v>50</v>
      </c>
      <c r="G3" s="6" t="s">
        <v>51</v>
      </c>
      <c r="H3" s="6" t="s">
        <v>50</v>
      </c>
      <c r="I3" s="6" t="s">
        <v>51</v>
      </c>
      <c r="J3" s="7" t="s">
        <v>52</v>
      </c>
    </row>
    <row r="4" spans="1:10" ht="15.6">
      <c r="A4" s="132" t="s">
        <v>434</v>
      </c>
      <c r="B4" s="5">
        <f>95/28179</f>
        <v>3.371304872422726E-3</v>
      </c>
      <c r="C4" s="9">
        <f>B4*C$20</f>
        <v>883.86332552610088</v>
      </c>
      <c r="D4" s="5">
        <f>5080/1281638</f>
        <v>3.9636777311534144E-3</v>
      </c>
      <c r="E4" s="9">
        <f>D4*E$20</f>
        <v>4225.8444927506835</v>
      </c>
      <c r="F4" s="5">
        <f>15/3791</f>
        <v>3.9567396465312581E-3</v>
      </c>
      <c r="G4" s="9">
        <f>F4*G$20</f>
        <v>2528.8165259825901</v>
      </c>
      <c r="H4" s="10">
        <f>0</f>
        <v>0</v>
      </c>
      <c r="I4" s="9">
        <f>H4*I$20</f>
        <v>0</v>
      </c>
      <c r="J4" s="11">
        <f>C4+E4+G4+I4</f>
        <v>7638.5243442593746</v>
      </c>
    </row>
    <row r="5" spans="1:10" ht="15.6">
      <c r="A5" s="132" t="s">
        <v>435</v>
      </c>
      <c r="B5" s="5">
        <f>4986/28179</f>
        <v>0.17694027467262854</v>
      </c>
      <c r="C5" s="9">
        <f t="shared" ref="C5:C19" si="0">B5*C$20</f>
        <v>46388.868853401465</v>
      </c>
      <c r="D5" s="5">
        <f>(438821+16827)/1281638</f>
        <v>0.35552004544184862</v>
      </c>
      <c r="E5" s="9">
        <f>D5*E$20+0.01</f>
        <v>379034.96894347703</v>
      </c>
      <c r="F5" s="5">
        <f>950/3791</f>
        <v>0.25059351094697968</v>
      </c>
      <c r="G5" s="9">
        <f>F5*G$20-0.01</f>
        <v>160158.36997889736</v>
      </c>
      <c r="H5" s="10">
        <f>16827/143520</f>
        <v>0.11724498327759197</v>
      </c>
      <c r="I5" s="9">
        <f t="shared" ref="I5:I19" si="1">H5*I$20</f>
        <v>10529.351038670569</v>
      </c>
      <c r="J5" s="11">
        <f>C5+E5+G5+I5-0.01</f>
        <v>596111.54881444632</v>
      </c>
    </row>
    <row r="6" spans="1:10" ht="15.6">
      <c r="A6" s="132" t="s">
        <v>436</v>
      </c>
      <c r="B6" s="5">
        <f>126/28179</f>
        <v>4.4714148834238262E-3</v>
      </c>
      <c r="C6" s="9">
        <f t="shared" si="0"/>
        <v>1172.2818843819864</v>
      </c>
      <c r="D6" s="5">
        <f>2591/1281638</f>
        <v>2.0216316931926178E-3</v>
      </c>
      <c r="E6" s="9">
        <f t="shared" ref="E6:E19" si="2">D6*E$20</f>
        <v>2155.3470631332721</v>
      </c>
      <c r="F6" s="5">
        <f>20/3791</f>
        <v>5.2756528620416781E-3</v>
      </c>
      <c r="G6" s="9">
        <f t="shared" ref="G6:G19" si="3">F6*G$20</f>
        <v>3371.7553679767875</v>
      </c>
      <c r="H6" s="10">
        <f>0</f>
        <v>0</v>
      </c>
      <c r="I6" s="9">
        <f t="shared" si="1"/>
        <v>0</v>
      </c>
      <c r="J6" s="11">
        <f>C6+E6+G6+I6+0.01</f>
        <v>6699.3943154920462</v>
      </c>
    </row>
    <row r="7" spans="1:10" ht="15.6">
      <c r="A7" s="132" t="s">
        <v>437</v>
      </c>
      <c r="B7" s="5">
        <f>447/28179</f>
        <v>1.5862876610241668E-2</v>
      </c>
      <c r="C7" s="9">
        <f t="shared" si="0"/>
        <v>4158.8095422122851</v>
      </c>
      <c r="D7" s="5">
        <f>(20052+6515)/1281638</f>
        <v>2.0728942181801727E-2</v>
      </c>
      <c r="E7" s="9">
        <f t="shared" si="2"/>
        <v>22100.002094273113</v>
      </c>
      <c r="F7" s="5">
        <f>380/3791</f>
        <v>0.10023740437879188</v>
      </c>
      <c r="G7" s="9">
        <f t="shared" si="3"/>
        <v>64063.351991558957</v>
      </c>
      <c r="H7" s="10">
        <f>6515/143520</f>
        <v>4.5394370122630992E-2</v>
      </c>
      <c r="I7" s="9">
        <f t="shared" si="1"/>
        <v>4076.7054149247492</v>
      </c>
      <c r="J7" s="11">
        <f t="shared" ref="J7:J20" si="4">C7+E7+G7+I7</f>
        <v>94398.86904296912</v>
      </c>
    </row>
    <row r="8" spans="1:10" ht="15.6">
      <c r="A8" s="132" t="s">
        <v>438</v>
      </c>
      <c r="B8" s="5">
        <f>7953/28179</f>
        <v>0.28223144895134678</v>
      </c>
      <c r="C8" s="9">
        <f>B8*C$20-0.01</f>
        <v>73993.306083253497</v>
      </c>
      <c r="D8" s="5">
        <f>(129615+38105)/1281638</f>
        <v>0.13086378524981312</v>
      </c>
      <c r="E8" s="9">
        <f t="shared" si="2"/>
        <v>139519.41699294184</v>
      </c>
      <c r="F8" s="5">
        <f>565/3791</f>
        <v>0.1490371933526774</v>
      </c>
      <c r="G8" s="9">
        <f t="shared" si="3"/>
        <v>95252.089145344231</v>
      </c>
      <c r="H8" s="10">
        <f>38105/143520</f>
        <v>0.26550306577480492</v>
      </c>
      <c r="I8" s="9">
        <f t="shared" si="1"/>
        <v>23843.877181229098</v>
      </c>
      <c r="J8" s="11">
        <f>C8+E8+G8+I8+0.01</f>
        <v>332608.69940276869</v>
      </c>
    </row>
    <row r="9" spans="1:10" ht="15.6">
      <c r="A9" s="132" t="s">
        <v>439</v>
      </c>
      <c r="B9" s="5">
        <f>5485/28179</f>
        <v>0.19464849710777529</v>
      </c>
      <c r="C9" s="9">
        <f t="shared" si="0"/>
        <v>51031.477268533301</v>
      </c>
      <c r="D9" s="5">
        <f>(173950+38105)/1281638</f>
        <v>0.16545623647238925</v>
      </c>
      <c r="E9" s="9">
        <f t="shared" si="2"/>
        <v>176399.89250201697</v>
      </c>
      <c r="F9" s="5">
        <f>575/3791</f>
        <v>0.15167501978369824</v>
      </c>
      <c r="G9" s="9">
        <f t="shared" si="3"/>
        <v>96937.966829332625</v>
      </c>
      <c r="H9" s="10">
        <f>38105/143520</f>
        <v>0.26550306577480492</v>
      </c>
      <c r="I9" s="9">
        <f t="shared" si="1"/>
        <v>23843.877181229098</v>
      </c>
      <c r="J9" s="11">
        <f>C9+E9+G9+I9+0.01</f>
        <v>348213.22378111206</v>
      </c>
    </row>
    <row r="10" spans="1:10" ht="15.6">
      <c r="A10" s="132" t="s">
        <v>440</v>
      </c>
      <c r="B10" s="5">
        <f>3749/28179</f>
        <v>0.13304233649171368</v>
      </c>
      <c r="C10" s="9">
        <f t="shared" si="0"/>
        <v>34880.037972603706</v>
      </c>
      <c r="D10" s="5">
        <f>(166260+31483)/1281638</f>
        <v>0.15428927669123418</v>
      </c>
      <c r="E10" s="9">
        <f t="shared" si="2"/>
        <v>164494.3243169288</v>
      </c>
      <c r="F10" s="5">
        <f>560/3791</f>
        <v>0.14771828013716698</v>
      </c>
      <c r="G10" s="9">
        <f t="shared" si="3"/>
        <v>94409.150303350034</v>
      </c>
      <c r="H10" s="10">
        <f>31483/143520</f>
        <v>0.21936315496098105</v>
      </c>
      <c r="I10" s="9">
        <f t="shared" si="1"/>
        <v>19700.217433319398</v>
      </c>
      <c r="J10" s="11">
        <f t="shared" si="4"/>
        <v>313483.73002620193</v>
      </c>
    </row>
    <row r="11" spans="1:10" ht="15.6">
      <c r="A11" s="132" t="s">
        <v>441</v>
      </c>
      <c r="B11" s="5">
        <f>849/28179</f>
        <v>3.0128819333546258E-2</v>
      </c>
      <c r="C11" s="9">
        <f t="shared" si="0"/>
        <v>7898.9469828595757</v>
      </c>
      <c r="D11" s="5">
        <f>(20380+12485)/1281638</f>
        <v>2.5642966266605702E-2</v>
      </c>
      <c r="E11" s="9">
        <f t="shared" si="2"/>
        <v>27339.051034301418</v>
      </c>
      <c r="F11" s="5">
        <f>335/3791</f>
        <v>8.8367185439198095E-2</v>
      </c>
      <c r="G11" s="9">
        <f t="shared" si="3"/>
        <v>56476.902413611177</v>
      </c>
      <c r="H11" s="10">
        <f>12485/143520</f>
        <v>8.6991360089186176E-2</v>
      </c>
      <c r="I11" s="9">
        <f t="shared" si="1"/>
        <v>7812.3817506270907</v>
      </c>
      <c r="J11" s="11">
        <f t="shared" si="4"/>
        <v>99527.282181399249</v>
      </c>
    </row>
    <row r="12" spans="1:10" ht="15.6">
      <c r="A12" s="132" t="s">
        <v>442</v>
      </c>
      <c r="B12" s="5">
        <f>0</f>
        <v>0</v>
      </c>
      <c r="C12" s="9">
        <f t="shared" si="0"/>
        <v>0</v>
      </c>
      <c r="D12" s="5">
        <f>1195/1281638</f>
        <v>9.3240056864730915E-4</v>
      </c>
      <c r="E12" s="9">
        <f t="shared" si="2"/>
        <v>994.07168677895015</v>
      </c>
      <c r="F12" s="5">
        <f>0</f>
        <v>0</v>
      </c>
      <c r="G12" s="9">
        <f t="shared" si="3"/>
        <v>0</v>
      </c>
      <c r="H12" s="10">
        <f>0</f>
        <v>0</v>
      </c>
      <c r="I12" s="9">
        <f t="shared" si="1"/>
        <v>0</v>
      </c>
      <c r="J12" s="11">
        <f t="shared" si="4"/>
        <v>994.07168677895015</v>
      </c>
    </row>
    <row r="13" spans="1:10" ht="15.6">
      <c r="A13" s="132" t="s">
        <v>443</v>
      </c>
      <c r="B13" s="5">
        <f>0</f>
        <v>0</v>
      </c>
      <c r="C13" s="9">
        <f t="shared" si="0"/>
        <v>0</v>
      </c>
      <c r="D13" s="5">
        <f>2995/1281638</f>
        <v>2.3368533080323772E-3</v>
      </c>
      <c r="E13" s="9">
        <f t="shared" si="2"/>
        <v>2491.4181605882472</v>
      </c>
      <c r="F13" s="5">
        <f>20/3791</f>
        <v>5.2756528620416781E-3</v>
      </c>
      <c r="G13" s="9">
        <f t="shared" si="3"/>
        <v>3371.7553679767875</v>
      </c>
      <c r="H13" s="10">
        <f>0</f>
        <v>0</v>
      </c>
      <c r="I13" s="9">
        <f t="shared" si="1"/>
        <v>0</v>
      </c>
      <c r="J13" s="11">
        <f>C13+E13+G13+I13+0.01</f>
        <v>5863.183528565035</v>
      </c>
    </row>
    <row r="14" spans="1:10" ht="15.6">
      <c r="A14" s="133" t="s">
        <v>444</v>
      </c>
      <c r="B14" s="5">
        <f>27/28179</f>
        <v>9.5816033216224845E-4</v>
      </c>
      <c r="C14" s="9">
        <f t="shared" si="0"/>
        <v>251.20326093899709</v>
      </c>
      <c r="D14" s="5">
        <f>19066/1281638</f>
        <v>1.4876275516175394E-2</v>
      </c>
      <c r="E14" s="9">
        <f t="shared" si="2"/>
        <v>15860.226594248923</v>
      </c>
      <c r="F14" s="5">
        <f>0</f>
        <v>0</v>
      </c>
      <c r="G14" s="9">
        <f t="shared" si="3"/>
        <v>0</v>
      </c>
      <c r="H14" s="10">
        <v>0</v>
      </c>
      <c r="I14" s="9">
        <f t="shared" si="1"/>
        <v>0</v>
      </c>
      <c r="J14" s="11">
        <f t="shared" si="4"/>
        <v>16111.42985518792</v>
      </c>
    </row>
    <row r="15" spans="1:10" ht="15.6">
      <c r="A15" s="8" t="s">
        <v>427</v>
      </c>
      <c r="B15" s="5">
        <f>1982/28179</f>
        <v>7.0336065864650979E-2</v>
      </c>
      <c r="C15" s="9">
        <f t="shared" si="0"/>
        <v>18440.180117818232</v>
      </c>
      <c r="D15" s="5">
        <f>69007/1281638</f>
        <v>5.3842816770414109E-2</v>
      </c>
      <c r="E15" s="9">
        <f t="shared" si="2"/>
        <v>57404.104510087876</v>
      </c>
      <c r="F15" s="5">
        <v>0</v>
      </c>
      <c r="G15" s="9">
        <f t="shared" si="3"/>
        <v>0</v>
      </c>
      <c r="H15" s="10">
        <v>0</v>
      </c>
      <c r="I15" s="9">
        <f t="shared" si="1"/>
        <v>0</v>
      </c>
      <c r="J15" s="11">
        <f t="shared" si="4"/>
        <v>75844.284627906105</v>
      </c>
    </row>
    <row r="16" spans="1:10" ht="15.6">
      <c r="A16" s="134" t="s">
        <v>445</v>
      </c>
      <c r="B16" s="5">
        <f>564/28179</f>
        <v>2.0014904716278079E-2</v>
      </c>
      <c r="C16" s="9">
        <f t="shared" si="0"/>
        <v>5247.3570062812723</v>
      </c>
      <c r="D16" s="5">
        <f>59492/1281638</f>
        <v>4.6418723539720264E-2</v>
      </c>
      <c r="E16" s="9">
        <f t="shared" si="2"/>
        <v>49488.964677701508</v>
      </c>
      <c r="F16" s="5">
        <v>0</v>
      </c>
      <c r="G16" s="9">
        <f t="shared" si="3"/>
        <v>0</v>
      </c>
      <c r="H16" s="10">
        <v>0</v>
      </c>
      <c r="I16" s="9">
        <f t="shared" si="1"/>
        <v>0</v>
      </c>
      <c r="J16" s="11">
        <f t="shared" si="4"/>
        <v>54736.32168398278</v>
      </c>
    </row>
    <row r="17" spans="1:10" ht="15.6" hidden="1">
      <c r="A17" s="135" t="s">
        <v>428</v>
      </c>
      <c r="B17" s="19"/>
      <c r="C17" s="9">
        <f t="shared" si="0"/>
        <v>0</v>
      </c>
      <c r="D17" s="19"/>
      <c r="E17" s="9">
        <f t="shared" si="2"/>
        <v>0</v>
      </c>
      <c r="F17" s="19"/>
      <c r="G17" s="9">
        <f t="shared" si="3"/>
        <v>0</v>
      </c>
      <c r="H17" s="20"/>
      <c r="I17" s="9">
        <f t="shared" si="1"/>
        <v>0</v>
      </c>
      <c r="J17" s="11">
        <f t="shared" si="4"/>
        <v>0</v>
      </c>
    </row>
    <row r="18" spans="1:10" ht="15.6">
      <c r="A18" s="8" t="s">
        <v>429</v>
      </c>
      <c r="B18" s="5">
        <f>1655/28179</f>
        <v>5.8731679619574859E-2</v>
      </c>
      <c r="C18" s="9">
        <f t="shared" si="0"/>
        <v>15397.8295131126</v>
      </c>
      <c r="D18" s="5">
        <f>8413/1281638</f>
        <v>6.5642560535814328E-3</v>
      </c>
      <c r="E18" s="9">
        <f t="shared" si="2"/>
        <v>6998.4310467542327</v>
      </c>
      <c r="F18" s="5">
        <f>371/3791</f>
        <v>9.7863360590873125E-2</v>
      </c>
      <c r="G18" s="9">
        <f t="shared" si="3"/>
        <v>62546.062075969399</v>
      </c>
      <c r="H18" s="10">
        <v>0</v>
      </c>
      <c r="I18" s="9">
        <f t="shared" si="1"/>
        <v>0</v>
      </c>
      <c r="J18" s="11">
        <f t="shared" si="4"/>
        <v>84942.32263583623</v>
      </c>
    </row>
    <row r="19" spans="1:10" ht="15.6">
      <c r="A19" s="8" t="s">
        <v>53</v>
      </c>
      <c r="B19" s="5">
        <f>261/28179</f>
        <v>9.2622165442350687E-3</v>
      </c>
      <c r="C19" s="9">
        <f t="shared" si="0"/>
        <v>2428.298189076972</v>
      </c>
      <c r="D19" s="5">
        <f>21201/1281638</f>
        <v>1.6542112515390461E-2</v>
      </c>
      <c r="E19" s="9">
        <f t="shared" si="2"/>
        <v>17636.245884017171</v>
      </c>
      <c r="F19" s="5">
        <v>0</v>
      </c>
      <c r="G19" s="9">
        <f t="shared" si="3"/>
        <v>0</v>
      </c>
      <c r="H19" s="10">
        <v>0</v>
      </c>
      <c r="I19" s="9">
        <f t="shared" si="1"/>
        <v>0</v>
      </c>
      <c r="J19" s="11">
        <f>C19+E19+G19+I19+0.01</f>
        <v>20064.554073094143</v>
      </c>
    </row>
    <row r="20" spans="1:10" ht="16.2" thickBot="1">
      <c r="A20" s="12" t="s">
        <v>54</v>
      </c>
      <c r="B20" s="13">
        <f>SUM(B4:B19)</f>
        <v>1</v>
      </c>
      <c r="C20" s="14">
        <v>262172.46999999997</v>
      </c>
      <c r="D20" s="13">
        <f>SUM(D4:D19)</f>
        <v>1</v>
      </c>
      <c r="E20" s="14">
        <v>1066142.3</v>
      </c>
      <c r="F20" s="13">
        <f>SUM(F4:F19)</f>
        <v>0.99999999999999989</v>
      </c>
      <c r="G20" s="14">
        <v>639116.23</v>
      </c>
      <c r="H20" s="15">
        <f>SUM(H4:H19)</f>
        <v>1</v>
      </c>
      <c r="I20" s="14">
        <v>89806.41</v>
      </c>
      <c r="J20" s="11">
        <f t="shared" si="4"/>
        <v>2057237.41</v>
      </c>
    </row>
    <row r="21" spans="1:10" ht="15.6">
      <c r="A21" s="136" t="s">
        <v>430</v>
      </c>
      <c r="B21" s="16"/>
      <c r="C21" s="17"/>
      <c r="D21" s="16"/>
      <c r="E21" s="17"/>
      <c r="F21" s="16"/>
      <c r="G21" s="17"/>
      <c r="H21" s="17"/>
      <c r="I21" s="17"/>
      <c r="J21" s="18"/>
    </row>
    <row r="22" spans="1:10" ht="15.6">
      <c r="A22" s="136" t="s">
        <v>431</v>
      </c>
      <c r="B22" s="16"/>
      <c r="C22" s="17"/>
      <c r="D22" s="16"/>
      <c r="E22" s="17"/>
      <c r="F22" s="16"/>
      <c r="G22" s="17"/>
      <c r="H22" s="17"/>
      <c r="I22" s="17"/>
      <c r="J22" s="18"/>
    </row>
    <row r="25" spans="1:10" ht="26.4" thickBot="1">
      <c r="A25" s="285" t="s">
        <v>446</v>
      </c>
      <c r="B25" s="285"/>
      <c r="C25" s="285"/>
      <c r="D25" s="285"/>
      <c r="E25" s="285"/>
      <c r="F25" s="285"/>
      <c r="G25" s="285"/>
      <c r="H25" s="285"/>
      <c r="I25" s="285"/>
      <c r="J25" s="285"/>
    </row>
    <row r="26" spans="1:10" ht="15.6">
      <c r="A26" s="286" t="s">
        <v>45</v>
      </c>
      <c r="B26" s="288" t="s">
        <v>46</v>
      </c>
      <c r="C26" s="288"/>
      <c r="D26" s="288" t="s">
        <v>47</v>
      </c>
      <c r="E26" s="288"/>
      <c r="F26" s="288" t="s">
        <v>48</v>
      </c>
      <c r="G26" s="288"/>
      <c r="H26" s="289" t="s">
        <v>433</v>
      </c>
      <c r="I26" s="289"/>
      <c r="J26" s="4" t="s">
        <v>49</v>
      </c>
    </row>
    <row r="27" spans="1:10" ht="15.6">
      <c r="A27" s="287"/>
      <c r="B27" s="5" t="s">
        <v>50</v>
      </c>
      <c r="C27" s="6" t="s">
        <v>51</v>
      </c>
      <c r="D27" s="5" t="s">
        <v>50</v>
      </c>
      <c r="E27" s="6" t="s">
        <v>51</v>
      </c>
      <c r="F27" s="5" t="s">
        <v>50</v>
      </c>
      <c r="G27" s="6" t="s">
        <v>51</v>
      </c>
      <c r="H27" s="6" t="s">
        <v>50</v>
      </c>
      <c r="I27" s="6" t="s">
        <v>51</v>
      </c>
      <c r="J27" s="7" t="s">
        <v>52</v>
      </c>
    </row>
    <row r="28" spans="1:10" ht="15.6">
      <c r="A28" s="132" t="s">
        <v>434</v>
      </c>
      <c r="B28" s="5">
        <f>74/21220</f>
        <v>3.4872761545711593E-3</v>
      </c>
      <c r="C28" s="9">
        <f>B28*C$44</f>
        <v>775.54779359095198</v>
      </c>
      <c r="D28" s="5">
        <f>4420/929698</f>
        <v>4.7542320194299652E-3</v>
      </c>
      <c r="E28" s="9">
        <f>D28*E$44</f>
        <v>3854.0733831846469</v>
      </c>
      <c r="F28" s="5">
        <f>12/2686</f>
        <v>4.4676098287416231E-3</v>
      </c>
      <c r="G28" s="9">
        <f>F28*G$44</f>
        <v>2101.3961280714816</v>
      </c>
      <c r="H28" s="10">
        <v>0</v>
      </c>
      <c r="I28" s="9">
        <f>H28*I$44</f>
        <v>0</v>
      </c>
      <c r="J28" s="11">
        <f>I28+G28+E28+C28</f>
        <v>6731.0173048470806</v>
      </c>
    </row>
    <row r="29" spans="1:10" ht="15.6">
      <c r="A29" s="132" t="s">
        <v>435</v>
      </c>
      <c r="B29" s="5">
        <f>3787/21220</f>
        <v>0.17846371347785109</v>
      </c>
      <c r="C29" s="9">
        <f t="shared" ref="C29:C43" si="5">B29*C$44</f>
        <v>39689.182355796424</v>
      </c>
      <c r="D29" s="5">
        <f>(284206+9289)/929698</f>
        <v>0.3156885354168773</v>
      </c>
      <c r="E29" s="9">
        <f t="shared" ref="E29:E43" si="6">D29*E$44</f>
        <v>255916.57637958776</v>
      </c>
      <c r="F29" s="5">
        <f>525/2686</f>
        <v>0.19545793000744602</v>
      </c>
      <c r="G29" s="9">
        <f t="shared" ref="G29:G43" si="7">F29*G$44</f>
        <v>91936.080603127324</v>
      </c>
      <c r="H29" s="10">
        <f>9289/100440</f>
        <v>9.2483074472321777E-2</v>
      </c>
      <c r="I29" s="9">
        <f t="shared" ref="I29:I43" si="8">H29*I$44</f>
        <v>11723.105504082037</v>
      </c>
      <c r="J29" s="11">
        <f t="shared" ref="J29:J44" si="9">I29+G29+E29+C29</f>
        <v>399264.94484259351</v>
      </c>
    </row>
    <row r="30" spans="1:10" ht="15.6">
      <c r="A30" s="132" t="s">
        <v>436</v>
      </c>
      <c r="B30" s="5">
        <f>59/21220</f>
        <v>2.7803958529688971E-3</v>
      </c>
      <c r="C30" s="9">
        <f t="shared" si="5"/>
        <v>618.34215975494817</v>
      </c>
      <c r="D30" s="5">
        <f>1660/929698</f>
        <v>1.7855260525460957E-3</v>
      </c>
      <c r="E30" s="9">
        <f t="shared" si="6"/>
        <v>1447.4574244539624</v>
      </c>
      <c r="F30" s="5">
        <f>25/2686</f>
        <v>9.3075204765450479E-3</v>
      </c>
      <c r="G30" s="9">
        <f t="shared" si="7"/>
        <v>4377.9086001489204</v>
      </c>
      <c r="H30" s="10">
        <f>0</f>
        <v>0</v>
      </c>
      <c r="I30" s="9">
        <f t="shared" si="8"/>
        <v>0</v>
      </c>
      <c r="J30" s="11">
        <f t="shared" si="9"/>
        <v>6443.7081843578308</v>
      </c>
    </row>
    <row r="31" spans="1:10" ht="15.6">
      <c r="A31" s="132" t="s">
        <v>437</v>
      </c>
      <c r="B31" s="5">
        <f>531/21220</f>
        <v>2.5023562676720075E-2</v>
      </c>
      <c r="C31" s="9">
        <f t="shared" si="5"/>
        <v>5565.079437794534</v>
      </c>
      <c r="D31" s="5">
        <f>(18090+6270)/929698</f>
        <v>2.6202057012061981E-2</v>
      </c>
      <c r="E31" s="9">
        <f t="shared" si="6"/>
        <v>21241.001722709956</v>
      </c>
      <c r="F31" s="5">
        <f>360/2686</f>
        <v>0.13402829486224871</v>
      </c>
      <c r="G31" s="9">
        <f t="shared" si="7"/>
        <v>63041.88384214446</v>
      </c>
      <c r="H31" s="10">
        <f>6270/100440</f>
        <v>6.2425328554360809E-2</v>
      </c>
      <c r="I31" s="9">
        <f t="shared" si="8"/>
        <v>7913.0015621266421</v>
      </c>
      <c r="J31" s="11">
        <f t="shared" si="9"/>
        <v>97760.96656477559</v>
      </c>
    </row>
    <row r="32" spans="1:10" ht="15.6">
      <c r="A32" s="132" t="s">
        <v>438</v>
      </c>
      <c r="B32" s="5">
        <f>6740/21220</f>
        <v>0.31762488218661639</v>
      </c>
      <c r="C32" s="9">
        <f t="shared" si="5"/>
        <v>70637.731470311031</v>
      </c>
      <c r="D32" s="5">
        <f>(101678+28681)/929698</f>
        <v>0.14021650041196174</v>
      </c>
      <c r="E32" s="9">
        <f t="shared" si="6"/>
        <v>113668.13397252656</v>
      </c>
      <c r="F32" s="5">
        <f>385/2686</f>
        <v>0.14333581533879375</v>
      </c>
      <c r="G32" s="9">
        <f t="shared" si="7"/>
        <v>67419.792442293372</v>
      </c>
      <c r="H32" s="10">
        <f>28681/100440</f>
        <v>0.28555356431700518</v>
      </c>
      <c r="I32" s="9">
        <f t="shared" si="8"/>
        <v>36196.618469434492</v>
      </c>
      <c r="J32" s="11">
        <f>I32+G32+E32+C32-0.01</f>
        <v>287922.26635456545</v>
      </c>
    </row>
    <row r="33" spans="1:10" ht="15.6">
      <c r="A33" s="132" t="s">
        <v>439</v>
      </c>
      <c r="B33" s="5">
        <f>3406/21220</f>
        <v>0.16050895381715363</v>
      </c>
      <c r="C33" s="9">
        <f t="shared" si="5"/>
        <v>35696.159256361927</v>
      </c>
      <c r="D33" s="5">
        <f>(27171+120812)/929698</f>
        <v>0.15917319387586076</v>
      </c>
      <c r="E33" s="9">
        <f t="shared" si="6"/>
        <v>129035.59761624743</v>
      </c>
      <c r="F33" s="5">
        <f>379/2686</f>
        <v>0.14110201042442294</v>
      </c>
      <c r="G33" s="9">
        <f t="shared" si="7"/>
        <v>66369.094378257636</v>
      </c>
      <c r="H33" s="10">
        <f>27171/100440</f>
        <v>0.27051971326164875</v>
      </c>
      <c r="I33" s="9">
        <f t="shared" si="8"/>
        <v>34290.93547759857</v>
      </c>
      <c r="J33" s="11">
        <f t="shared" si="9"/>
        <v>265391.78672846558</v>
      </c>
    </row>
    <row r="34" spans="1:10" ht="15.6">
      <c r="A34" s="132" t="s">
        <v>440</v>
      </c>
      <c r="B34" s="5">
        <f>2047/21220</f>
        <v>9.6465598491988686E-2</v>
      </c>
      <c r="C34" s="9">
        <f t="shared" si="5"/>
        <v>21453.328830819981</v>
      </c>
      <c r="D34" s="5">
        <f>(121287+19740)/929698</f>
        <v>0.15169119434483025</v>
      </c>
      <c r="E34" s="9">
        <f t="shared" si="6"/>
        <v>122970.22783040299</v>
      </c>
      <c r="F34" s="5">
        <f>425/2686</f>
        <v>0.15822784810126583</v>
      </c>
      <c r="G34" s="9">
        <f t="shared" si="7"/>
        <v>74424.446202531646</v>
      </c>
      <c r="H34" s="10">
        <f>19740/100440</f>
        <v>0.1965352449223417</v>
      </c>
      <c r="I34" s="9">
        <f t="shared" si="8"/>
        <v>24912.703482676225</v>
      </c>
      <c r="J34" s="11">
        <f t="shared" si="9"/>
        <v>243760.70634643084</v>
      </c>
    </row>
    <row r="35" spans="1:10" ht="15.6">
      <c r="A35" s="132" t="s">
        <v>441</v>
      </c>
      <c r="B35" s="5">
        <f>550/21220</f>
        <v>2.5918944392082942E-2</v>
      </c>
      <c r="C35" s="9">
        <f t="shared" si="5"/>
        <v>5764.2065739868058</v>
      </c>
      <c r="D35" s="5">
        <f>(17119+9289)/929698</f>
        <v>2.8404922888938127E-2</v>
      </c>
      <c r="E35" s="9">
        <f t="shared" si="6"/>
        <v>23026.780521072433</v>
      </c>
      <c r="F35" s="5">
        <f>226/2686</f>
        <v>8.4139985107967233E-2</v>
      </c>
      <c r="G35" s="9">
        <f t="shared" si="7"/>
        <v>39576.293745346236</v>
      </c>
      <c r="H35" s="10">
        <f>9289/100440</f>
        <v>9.2483074472321777E-2</v>
      </c>
      <c r="I35" s="9">
        <f t="shared" si="8"/>
        <v>11723.105504082037</v>
      </c>
      <c r="J35" s="11">
        <f t="shared" si="9"/>
        <v>80090.386344487517</v>
      </c>
    </row>
    <row r="36" spans="1:10" ht="15.6">
      <c r="A36" s="132" t="s">
        <v>442</v>
      </c>
      <c r="B36" s="5">
        <f>0</f>
        <v>0</v>
      </c>
      <c r="C36" s="9">
        <f t="shared" si="5"/>
        <v>0</v>
      </c>
      <c r="D36" s="5">
        <f>4410/929698</f>
        <v>4.7434758383905311E-3</v>
      </c>
      <c r="E36" s="9">
        <f t="shared" si="6"/>
        <v>3845.3537601457679</v>
      </c>
      <c r="F36" s="5">
        <f>0</f>
        <v>0</v>
      </c>
      <c r="G36" s="9">
        <f t="shared" si="7"/>
        <v>0</v>
      </c>
      <c r="H36" s="10">
        <v>0</v>
      </c>
      <c r="I36" s="9">
        <f t="shared" si="8"/>
        <v>0</v>
      </c>
      <c r="J36" s="11">
        <f t="shared" si="9"/>
        <v>3845.3537601457679</v>
      </c>
    </row>
    <row r="37" spans="1:10" ht="15.6">
      <c r="A37" s="132" t="s">
        <v>443</v>
      </c>
      <c r="B37" s="5">
        <f>0</f>
        <v>0</v>
      </c>
      <c r="C37" s="9">
        <f t="shared" si="5"/>
        <v>0</v>
      </c>
      <c r="D37" s="5">
        <f>4980/929698</f>
        <v>5.3565781576382868E-3</v>
      </c>
      <c r="E37" s="9">
        <f t="shared" si="6"/>
        <v>4342.372273361887</v>
      </c>
      <c r="F37" s="5">
        <f>20/2686</f>
        <v>7.446016381236039E-3</v>
      </c>
      <c r="G37" s="9">
        <f t="shared" si="7"/>
        <v>3502.3268801191366</v>
      </c>
      <c r="H37" s="10">
        <v>0</v>
      </c>
      <c r="I37" s="9">
        <f t="shared" si="8"/>
        <v>0</v>
      </c>
      <c r="J37" s="11">
        <f t="shared" si="9"/>
        <v>7844.699153481024</v>
      </c>
    </row>
    <row r="38" spans="1:10" ht="15.6">
      <c r="A38" s="133" t="s">
        <v>444</v>
      </c>
      <c r="B38" s="5">
        <f>42/21220</f>
        <v>1.9792648444863338E-3</v>
      </c>
      <c r="C38" s="9">
        <f t="shared" si="5"/>
        <v>440.1757747408106</v>
      </c>
      <c r="D38" s="5">
        <f>18676/929698</f>
        <v>2.0088243709247521E-2</v>
      </c>
      <c r="E38" s="9">
        <f t="shared" si="6"/>
        <v>16284.767987410967</v>
      </c>
      <c r="F38" s="5">
        <f>0</f>
        <v>0</v>
      </c>
      <c r="G38" s="9">
        <f t="shared" si="7"/>
        <v>0</v>
      </c>
      <c r="H38" s="10">
        <v>0</v>
      </c>
      <c r="I38" s="9">
        <f t="shared" si="8"/>
        <v>0</v>
      </c>
      <c r="J38" s="11">
        <f t="shared" si="9"/>
        <v>16724.943762151779</v>
      </c>
    </row>
    <row r="39" spans="1:10" ht="15.6">
      <c r="A39" s="8" t="s">
        <v>427</v>
      </c>
      <c r="B39" s="5">
        <f>1783/21220</f>
        <v>8.4024505183788872E-2</v>
      </c>
      <c r="C39" s="9">
        <f t="shared" si="5"/>
        <v>18686.509675306315</v>
      </c>
      <c r="D39" s="5">
        <f>50466/929698</f>
        <v>5.4282143233609192E-2</v>
      </c>
      <c r="E39" s="9">
        <f t="shared" si="6"/>
        <v>44004.449628008231</v>
      </c>
      <c r="F39" s="5">
        <v>0</v>
      </c>
      <c r="G39" s="9">
        <f t="shared" si="7"/>
        <v>0</v>
      </c>
      <c r="H39" s="10">
        <v>0</v>
      </c>
      <c r="I39" s="9">
        <f t="shared" si="8"/>
        <v>0</v>
      </c>
      <c r="J39" s="11">
        <f t="shared" si="9"/>
        <v>62690.95930331455</v>
      </c>
    </row>
    <row r="40" spans="1:10" ht="15.6">
      <c r="A40" s="134" t="s">
        <v>445</v>
      </c>
      <c r="B40" s="5">
        <f>610/21220</f>
        <v>2.8746465598491987E-2</v>
      </c>
      <c r="C40" s="9">
        <f t="shared" si="5"/>
        <v>6393.0291093308197</v>
      </c>
      <c r="D40" s="5">
        <f>52808/929698</f>
        <v>5.6801240833044712E-2</v>
      </c>
      <c r="E40" s="9">
        <f t="shared" si="6"/>
        <v>46046.58534371377</v>
      </c>
      <c r="F40" s="5">
        <v>0</v>
      </c>
      <c r="G40" s="9">
        <f t="shared" si="7"/>
        <v>0</v>
      </c>
      <c r="H40" s="10">
        <v>0</v>
      </c>
      <c r="I40" s="9">
        <f t="shared" si="8"/>
        <v>0</v>
      </c>
      <c r="J40" s="11">
        <f t="shared" si="9"/>
        <v>52439.614453044589</v>
      </c>
    </row>
    <row r="41" spans="1:10" ht="15.6" hidden="1">
      <c r="A41" s="137" t="s">
        <v>428</v>
      </c>
      <c r="B41" s="35">
        <v>0</v>
      </c>
      <c r="C41" s="36">
        <f t="shared" si="5"/>
        <v>0</v>
      </c>
      <c r="D41" s="35">
        <v>0</v>
      </c>
      <c r="E41" s="36">
        <f t="shared" si="6"/>
        <v>0</v>
      </c>
      <c r="F41" s="35">
        <v>0</v>
      </c>
      <c r="G41" s="36">
        <f t="shared" si="7"/>
        <v>0</v>
      </c>
      <c r="H41" s="37">
        <v>0</v>
      </c>
      <c r="I41" s="36">
        <f t="shared" si="8"/>
        <v>0</v>
      </c>
      <c r="J41" s="38">
        <f t="shared" si="9"/>
        <v>0</v>
      </c>
    </row>
    <row r="42" spans="1:10" ht="15.6">
      <c r="A42" s="8" t="s">
        <v>429</v>
      </c>
      <c r="B42" s="5">
        <f>1344/21220</f>
        <v>6.3336475023562683E-2</v>
      </c>
      <c r="C42" s="9">
        <f t="shared" si="5"/>
        <v>14085.624791705939</v>
      </c>
      <c r="D42" s="5">
        <f>7667/929698</f>
        <v>8.2467640029342867E-3</v>
      </c>
      <c r="E42" s="9">
        <f t="shared" si="6"/>
        <v>6685.3349839087532</v>
      </c>
      <c r="F42" s="5">
        <f>329/2686</f>
        <v>0.12248696947133283</v>
      </c>
      <c r="G42" s="9">
        <f t="shared" si="7"/>
        <v>57613.27717795979</v>
      </c>
      <c r="H42" s="10">
        <v>0</v>
      </c>
      <c r="I42" s="9">
        <f t="shared" si="8"/>
        <v>0</v>
      </c>
      <c r="J42" s="11">
        <f t="shared" si="9"/>
        <v>78384.23695357448</v>
      </c>
    </row>
    <row r="43" spans="1:10" ht="15.6">
      <c r="A43" s="8" t="s">
        <v>53</v>
      </c>
      <c r="B43" s="5">
        <f>247/21220</f>
        <v>1.1639962299717248E-2</v>
      </c>
      <c r="C43" s="9">
        <f t="shared" si="5"/>
        <v>2588.6527704995287</v>
      </c>
      <c r="D43" s="5">
        <f>20979/929698</f>
        <v>2.256539220262924E-2</v>
      </c>
      <c r="E43" s="9">
        <f t="shared" si="6"/>
        <v>18292.897173264864</v>
      </c>
      <c r="F43" s="5">
        <v>0</v>
      </c>
      <c r="G43" s="9">
        <f t="shared" si="7"/>
        <v>0</v>
      </c>
      <c r="H43" s="10">
        <v>0</v>
      </c>
      <c r="I43" s="9">
        <f t="shared" si="8"/>
        <v>0</v>
      </c>
      <c r="J43" s="11">
        <f t="shared" si="9"/>
        <v>20881.549943764392</v>
      </c>
    </row>
    <row r="44" spans="1:10" ht="16.2" thickBot="1">
      <c r="A44" s="12" t="s">
        <v>54</v>
      </c>
      <c r="B44" s="13">
        <f>SUM(B28:B43)</f>
        <v>0.99999999999999989</v>
      </c>
      <c r="C44" s="14">
        <v>222393.57</v>
      </c>
      <c r="D44" s="13">
        <f>SUM(D28:D43)</f>
        <v>1.0000000000000002</v>
      </c>
      <c r="E44" s="14">
        <v>810661.61</v>
      </c>
      <c r="F44" s="13">
        <f>SUM(F28:F43)</f>
        <v>0.99999999999999989</v>
      </c>
      <c r="G44" s="14">
        <v>470362.5</v>
      </c>
      <c r="H44" s="15">
        <f>SUM(H28:H43)</f>
        <v>1</v>
      </c>
      <c r="I44" s="14">
        <v>126759.47</v>
      </c>
      <c r="J44" s="11">
        <f t="shared" si="9"/>
        <v>1630177.1500000001</v>
      </c>
    </row>
    <row r="45" spans="1:10" ht="15.6">
      <c r="A45" s="136" t="s">
        <v>430</v>
      </c>
      <c r="B45" s="16"/>
      <c r="C45" s="17"/>
      <c r="D45" s="16"/>
      <c r="E45" s="17"/>
      <c r="F45" s="16"/>
      <c r="G45" s="17"/>
      <c r="H45" s="17"/>
      <c r="I45" s="17"/>
      <c r="J45" s="18"/>
    </row>
    <row r="46" spans="1:10" ht="15.6">
      <c r="A46" s="136" t="s">
        <v>431</v>
      </c>
      <c r="B46" s="16"/>
      <c r="C46" s="17"/>
      <c r="D46" s="16"/>
      <c r="E46" s="17"/>
      <c r="F46" s="16"/>
      <c r="G46" s="17"/>
      <c r="H46" s="17"/>
      <c r="I46" s="17"/>
      <c r="J46" s="18"/>
    </row>
    <row r="49" spans="1:10" ht="26.4" thickBot="1">
      <c r="A49" s="285" t="s">
        <v>432</v>
      </c>
      <c r="B49" s="285"/>
      <c r="C49" s="285"/>
      <c r="D49" s="285"/>
      <c r="E49" s="285"/>
      <c r="F49" s="285"/>
      <c r="G49" s="285"/>
      <c r="H49" s="285"/>
      <c r="I49" s="285"/>
      <c r="J49" s="285"/>
    </row>
    <row r="50" spans="1:10" ht="15.6">
      <c r="A50" s="286" t="s">
        <v>45</v>
      </c>
      <c r="B50" s="288" t="s">
        <v>46</v>
      </c>
      <c r="C50" s="288"/>
      <c r="D50" s="288" t="s">
        <v>47</v>
      </c>
      <c r="E50" s="288"/>
      <c r="F50" s="288" t="s">
        <v>48</v>
      </c>
      <c r="G50" s="288"/>
      <c r="H50" s="289" t="s">
        <v>433</v>
      </c>
      <c r="I50" s="289"/>
      <c r="J50" s="4" t="s">
        <v>49</v>
      </c>
    </row>
    <row r="51" spans="1:10" ht="15.6">
      <c r="A51" s="287"/>
      <c r="B51" s="5" t="s">
        <v>50</v>
      </c>
      <c r="C51" s="6" t="s">
        <v>51</v>
      </c>
      <c r="D51" s="5" t="s">
        <v>50</v>
      </c>
      <c r="E51" s="6" t="s">
        <v>51</v>
      </c>
      <c r="F51" s="5" t="s">
        <v>50</v>
      </c>
      <c r="G51" s="6" t="s">
        <v>51</v>
      </c>
      <c r="H51" s="6" t="s">
        <v>50</v>
      </c>
      <c r="I51" s="6" t="s">
        <v>51</v>
      </c>
      <c r="J51" s="7" t="s">
        <v>52</v>
      </c>
    </row>
    <row r="52" spans="1:10" ht="15.6">
      <c r="A52" s="132" t="s">
        <v>434</v>
      </c>
      <c r="B52" s="5">
        <f>89/24644</f>
        <v>3.6114267164421361E-3</v>
      </c>
      <c r="C52" s="9">
        <f>B52*C$68</f>
        <v>1118.1038147216361</v>
      </c>
      <c r="D52" s="5">
        <f>4188/1128813</f>
        <v>3.7100919284239284E-3</v>
      </c>
      <c r="E52" s="9">
        <f>D52*E$68</f>
        <v>3617.4623971552419</v>
      </c>
      <c r="F52" s="130">
        <f>17/3625</f>
        <v>4.6896551724137934E-3</v>
      </c>
      <c r="G52" s="138">
        <f>F52*G$68</f>
        <v>2873.2736882758622</v>
      </c>
      <c r="H52" s="10">
        <v>0</v>
      </c>
      <c r="I52" s="9">
        <f>H52*I$68</f>
        <v>0</v>
      </c>
      <c r="J52" s="11">
        <f>I52+G52+E52+C52</f>
        <v>7608.8399001527405</v>
      </c>
    </row>
    <row r="53" spans="1:10" ht="15.6">
      <c r="A53" s="132" t="s">
        <v>435</v>
      </c>
      <c r="B53" s="5">
        <f>4528/24644</f>
        <v>0.183736406427528</v>
      </c>
      <c r="C53" s="9">
        <f t="shared" ref="C53:C67" si="10">B53*C$68</f>
        <v>56885.101944489536</v>
      </c>
      <c r="D53" s="5">
        <f>(354751+20025)/1128813</f>
        <v>0.33200893327769965</v>
      </c>
      <c r="E53" s="9">
        <f t="shared" ref="E53:E67" si="11">D53*E$68</f>
        <v>323719.6961213593</v>
      </c>
      <c r="F53" s="130">
        <f>939/3625</f>
        <v>0.25903448275862068</v>
      </c>
      <c r="G53" s="138">
        <f t="shared" ref="G53:G67" si="12">F53*G$68</f>
        <v>158706.11725241379</v>
      </c>
      <c r="H53" s="10">
        <f>20025/149040</f>
        <v>0.13435990338164253</v>
      </c>
      <c r="I53" s="9">
        <f t="shared" ref="I53:I67" si="13">H53*I$68</f>
        <v>18159.522916666669</v>
      </c>
      <c r="J53" s="11">
        <f t="shared" ref="J53:J68" si="14">I53+G53+E53+C53</f>
        <v>557470.43823492934</v>
      </c>
    </row>
    <row r="54" spans="1:10" ht="15.6">
      <c r="A54" s="132" t="s">
        <v>436</v>
      </c>
      <c r="B54" s="5">
        <f>163/24644</f>
        <v>6.6141860087648111E-3</v>
      </c>
      <c r="C54" s="9">
        <f t="shared" si="10"/>
        <v>2047.7631662879403</v>
      </c>
      <c r="D54" s="5">
        <f>1733/1128813</f>
        <v>1.5352410009452408E-3</v>
      </c>
      <c r="E54" s="9">
        <f t="shared" si="11"/>
        <v>1496.9107770463308</v>
      </c>
      <c r="F54" s="130">
        <f>28/3625</f>
        <v>7.7241379310344829E-3</v>
      </c>
      <c r="G54" s="138">
        <f t="shared" si="12"/>
        <v>4732.4507806896554</v>
      </c>
      <c r="H54" s="10">
        <v>0</v>
      </c>
      <c r="I54" s="9">
        <f t="shared" si="13"/>
        <v>0</v>
      </c>
      <c r="J54" s="11">
        <f t="shared" si="14"/>
        <v>8277.1247240239263</v>
      </c>
    </row>
    <row r="55" spans="1:10" ht="15.6">
      <c r="A55" s="132" t="s">
        <v>437</v>
      </c>
      <c r="B55" s="5">
        <f>481/24644</f>
        <v>1.9517935400097386E-2</v>
      </c>
      <c r="C55" s="9">
        <f t="shared" si="10"/>
        <v>6042.7857851809767</v>
      </c>
      <c r="D55" s="5">
        <f>12473/1128813</f>
        <v>1.1049660129711475E-2</v>
      </c>
      <c r="E55" s="9">
        <f t="shared" si="11"/>
        <v>10773.784259722381</v>
      </c>
      <c r="F55" s="130">
        <f>214/3625</f>
        <v>5.9034482758620686E-2</v>
      </c>
      <c r="G55" s="138">
        <f t="shared" si="12"/>
        <v>36169.445252413789</v>
      </c>
      <c r="H55" s="10">
        <v>0</v>
      </c>
      <c r="I55" s="9">
        <f t="shared" si="13"/>
        <v>0</v>
      </c>
      <c r="J55" s="11">
        <f t="shared" si="14"/>
        <v>52986.015297317143</v>
      </c>
    </row>
    <row r="56" spans="1:10" ht="15.6">
      <c r="A56" s="132" t="s">
        <v>438</v>
      </c>
      <c r="B56" s="5">
        <f>7676/24644</f>
        <v>0.31147540983606559</v>
      </c>
      <c r="C56" s="9">
        <f t="shared" si="10"/>
        <v>96433.313278688525</v>
      </c>
      <c r="D56" s="5">
        <f>(124038+44626)/1128813</f>
        <v>0.14941713109257246</v>
      </c>
      <c r="E56" s="9">
        <f t="shared" si="11"/>
        <v>145686.647028126</v>
      </c>
      <c r="F56" s="130">
        <f>606/3625</f>
        <v>0.16717241379310344</v>
      </c>
      <c r="G56" s="138">
        <f t="shared" si="12"/>
        <v>102423.75618206896</v>
      </c>
      <c r="H56" s="10">
        <f>44626/149040</f>
        <v>0.29942297369833604</v>
      </c>
      <c r="I56" s="9">
        <f t="shared" si="13"/>
        <v>40468.75753703704</v>
      </c>
      <c r="J56" s="11">
        <f t="shared" si="14"/>
        <v>385012.47402592056</v>
      </c>
    </row>
    <row r="57" spans="1:10" ht="15.6">
      <c r="A57" s="132" t="s">
        <v>439</v>
      </c>
      <c r="B57" s="5">
        <f>4969/24644</f>
        <v>0.20163122869664016</v>
      </c>
      <c r="C57" s="9">
        <f t="shared" si="10"/>
        <v>62425.369161256291</v>
      </c>
      <c r="D57" s="5">
        <f>(161211+46486)/1128813</f>
        <v>0.18399593200999634</v>
      </c>
      <c r="E57" s="9">
        <f t="shared" si="11"/>
        <v>179402.12213513663</v>
      </c>
      <c r="F57" s="130">
        <f>646/3625</f>
        <v>0.17820689655172414</v>
      </c>
      <c r="G57" s="138">
        <f t="shared" si="12"/>
        <v>109184.40015448276</v>
      </c>
      <c r="H57" s="10">
        <f>46486/149040</f>
        <v>0.31190284487385939</v>
      </c>
      <c r="I57" s="9">
        <f t="shared" si="13"/>
        <v>42155.484759259263</v>
      </c>
      <c r="J57" s="11">
        <f t="shared" si="14"/>
        <v>393167.37621013494</v>
      </c>
    </row>
    <row r="58" spans="1:10" ht="15.6">
      <c r="A58" s="132" t="s">
        <v>440</v>
      </c>
      <c r="B58" s="5">
        <f>1897/24644</f>
        <v>7.6976140236974522E-2</v>
      </c>
      <c r="C58" s="9">
        <f t="shared" si="10"/>
        <v>23831.943107044313</v>
      </c>
      <c r="D58" s="5">
        <f>(139906+21454)/1128813</f>
        <v>0.14294661737595155</v>
      </c>
      <c r="E58" s="9">
        <f t="shared" si="11"/>
        <v>139377.68204512174</v>
      </c>
      <c r="F58" s="130">
        <f>388/3625</f>
        <v>0.10703448275862069</v>
      </c>
      <c r="G58" s="138">
        <f t="shared" si="12"/>
        <v>65578.246532413788</v>
      </c>
      <c r="H58" s="10">
        <f>21454/149040</f>
        <v>0.14394793344068707</v>
      </c>
      <c r="I58" s="9">
        <f t="shared" si="13"/>
        <v>19455.400981481482</v>
      </c>
      <c r="J58" s="11">
        <f t="shared" si="14"/>
        <v>248243.27266606133</v>
      </c>
    </row>
    <row r="59" spans="1:10" ht="15.6">
      <c r="A59" s="132" t="s">
        <v>441</v>
      </c>
      <c r="B59" s="5">
        <f>831/24644</f>
        <v>3.3720175296218145E-2</v>
      </c>
      <c r="C59" s="9">
        <f t="shared" si="10"/>
        <v>10439.823258805389</v>
      </c>
      <c r="D59" s="5">
        <f>(28227+16449)/1128813</f>
        <v>3.9577857448487928E-2</v>
      </c>
      <c r="E59" s="9">
        <f t="shared" si="11"/>
        <v>38589.720643578701</v>
      </c>
      <c r="F59" s="130">
        <f>425/3625</f>
        <v>0.11724137931034483</v>
      </c>
      <c r="G59" s="138">
        <f t="shared" si="12"/>
        <v>71831.842206896545</v>
      </c>
      <c r="H59" s="10">
        <f>16449/149040</f>
        <v>0.11036634460547504</v>
      </c>
      <c r="I59" s="9">
        <f t="shared" si="13"/>
        <v>14916.653805555556</v>
      </c>
      <c r="J59" s="11">
        <f t="shared" si="14"/>
        <v>135778.03991483618</v>
      </c>
    </row>
    <row r="60" spans="1:10" ht="15.6">
      <c r="A60" s="132" t="s">
        <v>447</v>
      </c>
      <c r="B60" s="5">
        <v>0</v>
      </c>
      <c r="C60" s="9">
        <f t="shared" si="10"/>
        <v>0</v>
      </c>
      <c r="D60" s="5">
        <f>217/1128813</f>
        <v>1.9223733248996955E-4</v>
      </c>
      <c r="E60" s="9">
        <f t="shared" si="11"/>
        <v>187.43776031105241</v>
      </c>
      <c r="F60" s="130">
        <v>0</v>
      </c>
      <c r="G60" s="138">
        <f t="shared" si="12"/>
        <v>0</v>
      </c>
      <c r="H60" s="10">
        <v>0</v>
      </c>
      <c r="I60" s="9">
        <f t="shared" si="13"/>
        <v>0</v>
      </c>
      <c r="J60" s="11">
        <f t="shared" si="14"/>
        <v>187.43776031105241</v>
      </c>
    </row>
    <row r="61" spans="1:10" ht="15.6">
      <c r="A61" s="132" t="s">
        <v>443</v>
      </c>
      <c r="B61" s="5">
        <v>0</v>
      </c>
      <c r="C61" s="9">
        <f t="shared" si="10"/>
        <v>0</v>
      </c>
      <c r="D61" s="5">
        <f>7840/1128813</f>
        <v>6.9453487867343839E-3</v>
      </c>
      <c r="E61" s="9">
        <f t="shared" si="11"/>
        <v>6771.9448886573773</v>
      </c>
      <c r="F61" s="130">
        <f>20/3625</f>
        <v>5.5172413793103444E-3</v>
      </c>
      <c r="G61" s="138">
        <f t="shared" si="12"/>
        <v>3380.3219862068963</v>
      </c>
      <c r="H61" s="10">
        <v>0</v>
      </c>
      <c r="I61" s="9">
        <f t="shared" si="13"/>
        <v>0</v>
      </c>
      <c r="J61" s="11">
        <f t="shared" si="14"/>
        <v>10152.266874864274</v>
      </c>
    </row>
    <row r="62" spans="1:10" ht="15.6">
      <c r="A62" s="133" t="s">
        <v>444</v>
      </c>
      <c r="B62" s="5">
        <f>39/24644</f>
        <v>1.5825353027105989E-3</v>
      </c>
      <c r="C62" s="9">
        <f t="shared" si="10"/>
        <v>489.955604203863</v>
      </c>
      <c r="D62" s="5">
        <f>17207/1128813</f>
        <v>1.5243445991497262E-2</v>
      </c>
      <c r="E62" s="9">
        <f t="shared" si="11"/>
        <v>14862.864247337689</v>
      </c>
      <c r="F62" s="130">
        <v>0</v>
      </c>
      <c r="G62" s="138">
        <f t="shared" si="12"/>
        <v>0</v>
      </c>
      <c r="H62" s="10">
        <v>0</v>
      </c>
      <c r="I62" s="9">
        <f t="shared" si="13"/>
        <v>0</v>
      </c>
      <c r="J62" s="11">
        <f t="shared" si="14"/>
        <v>15352.819851541553</v>
      </c>
    </row>
    <row r="63" spans="1:10" ht="15.6">
      <c r="A63" s="8" t="s">
        <v>427</v>
      </c>
      <c r="B63" s="5">
        <f>1767/24644</f>
        <v>7.1701022561272518E-2</v>
      </c>
      <c r="C63" s="9">
        <f t="shared" si="10"/>
        <v>22198.757759698099</v>
      </c>
      <c r="D63" s="5">
        <f>40531/1128813</f>
        <v>3.5905858632032057E-2</v>
      </c>
      <c r="E63" s="9">
        <f t="shared" si="11"/>
        <v>35009.400291093392</v>
      </c>
      <c r="F63" s="130">
        <v>0</v>
      </c>
      <c r="G63" s="138">
        <f t="shared" si="12"/>
        <v>0</v>
      </c>
      <c r="H63" s="10">
        <v>0</v>
      </c>
      <c r="I63" s="9">
        <f t="shared" si="13"/>
        <v>0</v>
      </c>
      <c r="J63" s="11">
        <f t="shared" si="14"/>
        <v>57208.158050791491</v>
      </c>
    </row>
    <row r="64" spans="1:10" ht="15.6">
      <c r="A64" s="134" t="s">
        <v>445</v>
      </c>
      <c r="B64" s="5">
        <f>666/24644</f>
        <v>2.7024833630904074E-2</v>
      </c>
      <c r="C64" s="9">
        <f t="shared" si="10"/>
        <v>8366.9341640967377</v>
      </c>
      <c r="D64" s="5">
        <f>52071/1128813</f>
        <v>4.6128986820669148E-2</v>
      </c>
      <c r="E64" s="9">
        <f t="shared" si="11"/>
        <v>44977.288558326312</v>
      </c>
      <c r="F64" s="5">
        <v>0</v>
      </c>
      <c r="G64" s="138">
        <f t="shared" si="12"/>
        <v>0</v>
      </c>
      <c r="H64" s="10">
        <v>0</v>
      </c>
      <c r="I64" s="9">
        <f t="shared" si="13"/>
        <v>0</v>
      </c>
      <c r="J64" s="11">
        <f t="shared" si="14"/>
        <v>53344.222722423052</v>
      </c>
    </row>
    <row r="65" spans="1:10" ht="15.6" hidden="1">
      <c r="A65" s="137" t="s">
        <v>428</v>
      </c>
      <c r="B65" s="35">
        <v>0</v>
      </c>
      <c r="C65" s="9">
        <f t="shared" si="10"/>
        <v>0</v>
      </c>
      <c r="D65" s="35">
        <v>0</v>
      </c>
      <c r="E65" s="9">
        <f t="shared" si="11"/>
        <v>0</v>
      </c>
      <c r="F65" s="35">
        <v>0</v>
      </c>
      <c r="G65" s="138">
        <f t="shared" si="12"/>
        <v>0</v>
      </c>
      <c r="H65" s="37">
        <v>0</v>
      </c>
      <c r="I65" s="9">
        <f t="shared" si="13"/>
        <v>0</v>
      </c>
      <c r="J65" s="11">
        <f t="shared" si="14"/>
        <v>0</v>
      </c>
    </row>
    <row r="66" spans="1:10" ht="15.6">
      <c r="A66" s="8" t="s">
        <v>429</v>
      </c>
      <c r="B66" s="5">
        <f>1345/24644</f>
        <v>5.457717902937835E-2</v>
      </c>
      <c r="C66" s="9">
        <f t="shared" si="10"/>
        <v>16897.186862928098</v>
      </c>
      <c r="D66" s="5">
        <f>15491/1128813</f>
        <v>1.3723265058074278E-2</v>
      </c>
      <c r="E66" s="9">
        <f t="shared" si="11"/>
        <v>13380.637534463192</v>
      </c>
      <c r="F66" s="5">
        <f>342/3625</f>
        <v>9.4344827586206895E-2</v>
      </c>
      <c r="G66" s="138">
        <f t="shared" si="12"/>
        <v>57803.505964137927</v>
      </c>
      <c r="H66" s="10">
        <v>0</v>
      </c>
      <c r="I66" s="9">
        <f t="shared" si="13"/>
        <v>0</v>
      </c>
      <c r="J66" s="11">
        <f t="shared" si="14"/>
        <v>88081.33036152921</v>
      </c>
    </row>
    <row r="67" spans="1:10" ht="15.6">
      <c r="A67" s="8" t="s">
        <v>53</v>
      </c>
      <c r="B67" s="5">
        <f>193/24644</f>
        <v>7.8315208570037334E-3</v>
      </c>
      <c r="C67" s="9">
        <f t="shared" si="10"/>
        <v>2424.6520925986042</v>
      </c>
      <c r="D67" s="5">
        <f>19889/1128813</f>
        <v>1.7619393114714305E-2</v>
      </c>
      <c r="E67" s="9">
        <f t="shared" si="11"/>
        <v>17179.491312564613</v>
      </c>
      <c r="F67" s="5">
        <f>0</f>
        <v>0</v>
      </c>
      <c r="G67" s="138">
        <f t="shared" si="12"/>
        <v>0</v>
      </c>
      <c r="H67" s="10">
        <v>0</v>
      </c>
      <c r="I67" s="9">
        <f t="shared" si="13"/>
        <v>0</v>
      </c>
      <c r="J67" s="11">
        <f t="shared" si="14"/>
        <v>19604.143405163217</v>
      </c>
    </row>
    <row r="68" spans="1:10" ht="16.2" thickBot="1">
      <c r="A68" s="12" t="s">
        <v>54</v>
      </c>
      <c r="B68" s="13">
        <f>SUM(B52:B67)</f>
        <v>1</v>
      </c>
      <c r="C68" s="14">
        <v>309601.69</v>
      </c>
      <c r="D68" s="13">
        <f>SUM(D52:D67)</f>
        <v>1</v>
      </c>
      <c r="E68" s="14">
        <v>975033.09</v>
      </c>
      <c r="F68" s="13">
        <f>SUM(F52:F67)</f>
        <v>1</v>
      </c>
      <c r="G68" s="14">
        <v>612683.36</v>
      </c>
      <c r="H68" s="15">
        <f>SUM(H52:H67)</f>
        <v>1</v>
      </c>
      <c r="I68" s="14">
        <v>135155.82</v>
      </c>
      <c r="J68" s="11">
        <f t="shared" si="14"/>
        <v>2032473.96</v>
      </c>
    </row>
    <row r="69" spans="1:10" ht="15.6">
      <c r="A69" s="136" t="s">
        <v>430</v>
      </c>
      <c r="B69" s="16"/>
      <c r="C69" s="17"/>
      <c r="D69" s="16"/>
      <c r="E69" s="17"/>
      <c r="F69" s="16"/>
      <c r="G69" s="17"/>
      <c r="H69" s="17"/>
      <c r="I69" s="17"/>
      <c r="J69" s="18"/>
    </row>
    <row r="70" spans="1:10" ht="15.6">
      <c r="A70" s="136" t="s">
        <v>431</v>
      </c>
      <c r="B70" s="16"/>
      <c r="C70" s="17"/>
      <c r="D70" s="16"/>
      <c r="E70" s="17"/>
      <c r="F70" s="16"/>
      <c r="G70" s="17"/>
      <c r="H70" s="17"/>
      <c r="I70" s="17"/>
      <c r="J70" s="18"/>
    </row>
    <row r="73" spans="1:10" ht="26.4" thickBot="1">
      <c r="A73" s="285" t="s">
        <v>467</v>
      </c>
      <c r="B73" s="285"/>
      <c r="C73" s="285"/>
      <c r="D73" s="285"/>
      <c r="E73" s="285"/>
      <c r="F73" s="285"/>
      <c r="G73" s="285"/>
      <c r="H73" s="285"/>
      <c r="I73" s="285"/>
      <c r="J73" s="285"/>
    </row>
    <row r="74" spans="1:10" ht="15.6">
      <c r="A74" s="286" t="s">
        <v>45</v>
      </c>
      <c r="B74" s="288" t="s">
        <v>46</v>
      </c>
      <c r="C74" s="288"/>
      <c r="D74" s="288" t="s">
        <v>47</v>
      </c>
      <c r="E74" s="288"/>
      <c r="F74" s="288" t="s">
        <v>48</v>
      </c>
      <c r="G74" s="288"/>
      <c r="H74" s="289" t="s">
        <v>433</v>
      </c>
      <c r="I74" s="289"/>
      <c r="J74" s="4" t="s">
        <v>49</v>
      </c>
    </row>
    <row r="75" spans="1:10" ht="15.6">
      <c r="A75" s="287"/>
      <c r="B75" s="5" t="s">
        <v>50</v>
      </c>
      <c r="C75" s="6" t="s">
        <v>51</v>
      </c>
      <c r="D75" s="5" t="s">
        <v>50</v>
      </c>
      <c r="E75" s="6" t="s">
        <v>51</v>
      </c>
      <c r="F75" s="5" t="s">
        <v>50</v>
      </c>
      <c r="G75" s="6" t="s">
        <v>51</v>
      </c>
      <c r="H75" s="6" t="s">
        <v>50</v>
      </c>
      <c r="I75" s="6" t="s">
        <v>51</v>
      </c>
      <c r="J75" s="7" t="s">
        <v>52</v>
      </c>
    </row>
    <row r="76" spans="1:10" ht="15.6">
      <c r="A76" s="132" t="s">
        <v>434</v>
      </c>
      <c r="B76" s="5">
        <f>7102/30802</f>
        <v>0.23056944354262709</v>
      </c>
      <c r="C76" s="9">
        <f>B76*C$92</f>
        <v>58380.625798324785</v>
      </c>
      <c r="D76" s="5">
        <f>(104119+36297)/1116126</f>
        <v>0.1258065845612413</v>
      </c>
      <c r="E76" s="9">
        <f>D76*E$92</f>
        <v>117221.23374658418</v>
      </c>
      <c r="F76" s="130">
        <f>685/3405</f>
        <v>0.2011747430249633</v>
      </c>
      <c r="G76" s="138">
        <f>F76*G$92</f>
        <v>119498.31035242292</v>
      </c>
      <c r="H76" s="10">
        <f>36297/276120</f>
        <v>0.13145371577574969</v>
      </c>
      <c r="I76" s="9">
        <f>H76*I$92</f>
        <v>14165.623301825295</v>
      </c>
      <c r="J76" s="11">
        <f>I76+G76+E76+C76</f>
        <v>309265.79319915717</v>
      </c>
    </row>
    <row r="77" spans="1:10" ht="15.6">
      <c r="A77" s="132" t="s">
        <v>435</v>
      </c>
      <c r="B77" s="5"/>
      <c r="C77" s="9"/>
      <c r="D77" s="5">
        <f>33784/1116126</f>
        <v>3.0268983967759913E-2</v>
      </c>
      <c r="E77" s="9">
        <f t="shared" ref="E77:E91" si="15">D77*E$92</f>
        <v>28203.354040099417</v>
      </c>
      <c r="F77" s="130">
        <f>50/3405</f>
        <v>1.4684287812041116E-2</v>
      </c>
      <c r="G77" s="138">
        <f t="shared" ref="G77:G90" si="16">F77*G$92</f>
        <v>8722.5044052863432</v>
      </c>
      <c r="H77" s="10"/>
      <c r="I77" s="9"/>
      <c r="J77" s="11">
        <f t="shared" ref="J77:J91" si="17">I77+G77+E77+C77</f>
        <v>36925.858445385762</v>
      </c>
    </row>
    <row r="78" spans="1:10" ht="15.6">
      <c r="A78" s="132" t="s">
        <v>436</v>
      </c>
      <c r="B78" s="5"/>
      <c r="C78" s="9"/>
      <c r="D78" s="5">
        <f>44580/1116126</f>
        <v>3.9941727009316155E-2</v>
      </c>
      <c r="E78" s="9">
        <f t="shared" si="15"/>
        <v>37216.005301551981</v>
      </c>
      <c r="F78" s="130">
        <f>15/3405</f>
        <v>4.4052863436123352E-3</v>
      </c>
      <c r="G78" s="138">
        <f t="shared" si="16"/>
        <v>2616.7513215859035</v>
      </c>
      <c r="H78" s="10"/>
      <c r="I78" s="9"/>
      <c r="J78" s="11">
        <f t="shared" si="17"/>
        <v>39832.756623137888</v>
      </c>
    </row>
    <row r="79" spans="1:10" ht="15.6">
      <c r="A79" s="132" t="s">
        <v>478</v>
      </c>
      <c r="B79" s="5">
        <f>664/30802</f>
        <v>2.1557041750535681E-2</v>
      </c>
      <c r="C79" s="9">
        <f t="shared" ref="C79:C91" si="18">B79*C$92</f>
        <v>5458.2843607557961</v>
      </c>
      <c r="D79" s="5">
        <f>(44500+4668)/1116126</f>
        <v>4.4052374015120153E-2</v>
      </c>
      <c r="E79" s="9">
        <f t="shared" si="15"/>
        <v>41046.131643488276</v>
      </c>
      <c r="F79" s="130">
        <f>210/3405</f>
        <v>6.1674008810572688E-2</v>
      </c>
      <c r="G79" s="138">
        <f t="shared" si="16"/>
        <v>36634.518502202649</v>
      </c>
      <c r="H79" s="10">
        <f>4668/276120</f>
        <v>1.6905693176879618E-2</v>
      </c>
      <c r="I79" s="9">
        <f t="shared" ref="I79:I85" si="19">H79*I$92</f>
        <v>1821.7794741416776</v>
      </c>
      <c r="J79" s="11">
        <f t="shared" si="17"/>
        <v>84960.713980588407</v>
      </c>
    </row>
    <row r="80" spans="1:10" ht="15.6">
      <c r="A80" s="132" t="s">
        <v>438</v>
      </c>
      <c r="B80" s="5">
        <f>2544/30802</f>
        <v>8.2592039477955972E-2</v>
      </c>
      <c r="C80" s="9">
        <f t="shared" si="18"/>
        <v>20912.462972534249</v>
      </c>
      <c r="D80" s="5">
        <f>(42287+26964)/1116126</f>
        <v>6.20458622055216E-2</v>
      </c>
      <c r="E80" s="9">
        <f t="shared" si="15"/>
        <v>57811.699935795783</v>
      </c>
      <c r="F80" s="130">
        <f>150/3405</f>
        <v>4.405286343612335E-2</v>
      </c>
      <c r="G80" s="138">
        <f t="shared" si="16"/>
        <v>26167.513215859035</v>
      </c>
      <c r="H80" s="10">
        <f>26964/276120</f>
        <v>9.765319426336376E-2</v>
      </c>
      <c r="I80" s="9">
        <f t="shared" si="19"/>
        <v>10523.235162972622</v>
      </c>
      <c r="J80" s="11">
        <f t="shared" si="17"/>
        <v>115414.9112871617</v>
      </c>
    </row>
    <row r="81" spans="1:10" ht="15.6">
      <c r="A81" s="132" t="s">
        <v>439</v>
      </c>
      <c r="B81" s="5">
        <f>3984/30802</f>
        <v>0.12934225050321407</v>
      </c>
      <c r="C81" s="9">
        <f t="shared" si="18"/>
        <v>32749.706164534771</v>
      </c>
      <c r="D81" s="5">
        <f>(130652+57298)/1116126</f>
        <v>0.16839496615973465</v>
      </c>
      <c r="E81" s="9">
        <f t="shared" si="15"/>
        <v>156903.27941737761</v>
      </c>
      <c r="F81" s="130">
        <f>450/3405</f>
        <v>0.13215859030837004</v>
      </c>
      <c r="G81" s="138">
        <f t="shared" si="16"/>
        <v>78502.539647577098</v>
      </c>
      <c r="H81" s="10">
        <f>57298/276120</f>
        <v>0.20751122700275243</v>
      </c>
      <c r="I81" s="9">
        <f t="shared" si="19"/>
        <v>22361.679586411705</v>
      </c>
      <c r="J81" s="11">
        <f t="shared" si="17"/>
        <v>290517.20481590118</v>
      </c>
    </row>
    <row r="82" spans="1:10" ht="15.6">
      <c r="A82" s="132" t="s">
        <v>440</v>
      </c>
      <c r="B82" s="5">
        <f>3430/30802</f>
        <v>0.11135640542821895</v>
      </c>
      <c r="C82" s="9">
        <f t="shared" si="18"/>
        <v>28195.655658723463</v>
      </c>
      <c r="D82" s="5">
        <f>(134610+59631)/1116126</f>
        <v>0.17403142655936696</v>
      </c>
      <c r="E82" s="9">
        <f t="shared" si="15"/>
        <v>162155.09389364644</v>
      </c>
      <c r="F82" s="130">
        <f>650/3405</f>
        <v>0.19089574155653452</v>
      </c>
      <c r="G82" s="138">
        <f t="shared" si="16"/>
        <v>113392.55726872248</v>
      </c>
      <c r="H82" s="10">
        <f>59631/276120</f>
        <v>0.21596045197740113</v>
      </c>
      <c r="I82" s="9">
        <f t="shared" si="19"/>
        <v>23272.179053672317</v>
      </c>
      <c r="J82" s="11">
        <f t="shared" si="17"/>
        <v>327015.48587476468</v>
      </c>
    </row>
    <row r="83" spans="1:10" ht="15.6">
      <c r="A83" s="132" t="s">
        <v>441</v>
      </c>
      <c r="B83" s="5">
        <f>937/30802</f>
        <v>3.042010259074086E-2</v>
      </c>
      <c r="C83" s="9">
        <f t="shared" si="18"/>
        <v>7702.4283825725606</v>
      </c>
      <c r="D83" s="5">
        <f>(19580+28519)/1116126</f>
        <v>4.3094596846592587E-2</v>
      </c>
      <c r="E83" s="9">
        <f t="shared" si="15"/>
        <v>40153.715545072868</v>
      </c>
      <c r="F83" s="130">
        <f>380/3405</f>
        <v>0.11160058737151249</v>
      </c>
      <c r="G83" s="138">
        <f t="shared" si="16"/>
        <v>66291.033480176222</v>
      </c>
      <c r="H83" s="10">
        <f>28519/276120</f>
        <v>0.10328480370853252</v>
      </c>
      <c r="I83" s="9">
        <f t="shared" si="19"/>
        <v>11130.104717876286</v>
      </c>
      <c r="J83" s="11">
        <f t="shared" si="17"/>
        <v>125277.28212569792</v>
      </c>
    </row>
    <row r="84" spans="1:10" ht="15.6">
      <c r="A84" s="132" t="s">
        <v>447</v>
      </c>
      <c r="B84" s="5"/>
      <c r="C84" s="9"/>
      <c r="D84" s="5">
        <f>451/1116126</f>
        <v>4.0407624228805709E-4</v>
      </c>
      <c r="E84" s="9">
        <f t="shared" si="15"/>
        <v>376.50108548676405</v>
      </c>
      <c r="F84" s="130"/>
      <c r="G84" s="138"/>
      <c r="H84" s="10"/>
      <c r="I84" s="9"/>
      <c r="J84" s="11">
        <f t="shared" si="17"/>
        <v>376.50108548676405</v>
      </c>
    </row>
    <row r="85" spans="1:10" ht="15.6">
      <c r="A85" s="132" t="s">
        <v>443</v>
      </c>
      <c r="B85" s="5">
        <f>6998/30802</f>
        <v>0.22719303941302513</v>
      </c>
      <c r="C85" s="9">
        <f t="shared" si="18"/>
        <v>57525.713790013637</v>
      </c>
      <c r="D85" s="5">
        <f>(138416+62743)/1116126</f>
        <v>0.18022965149096071</v>
      </c>
      <c r="E85" s="9">
        <f t="shared" si="15"/>
        <v>167930.33670827487</v>
      </c>
      <c r="F85" s="130">
        <f>500/3405</f>
        <v>0.14684287812041116</v>
      </c>
      <c r="G85" s="138">
        <f t="shared" si="16"/>
        <v>87225.04405286345</v>
      </c>
      <c r="H85" s="10">
        <f>62743/276120</f>
        <v>0.22723091409532087</v>
      </c>
      <c r="I85" s="9">
        <f t="shared" si="19"/>
        <v>24486.698703100101</v>
      </c>
      <c r="J85" s="11">
        <f t="shared" si="17"/>
        <v>337167.79325425206</v>
      </c>
    </row>
    <row r="86" spans="1:10" ht="15.6">
      <c r="A86" s="133" t="s">
        <v>444</v>
      </c>
      <c r="B86" s="5">
        <f>38/30802</f>
        <v>1.2336861242776443E-3</v>
      </c>
      <c r="C86" s="9">
        <f t="shared" si="18"/>
        <v>312.37169534445815</v>
      </c>
      <c r="D86" s="5">
        <f>14628/1116126</f>
        <v>1.3106047166717736E-2</v>
      </c>
      <c r="E86" s="9">
        <f t="shared" si="15"/>
        <v>12211.658267184888</v>
      </c>
      <c r="F86" s="130"/>
      <c r="G86" s="138"/>
      <c r="H86" s="10"/>
      <c r="I86" s="9"/>
      <c r="J86" s="11">
        <f t="shared" si="17"/>
        <v>12524.029962529346</v>
      </c>
    </row>
    <row r="87" spans="1:10" ht="15.6">
      <c r="A87" s="8" t="s">
        <v>427</v>
      </c>
      <c r="B87" s="5">
        <f>2104/30802</f>
        <v>6.8307252775793775E-2</v>
      </c>
      <c r="C87" s="9">
        <f t="shared" si="18"/>
        <v>17295.527552756314</v>
      </c>
      <c r="D87" s="5">
        <f>46886/1116126</f>
        <v>4.2007801986514069E-2</v>
      </c>
      <c r="E87" s="9">
        <f t="shared" si="15"/>
        <v>39141.086239761462</v>
      </c>
      <c r="F87" s="130"/>
      <c r="G87" s="138"/>
      <c r="H87" s="10"/>
      <c r="I87" s="9"/>
      <c r="J87" s="11">
        <f>I87+G87+E87+C87+0.01</f>
        <v>56436.623792517777</v>
      </c>
    </row>
    <row r="88" spans="1:10" ht="15.6">
      <c r="A88" s="134" t="s">
        <v>445</v>
      </c>
      <c r="B88" s="5">
        <f>962/30802</f>
        <v>3.1231738198818259E-2</v>
      </c>
      <c r="C88" s="9">
        <f t="shared" si="18"/>
        <v>7907.9360768781253</v>
      </c>
      <c r="D88" s="5">
        <f>54716/1116126</f>
        <v>4.9023138964597188E-2</v>
      </c>
      <c r="E88" s="9">
        <f t="shared" si="15"/>
        <v>45677.679364731222</v>
      </c>
      <c r="F88" s="5"/>
      <c r="G88" s="138"/>
      <c r="H88" s="10"/>
      <c r="I88" s="9"/>
      <c r="J88" s="11">
        <f t="shared" si="17"/>
        <v>53585.615441609349</v>
      </c>
    </row>
    <row r="89" spans="1:10" ht="15.6">
      <c r="A89" s="137" t="s">
        <v>428</v>
      </c>
      <c r="B89" s="35"/>
      <c r="C89" s="36"/>
      <c r="D89" s="35"/>
      <c r="E89" s="36"/>
      <c r="F89" s="35"/>
      <c r="G89" s="149"/>
      <c r="H89" s="37"/>
      <c r="I89" s="36"/>
      <c r="J89" s="38"/>
    </row>
    <row r="90" spans="1:10" ht="15.6">
      <c r="A90" s="8" t="s">
        <v>429</v>
      </c>
      <c r="B90" s="5">
        <f>1648/30802</f>
        <v>5.350301928446205E-2</v>
      </c>
      <c r="C90" s="9">
        <f t="shared" si="18"/>
        <v>13547.067208622819</v>
      </c>
      <c r="D90" s="5">
        <f>4818/1116126</f>
        <v>4.3167169298089997E-3</v>
      </c>
      <c r="E90" s="9">
        <f t="shared" si="15"/>
        <v>4022.1335473951863</v>
      </c>
      <c r="F90" s="5">
        <f>315/3405</f>
        <v>9.2511013215859028E-2</v>
      </c>
      <c r="G90" s="138">
        <f t="shared" si="16"/>
        <v>54951.77775330397</v>
      </c>
      <c r="H90" s="10"/>
      <c r="I90" s="9"/>
      <c r="J90" s="11">
        <f t="shared" si="17"/>
        <v>72520.978509321969</v>
      </c>
    </row>
    <row r="91" spans="1:10" ht="15.6">
      <c r="A91" s="8" t="s">
        <v>53</v>
      </c>
      <c r="B91" s="5">
        <f>391/30802</f>
        <v>1.2693980910330497E-2</v>
      </c>
      <c r="C91" s="9">
        <f t="shared" si="18"/>
        <v>3214.1403389390298</v>
      </c>
      <c r="D91" s="5">
        <f>25979/1116126</f>
        <v>2.3276045894459946E-2</v>
      </c>
      <c r="E91" s="9">
        <f t="shared" si="15"/>
        <v>21687.631263549101</v>
      </c>
      <c r="F91" s="5"/>
      <c r="G91" s="138"/>
      <c r="H91" s="10"/>
      <c r="I91" s="9"/>
      <c r="J91" s="11">
        <f t="shared" si="17"/>
        <v>24901.77160248813</v>
      </c>
    </row>
    <row r="92" spans="1:10" ht="16.2" thickBot="1">
      <c r="A92" s="12" t="s">
        <v>54</v>
      </c>
      <c r="B92" s="13">
        <f>SUM(B76:B91)</f>
        <v>1.0000000000000002</v>
      </c>
      <c r="C92" s="14">
        <v>253201.92000000001</v>
      </c>
      <c r="D92" s="13">
        <f>SUM(D76:D91)</f>
        <v>1</v>
      </c>
      <c r="E92" s="14">
        <v>931757.54</v>
      </c>
      <c r="F92" s="13">
        <f>SUM(F76:F91)</f>
        <v>1</v>
      </c>
      <c r="G92" s="14">
        <v>594002.55000000005</v>
      </c>
      <c r="H92" s="15">
        <f>SUM(H76:H91)</f>
        <v>1</v>
      </c>
      <c r="I92" s="14">
        <v>107761.3</v>
      </c>
      <c r="J92" s="11">
        <f>I92+G92+E92+C92</f>
        <v>1886723.31</v>
      </c>
    </row>
    <row r="93" spans="1:10" ht="15.6">
      <c r="A93" s="136" t="s">
        <v>430</v>
      </c>
      <c r="B93" s="16"/>
      <c r="C93" s="17"/>
      <c r="D93" s="16"/>
      <c r="E93" s="17"/>
      <c r="F93" s="16"/>
      <c r="G93" s="17"/>
      <c r="H93" s="17"/>
      <c r="I93" s="17"/>
      <c r="J93" s="18"/>
    </row>
    <row r="94" spans="1:10" ht="15.6">
      <c r="A94" s="136" t="s">
        <v>431</v>
      </c>
      <c r="B94" s="16"/>
      <c r="C94" s="17"/>
      <c r="D94" s="16"/>
      <c r="E94" s="17"/>
      <c r="F94" s="16"/>
      <c r="G94" s="17"/>
      <c r="H94" s="17"/>
      <c r="I94" s="17"/>
      <c r="J94" s="18"/>
    </row>
    <row r="97" spans="1:10" ht="26.4" thickBot="1">
      <c r="A97" s="285" t="s">
        <v>511</v>
      </c>
      <c r="B97" s="285"/>
      <c r="C97" s="285"/>
      <c r="D97" s="285"/>
      <c r="E97" s="285"/>
      <c r="F97" s="285"/>
      <c r="G97" s="285"/>
      <c r="H97" s="285"/>
      <c r="I97" s="285"/>
      <c r="J97" s="285"/>
    </row>
    <row r="98" spans="1:10" ht="15.6">
      <c r="A98" s="286" t="s">
        <v>45</v>
      </c>
      <c r="B98" s="288" t="s">
        <v>46</v>
      </c>
      <c r="C98" s="288"/>
      <c r="D98" s="288" t="s">
        <v>47</v>
      </c>
      <c r="E98" s="288"/>
      <c r="F98" s="288" t="s">
        <v>48</v>
      </c>
      <c r="G98" s="288"/>
      <c r="H98" s="289" t="s">
        <v>433</v>
      </c>
      <c r="I98" s="289"/>
      <c r="J98" s="4" t="s">
        <v>49</v>
      </c>
    </row>
    <row r="99" spans="1:10" ht="15.6">
      <c r="A99" s="287"/>
      <c r="B99" s="5" t="s">
        <v>50</v>
      </c>
      <c r="C99" s="6" t="s">
        <v>51</v>
      </c>
      <c r="D99" s="5" t="s">
        <v>50</v>
      </c>
      <c r="E99" s="6" t="s">
        <v>51</v>
      </c>
      <c r="F99" s="5" t="s">
        <v>50</v>
      </c>
      <c r="G99" s="6" t="s">
        <v>51</v>
      </c>
      <c r="H99" s="6" t="s">
        <v>50</v>
      </c>
      <c r="I99" s="6" t="s">
        <v>51</v>
      </c>
      <c r="J99" s="7" t="s">
        <v>52</v>
      </c>
    </row>
    <row r="100" spans="1:10" ht="15.6">
      <c r="A100" s="132" t="s">
        <v>434</v>
      </c>
      <c r="B100" s="5">
        <f>2018/26540</f>
        <v>7.6036171816126596E-2</v>
      </c>
      <c r="C100" s="9">
        <f>B100*C$116</f>
        <v>18649.531767897512</v>
      </c>
      <c r="D100" s="5">
        <f>(38344+16100)/1625821</f>
        <v>3.3487081296157448E-2</v>
      </c>
      <c r="E100" s="9">
        <f>D100*E$116</f>
        <v>43424.76882296391</v>
      </c>
      <c r="F100" s="130">
        <f>230/3483</f>
        <v>6.6035027275337346E-2</v>
      </c>
      <c r="G100" s="138">
        <f>F100*G$116</f>
        <v>39356.072609819115</v>
      </c>
      <c r="H100" s="10">
        <f>16100/404640</f>
        <v>3.9788453934361409E-2</v>
      </c>
      <c r="I100" s="9">
        <f>H100*I$116</f>
        <v>4810.7284623368923</v>
      </c>
      <c r="J100" s="11">
        <f>I100+G100+E100+C100</f>
        <v>106241.10166301743</v>
      </c>
    </row>
    <row r="101" spans="1:10" ht="15.6">
      <c r="A101" s="132" t="s">
        <v>435</v>
      </c>
      <c r="B101" s="5">
        <f>2260/26540</f>
        <v>8.5154483798040692E-2</v>
      </c>
      <c r="C101" s="9">
        <f t="shared" ref="C101:C115" si="20">B101*C$116</f>
        <v>20885.99692539563</v>
      </c>
      <c r="D101" s="5">
        <f>(329196+33988)/1625821</f>
        <v>0.22338498518594604</v>
      </c>
      <c r="E101" s="9">
        <f t="shared" ref="E101:E115" si="21">D101*E$116</f>
        <v>289677.12218425027</v>
      </c>
      <c r="F101" s="130">
        <f>520/3483</f>
        <v>0.14929658340511054</v>
      </c>
      <c r="G101" s="138">
        <f t="shared" ref="G101:G115" si="22">F101*G$116</f>
        <v>88978.946770025839</v>
      </c>
      <c r="H101" s="10">
        <f>33988/404640</f>
        <v>8.3995650454725193E-2</v>
      </c>
      <c r="I101" s="9">
        <f t="shared" ref="I101:I115" si="23">H101*I$116</f>
        <v>10155.716706702255</v>
      </c>
      <c r="J101" s="11">
        <f>I101+G101+E101+C101+0.01</f>
        <v>409697.79258637398</v>
      </c>
    </row>
    <row r="102" spans="1:10" ht="15.6">
      <c r="A102" s="132" t="s">
        <v>436</v>
      </c>
      <c r="B102" s="5">
        <v>0</v>
      </c>
      <c r="C102" s="9">
        <f t="shared" si="20"/>
        <v>0</v>
      </c>
      <c r="D102" s="5">
        <f>20736/1625821</f>
        <v>1.2754171584694747E-2</v>
      </c>
      <c r="E102" s="9">
        <f t="shared" si="21"/>
        <v>16539.12288430276</v>
      </c>
      <c r="F102" s="130">
        <f>15/3483</f>
        <v>4.3066322136089581E-3</v>
      </c>
      <c r="G102" s="138">
        <f t="shared" si="22"/>
        <v>2566.7003875968994</v>
      </c>
      <c r="H102" s="10">
        <f>0</f>
        <v>0</v>
      </c>
      <c r="I102" s="9">
        <f t="shared" si="23"/>
        <v>0</v>
      </c>
      <c r="J102" s="11">
        <f t="shared" ref="J102:J116" si="24">I102+G102+E102+C102</f>
        <v>19105.823271899659</v>
      </c>
    </row>
    <row r="103" spans="1:10" ht="15.6">
      <c r="A103" s="132" t="s">
        <v>437</v>
      </c>
      <c r="B103" s="5">
        <f>484/26540</f>
        <v>1.8236623963828184E-2</v>
      </c>
      <c r="C103" s="9">
        <f t="shared" si="20"/>
        <v>4472.9303149962325</v>
      </c>
      <c r="D103" s="5">
        <f>(37184+10733)/1625821</f>
        <v>2.9472494204466543E-2</v>
      </c>
      <c r="E103" s="9">
        <f t="shared" si="21"/>
        <v>38218.805519248432</v>
      </c>
      <c r="F103" s="130">
        <f>235/3483</f>
        <v>6.7470571346540345E-2</v>
      </c>
      <c r="G103" s="138">
        <f t="shared" si="22"/>
        <v>40211.639405684757</v>
      </c>
      <c r="H103" s="10">
        <f>10733/404640</f>
        <v>2.6524812178726768E-2</v>
      </c>
      <c r="I103" s="9">
        <f t="shared" si="23"/>
        <v>3207.0527072212335</v>
      </c>
      <c r="J103" s="11">
        <f t="shared" si="24"/>
        <v>86110.42794715066</v>
      </c>
    </row>
    <row r="104" spans="1:10" ht="15.6">
      <c r="A104" s="132" t="s">
        <v>438</v>
      </c>
      <c r="B104" s="5">
        <f>3132/26540</f>
        <v>0.11801055011303692</v>
      </c>
      <c r="C104" s="9">
        <f t="shared" si="20"/>
        <v>28944.664765636771</v>
      </c>
      <c r="D104" s="5">
        <f>(71751+37208)/1625821</f>
        <v>6.7017832836456168E-2</v>
      </c>
      <c r="E104" s="9">
        <f t="shared" si="21"/>
        <v>86906.167551637001</v>
      </c>
      <c r="F104" s="130">
        <f>165/3483</f>
        <v>4.7372954349698536E-2</v>
      </c>
      <c r="G104" s="138">
        <f t="shared" si="22"/>
        <v>28233.704263565891</v>
      </c>
      <c r="H104" s="10">
        <f>37208/404640</f>
        <v>9.1953341241597472E-2</v>
      </c>
      <c r="I104" s="9">
        <f t="shared" si="23"/>
        <v>11117.862399169631</v>
      </c>
      <c r="J104" s="11">
        <f t="shared" si="24"/>
        <v>155202.39898000931</v>
      </c>
    </row>
    <row r="105" spans="1:10" ht="15.6">
      <c r="A105" s="132" t="s">
        <v>439</v>
      </c>
      <c r="B105" s="5">
        <f>2670/26540</f>
        <v>0.10060286360211003</v>
      </c>
      <c r="C105" s="9">
        <f t="shared" si="20"/>
        <v>24675.049464958556</v>
      </c>
      <c r="D105" s="5">
        <f>(146463+65114)/1625821</f>
        <v>0.13013548231939431</v>
      </c>
      <c r="E105" s="9">
        <f t="shared" si="21"/>
        <v>168754.72620043042</v>
      </c>
      <c r="F105" s="130">
        <f>485/3483</f>
        <v>0.13924777490668963</v>
      </c>
      <c r="G105" s="138">
        <f t="shared" si="22"/>
        <v>82989.979198966394</v>
      </c>
      <c r="H105" s="10">
        <f>65114/404640</f>
        <v>0.16091834717279557</v>
      </c>
      <c r="I105" s="9">
        <f t="shared" si="23"/>
        <v>19456.259198546857</v>
      </c>
      <c r="J105" s="11">
        <f t="shared" si="24"/>
        <v>295876.01406290225</v>
      </c>
    </row>
    <row r="106" spans="1:10" ht="15.6">
      <c r="A106" s="132" t="s">
        <v>440</v>
      </c>
      <c r="B106" s="5">
        <f>3034/26540</f>
        <v>0.11431801055011304</v>
      </c>
      <c r="C106" s="9">
        <f t="shared" si="20"/>
        <v>28038.988792765635</v>
      </c>
      <c r="D106" s="5">
        <f>(181716+89443)/1625821</f>
        <v>0.1667828131141128</v>
      </c>
      <c r="E106" s="9">
        <f t="shared" si="21"/>
        <v>216277.58594640493</v>
      </c>
      <c r="F106" s="130">
        <f>578/3483</f>
        <v>0.16594889463106519</v>
      </c>
      <c r="G106" s="138">
        <f t="shared" si="22"/>
        <v>98903.52160206718</v>
      </c>
      <c r="H106" s="10">
        <f>89443/404640</f>
        <v>0.22104339659944641</v>
      </c>
      <c r="I106" s="9">
        <f t="shared" si="23"/>
        <v>26725.837630857055</v>
      </c>
      <c r="J106" s="11">
        <f t="shared" si="24"/>
        <v>369945.93397209479</v>
      </c>
    </row>
    <row r="107" spans="1:10" ht="15.6">
      <c r="A107" s="132" t="s">
        <v>441</v>
      </c>
      <c r="B107" s="5">
        <f>729/26540</f>
        <v>2.7467972871137905E-2</v>
      </c>
      <c r="C107" s="9">
        <f t="shared" si="20"/>
        <v>6737.1202471740771</v>
      </c>
      <c r="D107" s="5">
        <f>(22804+37566)/1625821</f>
        <v>3.7132008997300438E-2</v>
      </c>
      <c r="E107" s="9">
        <f t="shared" si="21"/>
        <v>48151.371938915785</v>
      </c>
      <c r="F107" s="130">
        <f>395/3483</f>
        <v>0.11340798162503589</v>
      </c>
      <c r="G107" s="138">
        <f t="shared" si="22"/>
        <v>67589.77687338501</v>
      </c>
      <c r="H107" s="10">
        <f>37566/404640</f>
        <v>9.2838078291814952E-2</v>
      </c>
      <c r="I107" s="9">
        <f t="shared" si="23"/>
        <v>11224.833876779359</v>
      </c>
      <c r="J107" s="11">
        <f t="shared" si="24"/>
        <v>133703.10293625423</v>
      </c>
    </row>
    <row r="108" spans="1:10" ht="15.6">
      <c r="A108" s="132" t="s">
        <v>447</v>
      </c>
      <c r="B108" s="5">
        <v>0</v>
      </c>
      <c r="C108" s="9">
        <f t="shared" si="20"/>
        <v>0</v>
      </c>
      <c r="D108" s="5">
        <f>466/1625821</f>
        <v>2.8662441929339083E-4</v>
      </c>
      <c r="E108" s="9">
        <f t="shared" si="21"/>
        <v>371.68360648558485</v>
      </c>
      <c r="F108" s="130">
        <v>0</v>
      </c>
      <c r="G108" s="138">
        <f t="shared" si="22"/>
        <v>0</v>
      </c>
      <c r="H108" s="10">
        <v>0</v>
      </c>
      <c r="I108" s="9">
        <f t="shared" si="23"/>
        <v>0</v>
      </c>
      <c r="J108" s="11">
        <f t="shared" si="24"/>
        <v>371.68360648558485</v>
      </c>
    </row>
    <row r="109" spans="1:10" ht="15.6">
      <c r="A109" s="132" t="s">
        <v>443</v>
      </c>
      <c r="B109" s="5">
        <f>7830/26540</f>
        <v>0.29502637528259229</v>
      </c>
      <c r="C109" s="9">
        <f t="shared" si="20"/>
        <v>72361.661914091936</v>
      </c>
      <c r="D109" s="5">
        <f>(149242+78710)/1625821</f>
        <v>0.14020731679563742</v>
      </c>
      <c r="E109" s="9">
        <f t="shared" si="21"/>
        <v>181815.49670730051</v>
      </c>
      <c r="F109" s="130">
        <f>575/3483</f>
        <v>0.16508756818834339</v>
      </c>
      <c r="G109" s="138">
        <f t="shared" si="22"/>
        <v>98390.181524547806</v>
      </c>
      <c r="H109" s="10">
        <f>78710/404640</f>
        <v>0.19451858442071965</v>
      </c>
      <c r="I109" s="9">
        <f t="shared" si="23"/>
        <v>23518.784923635823</v>
      </c>
      <c r="J109" s="11">
        <f t="shared" si="24"/>
        <v>376086.12506957608</v>
      </c>
    </row>
    <row r="110" spans="1:10" ht="15.6">
      <c r="A110" s="133" t="s">
        <v>444</v>
      </c>
      <c r="B110" s="5">
        <f>26/26540</f>
        <v>9.7965335342878671E-4</v>
      </c>
      <c r="C110" s="9">
        <f t="shared" si="20"/>
        <v>240.28138055764882</v>
      </c>
      <c r="D110" s="5">
        <f>18655/1625821</f>
        <v>1.1474202879652803E-2</v>
      </c>
      <c r="E110" s="9">
        <f t="shared" si="21"/>
        <v>14879.30832400984</v>
      </c>
      <c r="F110" s="130">
        <v>0</v>
      </c>
      <c r="G110" s="138">
        <f t="shared" si="22"/>
        <v>0</v>
      </c>
      <c r="H110" s="10">
        <v>0</v>
      </c>
      <c r="I110" s="9">
        <f t="shared" si="23"/>
        <v>0</v>
      </c>
      <c r="J110" s="11">
        <f t="shared" si="24"/>
        <v>15119.589704567488</v>
      </c>
    </row>
    <row r="111" spans="1:10" ht="15.6">
      <c r="A111" s="8" t="s">
        <v>427</v>
      </c>
      <c r="B111" s="5">
        <f>2162/26540</f>
        <v>8.1461944235116809E-2</v>
      </c>
      <c r="C111" s="9">
        <f t="shared" si="20"/>
        <v>19980.320952524493</v>
      </c>
      <c r="D111" s="5">
        <f>58884/1625821</f>
        <v>3.621800923963954E-2</v>
      </c>
      <c r="E111" s="9">
        <f t="shared" si="21"/>
        <v>46966.131940551881</v>
      </c>
      <c r="F111" s="130">
        <v>0</v>
      </c>
      <c r="G111" s="138">
        <f t="shared" si="22"/>
        <v>0</v>
      </c>
      <c r="H111" s="10">
        <v>0</v>
      </c>
      <c r="I111" s="9">
        <f t="shared" si="23"/>
        <v>0</v>
      </c>
      <c r="J111" s="11">
        <f t="shared" si="24"/>
        <v>66946.452893076377</v>
      </c>
    </row>
    <row r="112" spans="1:10" ht="15.6">
      <c r="A112" s="134" t="s">
        <v>445</v>
      </c>
      <c r="B112" s="5">
        <f>537/26540</f>
        <v>2.0233609645817635E-2</v>
      </c>
      <c r="C112" s="9">
        <f t="shared" si="20"/>
        <v>4962.7346676714396</v>
      </c>
      <c r="D112" s="5">
        <f>86391/1625821</f>
        <v>5.3136845938144481E-2</v>
      </c>
      <c r="E112" s="9">
        <f t="shared" si="21"/>
        <v>68905.833579176309</v>
      </c>
      <c r="F112" s="5">
        <v>0</v>
      </c>
      <c r="G112" s="138">
        <f t="shared" si="22"/>
        <v>0</v>
      </c>
      <c r="H112" s="10">
        <v>0</v>
      </c>
      <c r="I112" s="9">
        <f t="shared" si="23"/>
        <v>0</v>
      </c>
      <c r="J112" s="11">
        <f t="shared" si="24"/>
        <v>73868.568246847746</v>
      </c>
    </row>
    <row r="113" spans="1:10" ht="15.6">
      <c r="A113" s="137" t="s">
        <v>428</v>
      </c>
      <c r="B113" s="35">
        <v>0</v>
      </c>
      <c r="C113" s="36">
        <f t="shared" si="20"/>
        <v>0</v>
      </c>
      <c r="D113" s="35">
        <f>35778/1625821</f>
        <v>2.2006112604032055E-2</v>
      </c>
      <c r="E113" s="36">
        <f t="shared" si="21"/>
        <v>28536.686851590675</v>
      </c>
      <c r="F113" s="35">
        <v>0</v>
      </c>
      <c r="G113" s="149">
        <f t="shared" si="22"/>
        <v>0</v>
      </c>
      <c r="H113" s="37">
        <f>35778/404640</f>
        <v>8.8419335705812577E-2</v>
      </c>
      <c r="I113" s="36">
        <f t="shared" si="23"/>
        <v>10690.574094750889</v>
      </c>
      <c r="J113" s="38">
        <f t="shared" si="24"/>
        <v>39227.260946341565</v>
      </c>
    </row>
    <row r="114" spans="1:10" ht="15.6">
      <c r="A114" s="8" t="s">
        <v>429</v>
      </c>
      <c r="B114" s="5">
        <f>1508/26540</f>
        <v>5.6819894498869629E-2</v>
      </c>
      <c r="C114" s="9">
        <f t="shared" si="20"/>
        <v>13936.320072343631</v>
      </c>
      <c r="D114" s="5">
        <f>33614/1625821</f>
        <v>2.0675092768515108E-2</v>
      </c>
      <c r="E114" s="9">
        <f t="shared" si="21"/>
        <v>26810.671133919419</v>
      </c>
      <c r="F114" s="5">
        <f>285/3483</f>
        <v>8.1826012058570194E-2</v>
      </c>
      <c r="G114" s="138">
        <f t="shared" si="22"/>
        <v>48767.307364341083</v>
      </c>
      <c r="H114" s="10">
        <v>0</v>
      </c>
      <c r="I114" s="9">
        <f t="shared" si="23"/>
        <v>0</v>
      </c>
      <c r="J114" s="11">
        <f t="shared" si="24"/>
        <v>89514.298570604136</v>
      </c>
    </row>
    <row r="115" spans="1:10" ht="15.6">
      <c r="A115" s="8" t="s">
        <v>53</v>
      </c>
      <c r="B115" s="5">
        <f>150/26540</f>
        <v>5.6518462697814622E-3</v>
      </c>
      <c r="C115" s="9">
        <f t="shared" si="20"/>
        <v>1386.2387339864356</v>
      </c>
      <c r="D115" s="5">
        <f>25735/1625821</f>
        <v>1.5828925816556681E-2</v>
      </c>
      <c r="E115" s="9">
        <f t="shared" si="21"/>
        <v>20526.346808812286</v>
      </c>
      <c r="F115" s="5">
        <v>0</v>
      </c>
      <c r="G115" s="138">
        <f t="shared" si="22"/>
        <v>0</v>
      </c>
      <c r="H115" s="10">
        <v>0</v>
      </c>
      <c r="I115" s="9">
        <f t="shared" si="23"/>
        <v>0</v>
      </c>
      <c r="J115" s="11">
        <f t="shared" si="24"/>
        <v>21912.585542798723</v>
      </c>
    </row>
    <row r="116" spans="1:10" ht="16.2" thickBot="1">
      <c r="A116" s="12" t="s">
        <v>54</v>
      </c>
      <c r="B116" s="13">
        <f>SUM(B100:B115)</f>
        <v>0.99999999999999989</v>
      </c>
      <c r="C116" s="14">
        <v>245271.84</v>
      </c>
      <c r="D116" s="13">
        <f>SUM(D100:D115)</f>
        <v>1.0000000000000002</v>
      </c>
      <c r="E116" s="14">
        <v>1296761.83</v>
      </c>
      <c r="F116" s="13">
        <f>SUM(F100:F115)</f>
        <v>1</v>
      </c>
      <c r="G116" s="14">
        <v>595987.82999999996</v>
      </c>
      <c r="H116" s="15">
        <f>SUM(H100:H115)</f>
        <v>1</v>
      </c>
      <c r="I116" s="14">
        <v>120907.65</v>
      </c>
      <c r="J116" s="11">
        <f t="shared" si="24"/>
        <v>2258929.15</v>
      </c>
    </row>
    <row r="117" spans="1:10" ht="15.6">
      <c r="A117" s="136" t="s">
        <v>430</v>
      </c>
      <c r="B117" s="16"/>
      <c r="C117" s="17"/>
      <c r="D117" s="16"/>
      <c r="E117" s="17"/>
      <c r="F117" s="16"/>
      <c r="G117" s="17"/>
      <c r="H117" s="17"/>
      <c r="I117" s="17"/>
      <c r="J117" s="18"/>
    </row>
    <row r="118" spans="1:10" ht="15.6">
      <c r="A118" s="136" t="s">
        <v>431</v>
      </c>
      <c r="B118" s="16"/>
      <c r="C118" s="17"/>
      <c r="D118" s="16"/>
      <c r="E118" s="17"/>
      <c r="F118" s="16"/>
      <c r="G118" s="17"/>
      <c r="H118" s="17"/>
      <c r="I118" s="17"/>
      <c r="J118" s="18"/>
    </row>
    <row r="121" spans="1:10" ht="26.4" thickBot="1">
      <c r="A121" s="285" t="s">
        <v>538</v>
      </c>
      <c r="B121" s="285"/>
      <c r="C121" s="285"/>
      <c r="D121" s="285"/>
      <c r="E121" s="285"/>
      <c r="F121" s="285"/>
      <c r="G121" s="285"/>
      <c r="H121" s="285"/>
      <c r="I121" s="285"/>
      <c r="J121" s="285"/>
    </row>
    <row r="122" spans="1:10" ht="15.6">
      <c r="A122" s="286" t="s">
        <v>45</v>
      </c>
      <c r="B122" s="288" t="s">
        <v>46</v>
      </c>
      <c r="C122" s="288"/>
      <c r="D122" s="288" t="s">
        <v>47</v>
      </c>
      <c r="E122" s="288"/>
      <c r="F122" s="288" t="s">
        <v>48</v>
      </c>
      <c r="G122" s="288"/>
      <c r="H122" s="289" t="s">
        <v>433</v>
      </c>
      <c r="I122" s="289"/>
      <c r="J122" s="4" t="s">
        <v>49</v>
      </c>
    </row>
    <row r="123" spans="1:10" ht="15.6">
      <c r="A123" s="287"/>
      <c r="B123" s="5" t="s">
        <v>50</v>
      </c>
      <c r="C123" s="6" t="s">
        <v>51</v>
      </c>
      <c r="D123" s="5" t="s">
        <v>50</v>
      </c>
      <c r="E123" s="6" t="s">
        <v>51</v>
      </c>
      <c r="F123" s="5" t="s">
        <v>50</v>
      </c>
      <c r="G123" s="6" t="s">
        <v>51</v>
      </c>
      <c r="H123" s="6" t="s">
        <v>50</v>
      </c>
      <c r="I123" s="6" t="s">
        <v>51</v>
      </c>
      <c r="J123" s="7" t="s">
        <v>52</v>
      </c>
    </row>
    <row r="124" spans="1:10" ht="15.6">
      <c r="A124" s="132" t="s">
        <v>434</v>
      </c>
      <c r="B124" s="5">
        <f>98/32866</f>
        <v>2.9818049047648024E-3</v>
      </c>
      <c r="C124" s="6">
        <f>B124*C$140</f>
        <v>848.07558814580409</v>
      </c>
      <c r="D124" s="5">
        <f>8729/1641255</f>
        <v>5.3184910327767473E-3</v>
      </c>
      <c r="E124" s="6">
        <f>D124*E$140</f>
        <v>6329.1205380333959</v>
      </c>
      <c r="F124" s="10">
        <f>20/3051</f>
        <v>6.5552277941658471E-3</v>
      </c>
      <c r="G124" s="186">
        <f>F124*G$140</f>
        <v>3415.2414290396591</v>
      </c>
      <c r="H124" s="10">
        <v>0</v>
      </c>
      <c r="I124" s="6">
        <f>H124*I$140</f>
        <v>0</v>
      </c>
      <c r="J124" s="187">
        <f>I124+G124+E124+C124</f>
        <v>10592.437555218859</v>
      </c>
    </row>
    <row r="125" spans="1:10" ht="15.6">
      <c r="A125" s="132" t="s">
        <v>435</v>
      </c>
      <c r="B125" s="5">
        <f>3679/32866</f>
        <v>0.11193939025132356</v>
      </c>
      <c r="C125" s="6">
        <f t="shared" ref="C125:C139" si="25">B125*C$140</f>
        <v>31837.449885596056</v>
      </c>
      <c r="D125" s="5">
        <f>(448511+57508)/1641255</f>
        <v>0.30831223667254631</v>
      </c>
      <c r="E125" s="6">
        <f t="shared" ref="E125:E139" si="26">D125*E$140</f>
        <v>366898.29826270143</v>
      </c>
      <c r="F125" s="10">
        <f>506/3051</f>
        <v>0.16584726319239593</v>
      </c>
      <c r="G125" s="186">
        <f t="shared" ref="G125:G139" si="27">F125*G$140</f>
        <v>86405.608154703368</v>
      </c>
      <c r="H125" s="10">
        <f>57508/495360</f>
        <v>0.11609334625322998</v>
      </c>
      <c r="I125" s="6">
        <f t="shared" ref="I125:I139" si="28">H125*I$140</f>
        <v>12104.61786377584</v>
      </c>
      <c r="J125" s="187">
        <f t="shared" ref="J125:J140" si="29">I125+G125+E125+C125</f>
        <v>497245.97416677669</v>
      </c>
    </row>
    <row r="126" spans="1:10" ht="15.6">
      <c r="A126" s="132" t="s">
        <v>436</v>
      </c>
      <c r="B126" s="5">
        <f>226/32866</f>
        <v>6.8764072293555651E-3</v>
      </c>
      <c r="C126" s="6">
        <f t="shared" si="25"/>
        <v>1955.7661522546096</v>
      </c>
      <c r="D126" s="5">
        <f>2773/1641255</f>
        <v>1.6895607324882483E-3</v>
      </c>
      <c r="E126" s="6">
        <f t="shared" si="26"/>
        <v>2010.6141885630204</v>
      </c>
      <c r="F126" s="10">
        <f>15/3051</f>
        <v>4.9164208456243851E-3</v>
      </c>
      <c r="G126" s="186">
        <f t="shared" si="27"/>
        <v>2561.4310717797443</v>
      </c>
      <c r="H126" s="10">
        <v>0</v>
      </c>
      <c r="I126" s="6">
        <f t="shared" si="28"/>
        <v>0</v>
      </c>
      <c r="J126" s="187">
        <f t="shared" si="29"/>
        <v>6527.8114125973743</v>
      </c>
    </row>
    <row r="127" spans="1:10" ht="15.6">
      <c r="A127" s="132" t="s">
        <v>437</v>
      </c>
      <c r="B127" s="5">
        <f>661/32866</f>
        <v>2.0111969816831984E-2</v>
      </c>
      <c r="C127" s="6">
        <f t="shared" si="25"/>
        <v>5720.1833037181277</v>
      </c>
      <c r="D127" s="5">
        <f>(31926+7139)/1641255</f>
        <v>2.3801907686496003E-2</v>
      </c>
      <c r="E127" s="6">
        <f t="shared" si="26"/>
        <v>28324.790218613194</v>
      </c>
      <c r="F127" s="10">
        <f>235/3051</f>
        <v>7.7023926581448701E-2</v>
      </c>
      <c r="G127" s="186">
        <f t="shared" si="27"/>
        <v>40129.086791215996</v>
      </c>
      <c r="H127" s="10">
        <f>7139/495360</f>
        <v>1.4411740956072351E-2</v>
      </c>
      <c r="I127" s="6">
        <f t="shared" si="28"/>
        <v>1502.6581854610788</v>
      </c>
      <c r="J127" s="187">
        <f t="shared" si="29"/>
        <v>75676.718499008392</v>
      </c>
    </row>
    <row r="128" spans="1:10" ht="15.6">
      <c r="A128" s="132" t="s">
        <v>438</v>
      </c>
      <c r="B128" s="5">
        <f>7668/32866</f>
        <v>0.23331102050751537</v>
      </c>
      <c r="C128" s="6">
        <f t="shared" si="25"/>
        <v>66357.587856143131</v>
      </c>
      <c r="D128" s="5">
        <f>(128401+113428)/1641255</f>
        <v>0.14734395325528329</v>
      </c>
      <c r="E128" s="6">
        <f t="shared" si="26"/>
        <v>175342.52383916575</v>
      </c>
      <c r="F128" s="10">
        <f>480/3051</f>
        <v>0.15732546705998032</v>
      </c>
      <c r="G128" s="186">
        <f t="shared" si="27"/>
        <v>81965.794296951819</v>
      </c>
      <c r="H128" s="10">
        <f>113428/495360</f>
        <v>0.22898094315245479</v>
      </c>
      <c r="I128" s="6">
        <f t="shared" si="28"/>
        <v>23874.98426396964</v>
      </c>
      <c r="J128" s="187">
        <f t="shared" si="29"/>
        <v>347540.89025623037</v>
      </c>
    </row>
    <row r="129" spans="1:10" ht="15.6">
      <c r="A129" s="132" t="s">
        <v>439</v>
      </c>
      <c r="B129" s="5">
        <f>0</f>
        <v>0</v>
      </c>
      <c r="C129" s="6">
        <f t="shared" si="25"/>
        <v>0</v>
      </c>
      <c r="D129" s="5">
        <f>19223/1641255</f>
        <v>1.1712378637079551E-2</v>
      </c>
      <c r="E129" s="6">
        <f t="shared" si="26"/>
        <v>13937.986493597888</v>
      </c>
      <c r="F129" s="10">
        <f>20/3051</f>
        <v>6.5552277941658471E-3</v>
      </c>
      <c r="G129" s="186">
        <f t="shared" si="27"/>
        <v>3415.2414290396591</v>
      </c>
      <c r="H129" s="10">
        <v>0</v>
      </c>
      <c r="I129" s="6">
        <f t="shared" si="28"/>
        <v>0</v>
      </c>
      <c r="J129" s="187">
        <f t="shared" si="29"/>
        <v>17353.227922637547</v>
      </c>
    </row>
    <row r="130" spans="1:10" ht="15.6">
      <c r="A130" s="132" t="s">
        <v>440</v>
      </c>
      <c r="B130" s="5">
        <f>5803/32866</f>
        <v>0.17656544757500153</v>
      </c>
      <c r="C130" s="6">
        <f t="shared" si="25"/>
        <v>50218.190183776547</v>
      </c>
      <c r="D130" s="5">
        <f>(135356+99151)/1641255</f>
        <v>0.14288273303051627</v>
      </c>
      <c r="E130" s="6">
        <f t="shared" si="26"/>
        <v>170033.5742940311</v>
      </c>
      <c r="F130" s="10">
        <f>525/3051</f>
        <v>0.17207472959685349</v>
      </c>
      <c r="G130" s="186">
        <f t="shared" si="27"/>
        <v>89650.087512291051</v>
      </c>
      <c r="H130" s="10">
        <f>99151/495360</f>
        <v>0.2001594799741602</v>
      </c>
      <c r="I130" s="6">
        <f t="shared" si="28"/>
        <v>20869.878378855781</v>
      </c>
      <c r="J130" s="187">
        <f t="shared" si="29"/>
        <v>330771.73036895448</v>
      </c>
    </row>
    <row r="131" spans="1:10" ht="15.6">
      <c r="A131" s="132" t="s">
        <v>441</v>
      </c>
      <c r="B131" s="5">
        <f>1659/32866</f>
        <v>5.0477697316375587E-2</v>
      </c>
      <c r="C131" s="6">
        <f t="shared" si="25"/>
        <v>14356.708170753971</v>
      </c>
      <c r="D131" s="5">
        <f>(19355+49576)/1641255</f>
        <v>4.1998958114369794E-2</v>
      </c>
      <c r="E131" s="6">
        <f t="shared" si="26"/>
        <v>49979.677833334856</v>
      </c>
      <c r="F131" s="10">
        <f>450/3051</f>
        <v>0.14749262536873156</v>
      </c>
      <c r="G131" s="186">
        <f t="shared" si="27"/>
        <v>76842.932153392336</v>
      </c>
      <c r="H131" s="10">
        <f>49576/495360</f>
        <v>0.10008074935400517</v>
      </c>
      <c r="I131" s="6">
        <f t="shared" si="28"/>
        <v>10435.044432332041</v>
      </c>
      <c r="J131" s="187">
        <f t="shared" si="29"/>
        <v>151614.36258981319</v>
      </c>
    </row>
    <row r="132" spans="1:10" ht="15.6">
      <c r="A132" s="132" t="s">
        <v>447</v>
      </c>
      <c r="B132" s="5">
        <f>0</f>
        <v>0</v>
      </c>
      <c r="C132" s="6">
        <f t="shared" si="25"/>
        <v>0</v>
      </c>
      <c r="D132" s="5">
        <f>5720/1641255</f>
        <v>3.4851378975235413E-3</v>
      </c>
      <c r="E132" s="6">
        <f t="shared" si="26"/>
        <v>4147.3902483160755</v>
      </c>
      <c r="F132" s="10">
        <v>0</v>
      </c>
      <c r="G132" s="186">
        <f t="shared" si="27"/>
        <v>0</v>
      </c>
      <c r="H132" s="10">
        <v>0</v>
      </c>
      <c r="I132" s="6">
        <f t="shared" si="28"/>
        <v>0</v>
      </c>
      <c r="J132" s="187">
        <f t="shared" si="29"/>
        <v>4147.3902483160755</v>
      </c>
    </row>
    <row r="133" spans="1:10" ht="15.6">
      <c r="A133" s="132" t="s">
        <v>443</v>
      </c>
      <c r="B133" s="5">
        <f>8714/32866</f>
        <v>0.26513722387878053</v>
      </c>
      <c r="C133" s="6">
        <f t="shared" si="25"/>
        <v>75409.496684719779</v>
      </c>
      <c r="D133" s="5">
        <f>(149104+109067)/1641255</f>
        <v>0.15730096785691439</v>
      </c>
      <c r="E133" s="6">
        <f t="shared" si="26"/>
        <v>187191.5887758758</v>
      </c>
      <c r="F133" s="10">
        <f>565/3051</f>
        <v>0.18518518518518517</v>
      </c>
      <c r="G133" s="186">
        <f t="shared" si="27"/>
        <v>96480.570370370362</v>
      </c>
      <c r="H133" s="10">
        <f>109067/495360</f>
        <v>0.22017724483204135</v>
      </c>
      <c r="I133" s="6">
        <f t="shared" si="28"/>
        <v>22957.05565396883</v>
      </c>
      <c r="J133" s="187">
        <f t="shared" si="29"/>
        <v>382038.71148493479</v>
      </c>
    </row>
    <row r="134" spans="1:10" ht="15.6">
      <c r="A134" s="133" t="s">
        <v>444</v>
      </c>
      <c r="B134" s="5">
        <f>19/32866</f>
        <v>5.7810503255644136E-4</v>
      </c>
      <c r="C134" s="6">
        <f t="shared" si="25"/>
        <v>164.42281810990082</v>
      </c>
      <c r="D134" s="5">
        <f>16882/1641255</f>
        <v>1.0286031116432242E-2</v>
      </c>
      <c r="E134" s="6">
        <f t="shared" si="26"/>
        <v>12240.601778334263</v>
      </c>
      <c r="F134" s="10">
        <v>0</v>
      </c>
      <c r="G134" s="186">
        <f t="shared" si="27"/>
        <v>0</v>
      </c>
      <c r="H134" s="10">
        <v>0</v>
      </c>
      <c r="I134" s="6">
        <f t="shared" si="28"/>
        <v>0</v>
      </c>
      <c r="J134" s="187">
        <f t="shared" si="29"/>
        <v>12405.024596444164</v>
      </c>
    </row>
    <row r="135" spans="1:10" ht="15.6">
      <c r="A135" s="8" t="s">
        <v>427</v>
      </c>
      <c r="B135" s="5">
        <f>2165/32866</f>
        <v>6.5873547130773438E-2</v>
      </c>
      <c r="C135" s="6">
        <f t="shared" si="25"/>
        <v>18735.547431996591</v>
      </c>
      <c r="D135" s="5">
        <f>57290/1641255</f>
        <v>3.4906215061035611E-2</v>
      </c>
      <c r="E135" s="6">
        <f t="shared" si="26"/>
        <v>41539.158623431467</v>
      </c>
      <c r="F135" s="10">
        <v>0</v>
      </c>
      <c r="G135" s="186">
        <f t="shared" si="27"/>
        <v>0</v>
      </c>
      <c r="H135" s="10">
        <v>0</v>
      </c>
      <c r="I135" s="6">
        <f t="shared" si="28"/>
        <v>0</v>
      </c>
      <c r="J135" s="187">
        <f t="shared" si="29"/>
        <v>60274.706055428062</v>
      </c>
    </row>
    <row r="136" spans="1:10" ht="15.6">
      <c r="A136" s="134" t="s">
        <v>445</v>
      </c>
      <c r="B136" s="5">
        <f>542/32866</f>
        <v>1.649120671818901E-2</v>
      </c>
      <c r="C136" s="6">
        <f t="shared" si="25"/>
        <v>4690.377232398223</v>
      </c>
      <c r="D136" s="5">
        <f>87030/1641255</f>
        <v>5.3026494968789126E-2</v>
      </c>
      <c r="E136" s="6">
        <f t="shared" si="26"/>
        <v>63102.68764177413</v>
      </c>
      <c r="F136" s="5">
        <v>0</v>
      </c>
      <c r="G136" s="186">
        <f t="shared" si="27"/>
        <v>0</v>
      </c>
      <c r="H136" s="10">
        <v>0</v>
      </c>
      <c r="I136" s="6">
        <f t="shared" si="28"/>
        <v>0</v>
      </c>
      <c r="J136" s="187">
        <f t="shared" si="29"/>
        <v>67793.064874172356</v>
      </c>
    </row>
    <row r="137" spans="1:10" ht="15.6">
      <c r="A137" s="137" t="s">
        <v>428</v>
      </c>
      <c r="B137" s="35">
        <v>0</v>
      </c>
      <c r="C137" s="188">
        <f t="shared" si="25"/>
        <v>0</v>
      </c>
      <c r="D137" s="35">
        <f>59491/1641255</f>
        <v>3.6247262003771506E-2</v>
      </c>
      <c r="E137" s="188">
        <f t="shared" si="26"/>
        <v>43135.03378716288</v>
      </c>
      <c r="F137" s="35">
        <v>0</v>
      </c>
      <c r="G137" s="189">
        <f t="shared" si="27"/>
        <v>0</v>
      </c>
      <c r="H137" s="37">
        <f>59491/495360</f>
        <v>0.12009649547803618</v>
      </c>
      <c r="I137" s="188">
        <f t="shared" si="28"/>
        <v>12522.011221636789</v>
      </c>
      <c r="J137" s="190">
        <f t="shared" si="29"/>
        <v>55657.045008799672</v>
      </c>
    </row>
    <row r="138" spans="1:10" ht="15.6">
      <c r="A138" s="8" t="s">
        <v>429</v>
      </c>
      <c r="B138" s="5">
        <f>1440/32866</f>
        <v>4.3814276151646077E-2</v>
      </c>
      <c r="C138" s="6">
        <f t="shared" si="25"/>
        <v>12461.51884622406</v>
      </c>
      <c r="D138" s="5">
        <f>14718/1641255</f>
        <v>8.9675278978586515E-3</v>
      </c>
      <c r="E138" s="6">
        <f t="shared" si="26"/>
        <v>10671.554138936364</v>
      </c>
      <c r="F138" s="5">
        <f>235/3051</f>
        <v>7.7023926581448701E-2</v>
      </c>
      <c r="G138" s="186">
        <f t="shared" si="27"/>
        <v>40129.086791215996</v>
      </c>
      <c r="H138" s="10">
        <v>0</v>
      </c>
      <c r="I138" s="6">
        <f t="shared" si="28"/>
        <v>0</v>
      </c>
      <c r="J138" s="187">
        <f t="shared" si="29"/>
        <v>63262.159776376422</v>
      </c>
    </row>
    <row r="139" spans="1:10" ht="15.6">
      <c r="A139" s="8" t="s">
        <v>53</v>
      </c>
      <c r="B139" s="5">
        <f>192/32866</f>
        <v>5.8419034868861441E-3</v>
      </c>
      <c r="C139" s="6">
        <f t="shared" si="25"/>
        <v>1661.5358461632081</v>
      </c>
      <c r="D139" s="5">
        <f>20877/1641255</f>
        <v>1.2720144036118701E-2</v>
      </c>
      <c r="E139" s="6">
        <f t="shared" si="26"/>
        <v>15137.249338128444</v>
      </c>
      <c r="F139" s="5">
        <v>0</v>
      </c>
      <c r="G139" s="186">
        <f t="shared" si="27"/>
        <v>0</v>
      </c>
      <c r="H139" s="10">
        <v>0</v>
      </c>
      <c r="I139" s="6">
        <f t="shared" si="28"/>
        <v>0</v>
      </c>
      <c r="J139" s="187">
        <f t="shared" si="29"/>
        <v>16798.785184291653</v>
      </c>
    </row>
    <row r="140" spans="1:10" ht="16.2" thickBot="1">
      <c r="A140" s="12" t="s">
        <v>54</v>
      </c>
      <c r="B140" s="13">
        <f>SUM(B124:B139)</f>
        <v>1</v>
      </c>
      <c r="C140" s="191">
        <v>284416.86</v>
      </c>
      <c r="D140" s="13">
        <f>SUM(D124:D139)</f>
        <v>1</v>
      </c>
      <c r="E140" s="191">
        <v>1190021.8500000001</v>
      </c>
      <c r="F140" s="13">
        <f>SUM(F124:F139)</f>
        <v>1</v>
      </c>
      <c r="G140" s="191">
        <v>520995.08</v>
      </c>
      <c r="H140" s="15">
        <f>SUM(H124:H139)</f>
        <v>0.99999999999999989</v>
      </c>
      <c r="I140" s="191">
        <v>104266.25</v>
      </c>
      <c r="J140" s="187">
        <f t="shared" si="29"/>
        <v>2099700.04</v>
      </c>
    </row>
    <row r="141" spans="1:10" ht="15.6">
      <c r="A141" s="136" t="s">
        <v>430</v>
      </c>
      <c r="B141" s="16"/>
      <c r="C141" s="17"/>
      <c r="D141" s="16"/>
      <c r="E141" s="17"/>
      <c r="F141" s="16"/>
      <c r="G141" s="17"/>
      <c r="H141" s="17"/>
      <c r="I141" s="17"/>
      <c r="J141" s="18"/>
    </row>
    <row r="142" spans="1:10" ht="15.6">
      <c r="A142" s="136" t="s">
        <v>431</v>
      </c>
      <c r="B142" s="16"/>
      <c r="C142" s="17"/>
      <c r="D142" s="16"/>
      <c r="E142" s="17"/>
      <c r="F142" s="16"/>
      <c r="G142" s="17"/>
      <c r="H142" s="17"/>
      <c r="I142" s="17"/>
      <c r="J142" s="18"/>
    </row>
    <row r="145" spans="1:10" ht="26.4" thickBot="1">
      <c r="A145" s="285" t="s">
        <v>573</v>
      </c>
      <c r="B145" s="285"/>
      <c r="C145" s="285"/>
      <c r="D145" s="285"/>
      <c r="E145" s="285"/>
      <c r="F145" s="285"/>
      <c r="G145" s="285"/>
      <c r="H145" s="285"/>
      <c r="I145" s="285"/>
      <c r="J145" s="285"/>
    </row>
    <row r="146" spans="1:10" ht="15.6">
      <c r="A146" s="286" t="s">
        <v>45</v>
      </c>
      <c r="B146" s="288" t="s">
        <v>46</v>
      </c>
      <c r="C146" s="288"/>
      <c r="D146" s="288" t="s">
        <v>47</v>
      </c>
      <c r="E146" s="288"/>
      <c r="F146" s="288" t="s">
        <v>48</v>
      </c>
      <c r="G146" s="288"/>
      <c r="H146" s="289" t="s">
        <v>433</v>
      </c>
      <c r="I146" s="289"/>
      <c r="J146" s="4" t="s">
        <v>49</v>
      </c>
    </row>
    <row r="147" spans="1:10" ht="15.6">
      <c r="A147" s="287"/>
      <c r="B147" s="5" t="s">
        <v>50</v>
      </c>
      <c r="C147" s="6" t="s">
        <v>51</v>
      </c>
      <c r="D147" s="5" t="s">
        <v>50</v>
      </c>
      <c r="E147" s="6" t="s">
        <v>51</v>
      </c>
      <c r="F147" s="5" t="s">
        <v>50</v>
      </c>
      <c r="G147" s="6" t="s">
        <v>51</v>
      </c>
      <c r="H147" s="6" t="s">
        <v>50</v>
      </c>
      <c r="I147" s="6" t="s">
        <v>51</v>
      </c>
      <c r="J147" s="7" t="s">
        <v>52</v>
      </c>
    </row>
    <row r="148" spans="1:10" ht="15.6">
      <c r="A148" s="132" t="s">
        <v>434</v>
      </c>
      <c r="B148" s="5">
        <f>5195/32419</f>
        <v>0.1602455350257565</v>
      </c>
      <c r="C148" s="6">
        <f>B148*C$164</f>
        <v>44304.248053610543</v>
      </c>
      <c r="D148" s="5">
        <f>(124084+56946)/1493406</f>
        <v>0.12121954779879014</v>
      </c>
      <c r="E148" s="6">
        <f>D148*E$164</f>
        <v>143044.40854804387</v>
      </c>
      <c r="F148" s="10">
        <f>600/3502.4</f>
        <v>0.17131110095934216</v>
      </c>
      <c r="G148" s="186">
        <f>F148*G$164</f>
        <v>102313.35027409776</v>
      </c>
      <c r="H148" s="10">
        <f>56946/534480</f>
        <v>0.1065446789402784</v>
      </c>
      <c r="I148" s="6">
        <f>H148*I$164</f>
        <v>13052.08755298608</v>
      </c>
      <c r="J148" s="187">
        <f>I148+G148+E148+C148</f>
        <v>302714.09442873823</v>
      </c>
    </row>
    <row r="149" spans="1:10" ht="15.6">
      <c r="A149" s="132" t="s">
        <v>435</v>
      </c>
      <c r="B149" s="5">
        <f>317/32419</f>
        <v>9.7782164779913021E-3</v>
      </c>
      <c r="C149" s="6">
        <f t="shared" ref="C149:C163" si="30">B149*C$164</f>
        <v>2703.4545973040504</v>
      </c>
      <c r="D149" s="5">
        <f>(34315+6101)/1493406</f>
        <v>2.7062968810892683E-2</v>
      </c>
      <c r="E149" s="6">
        <f t="shared" ref="E149:E163" si="31">D149*E$164</f>
        <v>31935.495861888863</v>
      </c>
      <c r="F149" s="10">
        <f>150/3502.4</f>
        <v>4.2827775239835539E-2</v>
      </c>
      <c r="G149" s="186">
        <f t="shared" ref="G149:G163" si="32">F149*G$164</f>
        <v>25578.337568524439</v>
      </c>
      <c r="H149" s="10">
        <f>6101/534480</f>
        <v>1.1414833108816046E-2</v>
      </c>
      <c r="I149" s="6">
        <f t="shared" ref="I149:I163" si="33">H149*I$164</f>
        <v>1398.3560945591978</v>
      </c>
      <c r="J149" s="187">
        <f t="shared" ref="J149:J164" si="34">I149+G149+E149+C149</f>
        <v>61615.64412227655</v>
      </c>
    </row>
    <row r="150" spans="1:10" ht="15.6">
      <c r="A150" s="132" t="s">
        <v>436</v>
      </c>
      <c r="B150" s="5">
        <f>742/32419</f>
        <v>2.2887812702427589E-2</v>
      </c>
      <c r="C150" s="6">
        <f t="shared" si="30"/>
        <v>6327.9599722385028</v>
      </c>
      <c r="D150" s="5">
        <f>67650/1493406</f>
        <v>4.5299134997448788E-2</v>
      </c>
      <c r="E150" s="6">
        <f t="shared" si="31"/>
        <v>53454.97562986891</v>
      </c>
      <c r="F150" s="10">
        <f>290/3502.4</f>
        <v>8.2800365463682038E-2</v>
      </c>
      <c r="G150" s="186">
        <f t="shared" si="32"/>
        <v>49451.452632480577</v>
      </c>
      <c r="H150" s="10">
        <f>0</f>
        <v>0</v>
      </c>
      <c r="I150" s="6">
        <f t="shared" si="33"/>
        <v>0</v>
      </c>
      <c r="J150" s="187">
        <f t="shared" si="34"/>
        <v>109234.38823458798</v>
      </c>
    </row>
    <row r="151" spans="1:10" ht="15.6">
      <c r="A151" s="132" t="s">
        <v>437</v>
      </c>
      <c r="B151" s="5">
        <f>359/32419</f>
        <v>1.107375304605324E-2</v>
      </c>
      <c r="C151" s="6">
        <f t="shared" si="30"/>
        <v>3061.6410108269843</v>
      </c>
      <c r="D151" s="5">
        <f>13815/1493406</f>
        <v>9.2506659274169244E-3</v>
      </c>
      <c r="E151" s="6">
        <f t="shared" si="31"/>
        <v>10916.193471199393</v>
      </c>
      <c r="F151" s="10">
        <f>185/3502.4</f>
        <v>5.2820922795797164E-2</v>
      </c>
      <c r="G151" s="186">
        <f t="shared" si="32"/>
        <v>31546.616334513474</v>
      </c>
      <c r="H151" s="10">
        <f>0</f>
        <v>0</v>
      </c>
      <c r="I151" s="6">
        <f t="shared" si="33"/>
        <v>0</v>
      </c>
      <c r="J151" s="187">
        <f t="shared" si="34"/>
        <v>45524.450816539851</v>
      </c>
    </row>
    <row r="152" spans="1:10" ht="15.6">
      <c r="A152" s="132" t="s">
        <v>438</v>
      </c>
      <c r="B152" s="5">
        <f>11846/32419</f>
        <v>0.36540300441099355</v>
      </c>
      <c r="C152" s="6">
        <f t="shared" si="30"/>
        <v>101025.62510934946</v>
      </c>
      <c r="D152" s="5">
        <f>(134694+137484)/1493406</f>
        <v>0.18225318500126556</v>
      </c>
      <c r="E152" s="6">
        <f t="shared" si="31"/>
        <v>215066.79019935639</v>
      </c>
      <c r="F152" s="10">
        <f>520/3502.4</f>
        <v>0.14846962083142987</v>
      </c>
      <c r="G152" s="186">
        <f t="shared" si="32"/>
        <v>88671.570237551394</v>
      </c>
      <c r="H152" s="10">
        <f>137484/534480</f>
        <v>0.25722945666816344</v>
      </c>
      <c r="I152" s="6">
        <f t="shared" si="33"/>
        <v>31511.488166591826</v>
      </c>
      <c r="J152" s="187">
        <f t="shared" si="34"/>
        <v>436275.47371284908</v>
      </c>
    </row>
    <row r="153" spans="1:10" ht="15.6">
      <c r="A153" s="132" t="s">
        <v>439</v>
      </c>
      <c r="B153" s="5">
        <f>5501/32419</f>
        <v>0.16968444430735063</v>
      </c>
      <c r="C153" s="6">
        <f t="shared" si="30"/>
        <v>46913.891923563351</v>
      </c>
      <c r="D153" s="5">
        <f>(174783+142772)/1493406</f>
        <v>0.21263809037863782</v>
      </c>
      <c r="E153" s="6">
        <f t="shared" si="31"/>
        <v>250922.31760743563</v>
      </c>
      <c r="F153" s="10">
        <f>530/3502.4</f>
        <v>0.15132480584741892</v>
      </c>
      <c r="G153" s="186">
        <f t="shared" si="32"/>
        <v>90376.792742119695</v>
      </c>
      <c r="H153" s="10">
        <f>142772/534480</f>
        <v>0.26712318515192335</v>
      </c>
      <c r="I153" s="6">
        <f t="shared" si="33"/>
        <v>32723.503742403831</v>
      </c>
      <c r="J153" s="187">
        <f t="shared" si="34"/>
        <v>420936.50601552252</v>
      </c>
    </row>
    <row r="154" spans="1:10" ht="15.6">
      <c r="A154" s="132" t="s">
        <v>440</v>
      </c>
      <c r="B154" s="5">
        <f>3112/32419</f>
        <v>9.5993090471636996E-2</v>
      </c>
      <c r="C154" s="6">
        <f t="shared" si="30"/>
        <v>26539.907592461212</v>
      </c>
      <c r="D154" s="5">
        <f>(145700+97622)/1493406</f>
        <v>0.16293091095120818</v>
      </c>
      <c r="E154" s="6">
        <f t="shared" si="31"/>
        <v>192265.65528767128</v>
      </c>
      <c r="F154" s="10">
        <f>525/3502.4</f>
        <v>0.14989721333942438</v>
      </c>
      <c r="G154" s="186">
        <f t="shared" si="32"/>
        <v>89524.181489835537</v>
      </c>
      <c r="H154" s="10">
        <f>97622/534480</f>
        <v>0.18264855560544829</v>
      </c>
      <c r="I154" s="6">
        <f t="shared" si="33"/>
        <v>22375.072719727585</v>
      </c>
      <c r="J154" s="187">
        <f t="shared" si="34"/>
        <v>330704.8170896956</v>
      </c>
    </row>
    <row r="155" spans="1:10" ht="15.6">
      <c r="A155" s="132" t="s">
        <v>441</v>
      </c>
      <c r="B155" s="5">
        <f>964/32419</f>
        <v>2.9735648847897839E-2</v>
      </c>
      <c r="C155" s="6">
        <f t="shared" si="30"/>
        <v>8221.2310151454403</v>
      </c>
      <c r="D155" s="5">
        <f>(20381+52879)/1493406</f>
        <v>4.9055648631383564E-2</v>
      </c>
      <c r="E155" s="6">
        <f t="shared" si="31"/>
        <v>57887.827267467794</v>
      </c>
      <c r="F155" s="10">
        <f>450/3502.4</f>
        <v>0.12848332571950663</v>
      </c>
      <c r="G155" s="186">
        <f t="shared" si="32"/>
        <v>76735.012705573332</v>
      </c>
      <c r="H155" s="10">
        <f>52879/534480</f>
        <v>9.8935413860200563E-2</v>
      </c>
      <c r="I155" s="6">
        <f t="shared" si="33"/>
        <v>12119.926556989971</v>
      </c>
      <c r="J155" s="187">
        <f t="shared" si="34"/>
        <v>154963.99754517653</v>
      </c>
    </row>
    <row r="156" spans="1:10" ht="15.6">
      <c r="A156" s="132" t="s">
        <v>447</v>
      </c>
      <c r="B156" s="5">
        <f>0</f>
        <v>0</v>
      </c>
      <c r="C156" s="6">
        <f t="shared" si="30"/>
        <v>0</v>
      </c>
      <c r="D156" s="5">
        <f>3747/1493406</f>
        <v>2.5090296945371854E-3</v>
      </c>
      <c r="E156" s="6">
        <f t="shared" si="31"/>
        <v>2960.7656124925174</v>
      </c>
      <c r="F156" s="10">
        <f>0</f>
        <v>0</v>
      </c>
      <c r="G156" s="186">
        <f t="shared" si="32"/>
        <v>0</v>
      </c>
      <c r="H156" s="10">
        <v>0</v>
      </c>
      <c r="I156" s="6">
        <f t="shared" si="33"/>
        <v>0</v>
      </c>
      <c r="J156" s="187">
        <f t="shared" si="34"/>
        <v>2960.7656124925174</v>
      </c>
    </row>
    <row r="157" spans="1:10" ht="15.6">
      <c r="A157" s="132" t="s">
        <v>443</v>
      </c>
      <c r="B157" s="5">
        <f>0</f>
        <v>0</v>
      </c>
      <c r="C157" s="6">
        <f t="shared" si="30"/>
        <v>0</v>
      </c>
      <c r="D157" s="5">
        <f>6607/1493406</f>
        <v>4.4241150765431505E-3</v>
      </c>
      <c r="E157" s="6">
        <f t="shared" si="31"/>
        <v>5220.6507610723411</v>
      </c>
      <c r="F157" s="10">
        <v>0</v>
      </c>
      <c r="G157" s="186">
        <f t="shared" si="32"/>
        <v>0</v>
      </c>
      <c r="H157" s="10">
        <v>0</v>
      </c>
      <c r="I157" s="6">
        <f t="shared" si="33"/>
        <v>0</v>
      </c>
      <c r="J157" s="187">
        <f t="shared" si="34"/>
        <v>5220.6507610723411</v>
      </c>
    </row>
    <row r="158" spans="1:10" ht="15.6">
      <c r="A158" s="133" t="s">
        <v>444</v>
      </c>
      <c r="B158" s="5">
        <f>20/32419</f>
        <v>6.1692217526759005E-4</v>
      </c>
      <c r="C158" s="6">
        <f t="shared" si="30"/>
        <v>170.56495882044482</v>
      </c>
      <c r="D158" s="5">
        <f>18705/1493406</f>
        <v>1.2525060164483067E-2</v>
      </c>
      <c r="E158" s="6">
        <f t="shared" si="31"/>
        <v>14780.122973491469</v>
      </c>
      <c r="F158" s="10">
        <v>0</v>
      </c>
      <c r="G158" s="186">
        <f t="shared" si="32"/>
        <v>0</v>
      </c>
      <c r="H158" s="10">
        <v>0</v>
      </c>
      <c r="I158" s="6">
        <f t="shared" si="33"/>
        <v>0</v>
      </c>
      <c r="J158" s="187">
        <f t="shared" si="34"/>
        <v>14950.687932311914</v>
      </c>
    </row>
    <row r="159" spans="1:10" ht="15.6">
      <c r="A159" s="8" t="s">
        <v>427</v>
      </c>
      <c r="B159" s="5">
        <f>1881/32419</f>
        <v>5.802153058391684E-2</v>
      </c>
      <c r="C159" s="6">
        <f t="shared" si="30"/>
        <v>16041.634377062835</v>
      </c>
      <c r="D159" s="5">
        <f>73799/1493406</f>
        <v>4.9416568568761608E-2</v>
      </c>
      <c r="E159" s="6">
        <f t="shared" si="31"/>
        <v>58313.728699315529</v>
      </c>
      <c r="F159" s="10">
        <v>0</v>
      </c>
      <c r="G159" s="186">
        <f t="shared" si="32"/>
        <v>0</v>
      </c>
      <c r="H159" s="10">
        <v>0</v>
      </c>
      <c r="I159" s="6">
        <f t="shared" si="33"/>
        <v>0</v>
      </c>
      <c r="J159" s="187">
        <f t="shared" si="34"/>
        <v>74355.363076378359</v>
      </c>
    </row>
    <row r="160" spans="1:10" ht="15.6">
      <c r="A160" s="134" t="s">
        <v>445</v>
      </c>
      <c r="B160" s="5">
        <f>685/32419</f>
        <v>2.1129584502914956E-2</v>
      </c>
      <c r="C160" s="6">
        <f t="shared" si="30"/>
        <v>5841.8498396002342</v>
      </c>
      <c r="D160" s="5">
        <f>96563/1493406</f>
        <v>6.4659576833091606E-2</v>
      </c>
      <c r="E160" s="6">
        <f t="shared" si="31"/>
        <v>76301.150210599139</v>
      </c>
      <c r="F160" s="5">
        <v>0</v>
      </c>
      <c r="G160" s="186">
        <f t="shared" si="32"/>
        <v>0</v>
      </c>
      <c r="H160" s="10">
        <v>0</v>
      </c>
      <c r="I160" s="6">
        <f t="shared" si="33"/>
        <v>0</v>
      </c>
      <c r="J160" s="187">
        <f t="shared" si="34"/>
        <v>82143.000050199378</v>
      </c>
    </row>
    <row r="161" spans="1:10" ht="15.6">
      <c r="A161" s="137" t="s">
        <v>428</v>
      </c>
      <c r="B161" s="35">
        <v>0</v>
      </c>
      <c r="C161" s="188">
        <f t="shared" si="30"/>
        <v>0</v>
      </c>
      <c r="D161" s="35">
        <f>40676/1493406</f>
        <v>2.7237067481984137E-2</v>
      </c>
      <c r="E161" s="188">
        <f t="shared" si="31"/>
        <v>32140.939966305214</v>
      </c>
      <c r="F161" s="35">
        <v>0</v>
      </c>
      <c r="G161" s="189">
        <f t="shared" si="32"/>
        <v>0</v>
      </c>
      <c r="H161" s="37">
        <f>40676/534480</f>
        <v>7.6103876665169878E-2</v>
      </c>
      <c r="I161" s="188">
        <f t="shared" si="33"/>
        <v>9322.9851667415041</v>
      </c>
      <c r="J161" s="190">
        <f t="shared" si="34"/>
        <v>41463.925133046716</v>
      </c>
    </row>
    <row r="162" spans="1:10" ht="15.6">
      <c r="A162" s="8" t="s">
        <v>429</v>
      </c>
      <c r="B162" s="5">
        <f>1550/32419</f>
        <v>4.7811468583238224E-2</v>
      </c>
      <c r="C162" s="6">
        <f t="shared" si="30"/>
        <v>13218.784308584472</v>
      </c>
      <c r="D162" s="5">
        <f>18059/1493406</f>
        <v>1.2092491927848155E-2</v>
      </c>
      <c r="E162" s="6">
        <f t="shared" si="31"/>
        <v>14269.673390980084</v>
      </c>
      <c r="F162" s="5">
        <f>252.4/3502.4</f>
        <v>7.2064869803563275E-2</v>
      </c>
      <c r="G162" s="186">
        <f t="shared" si="32"/>
        <v>43039.816015303797</v>
      </c>
      <c r="H162" s="10">
        <v>0</v>
      </c>
      <c r="I162" s="6">
        <f t="shared" si="33"/>
        <v>0</v>
      </c>
      <c r="J162" s="187">
        <f t="shared" si="34"/>
        <v>70528.273714868352</v>
      </c>
    </row>
    <row r="163" spans="1:10" ht="15.6">
      <c r="A163" s="8" t="s">
        <v>53</v>
      </c>
      <c r="B163" s="5">
        <f>247/32419</f>
        <v>7.6189888645547361E-3</v>
      </c>
      <c r="C163" s="6">
        <f t="shared" si="30"/>
        <v>2106.4772414324934</v>
      </c>
      <c r="D163" s="5">
        <f>26024/1493406</f>
        <v>1.7425937755707423E-2</v>
      </c>
      <c r="E163" s="6">
        <f t="shared" si="31"/>
        <v>20563.374512811653</v>
      </c>
      <c r="F163" s="5">
        <v>0</v>
      </c>
      <c r="G163" s="186">
        <f t="shared" si="32"/>
        <v>0</v>
      </c>
      <c r="H163" s="10">
        <v>0</v>
      </c>
      <c r="I163" s="6">
        <f t="shared" si="33"/>
        <v>0</v>
      </c>
      <c r="J163" s="187">
        <f t="shared" si="34"/>
        <v>22669.851754244148</v>
      </c>
    </row>
    <row r="164" spans="1:10" ht="16.2" thickBot="1">
      <c r="A164" s="12" t="s">
        <v>54</v>
      </c>
      <c r="B164" s="13">
        <f>SUM(B148:B163)</f>
        <v>0.99999999999999978</v>
      </c>
      <c r="C164" s="191">
        <v>276477.27</v>
      </c>
      <c r="D164" s="13">
        <f>SUM(D148:D163)</f>
        <v>1</v>
      </c>
      <c r="E164" s="191">
        <v>1180044.07</v>
      </c>
      <c r="F164" s="13">
        <f>SUM(F148:F163)</f>
        <v>1</v>
      </c>
      <c r="G164" s="191">
        <v>597237.13</v>
      </c>
      <c r="H164" s="15">
        <f>SUM(H148:H163)</f>
        <v>0.99999999999999978</v>
      </c>
      <c r="I164" s="191">
        <v>122503.42</v>
      </c>
      <c r="J164" s="187">
        <f t="shared" si="34"/>
        <v>2176261.89</v>
      </c>
    </row>
    <row r="165" spans="1:10" ht="15.6">
      <c r="A165" s="136" t="s">
        <v>430</v>
      </c>
      <c r="B165" s="16"/>
      <c r="C165" s="17"/>
      <c r="D165" s="16"/>
      <c r="E165" s="17"/>
      <c r="F165" s="16"/>
      <c r="G165" s="17"/>
      <c r="H165" s="17"/>
      <c r="I165" s="17"/>
      <c r="J165" s="18"/>
    </row>
    <row r="166" spans="1:10" ht="15.6">
      <c r="A166" s="136" t="s">
        <v>431</v>
      </c>
      <c r="B166" s="16"/>
      <c r="C166" s="17"/>
      <c r="D166" s="16"/>
      <c r="E166" s="17"/>
      <c r="F166" s="16"/>
      <c r="G166" s="17"/>
      <c r="H166" s="17"/>
      <c r="I166" s="17"/>
      <c r="J166" s="18"/>
    </row>
    <row r="169" spans="1:10" ht="26.4" thickBot="1">
      <c r="A169" s="285" t="s">
        <v>590</v>
      </c>
      <c r="B169" s="285"/>
      <c r="C169" s="285"/>
      <c r="D169" s="285"/>
      <c r="E169" s="285"/>
      <c r="F169" s="285"/>
      <c r="G169" s="285"/>
      <c r="H169" s="285"/>
      <c r="I169" s="285"/>
      <c r="J169" s="285"/>
    </row>
    <row r="170" spans="1:10" ht="15.6">
      <c r="A170" s="286" t="s">
        <v>45</v>
      </c>
      <c r="B170" s="288" t="s">
        <v>46</v>
      </c>
      <c r="C170" s="288"/>
      <c r="D170" s="288" t="s">
        <v>47</v>
      </c>
      <c r="E170" s="288"/>
      <c r="F170" s="288" t="s">
        <v>48</v>
      </c>
      <c r="G170" s="288"/>
      <c r="H170" s="289" t="s">
        <v>433</v>
      </c>
      <c r="I170" s="289"/>
      <c r="J170" s="4" t="s">
        <v>49</v>
      </c>
    </row>
    <row r="171" spans="1:10" ht="15.6">
      <c r="A171" s="287"/>
      <c r="B171" s="5" t="s">
        <v>50</v>
      </c>
      <c r="C171" s="6" t="s">
        <v>51</v>
      </c>
      <c r="D171" s="5" t="s">
        <v>50</v>
      </c>
      <c r="E171" s="6" t="s">
        <v>51</v>
      </c>
      <c r="F171" s="5" t="s">
        <v>50</v>
      </c>
      <c r="G171" s="6" t="s">
        <v>51</v>
      </c>
      <c r="H171" s="6" t="s">
        <v>50</v>
      </c>
      <c r="I171" s="6" t="s">
        <v>51</v>
      </c>
      <c r="J171" s="7" t="s">
        <v>52</v>
      </c>
    </row>
    <row r="172" spans="1:10" ht="15.6">
      <c r="A172" s="132" t="s">
        <v>434</v>
      </c>
      <c r="B172" s="5">
        <f>2909/28660</f>
        <v>0.10150034891835311</v>
      </c>
      <c r="C172" s="6">
        <f>B172*C$188</f>
        <v>24832.377043963712</v>
      </c>
      <c r="D172" s="5">
        <f>(49504+32793)/1318152</f>
        <v>6.2433619188075426E-2</v>
      </c>
      <c r="E172" s="6">
        <f>D172*E$188</f>
        <v>70891.057052115371</v>
      </c>
      <c r="F172" s="10">
        <f>200/1800.7</f>
        <v>0.11106791803187649</v>
      </c>
      <c r="G172" s="186">
        <f>F172*G$188</f>
        <v>32029.235297384348</v>
      </c>
      <c r="H172" s="10">
        <f>32793/484680</f>
        <v>6.7659074028224811E-2</v>
      </c>
      <c r="I172" s="6">
        <f>H172*I$188</f>
        <v>15032.365868531815</v>
      </c>
      <c r="J172" s="187">
        <f>I172+G172+E172+C172</f>
        <v>142785.03526199525</v>
      </c>
    </row>
    <row r="173" spans="1:10" ht="15.6">
      <c r="A173" s="132" t="s">
        <v>435</v>
      </c>
      <c r="B173" s="5">
        <f>536/28660</f>
        <v>1.8702023726448011E-2</v>
      </c>
      <c r="C173" s="6">
        <f t="shared" ref="C173:C187" si="35">B173*C$188</f>
        <v>4575.5084549895328</v>
      </c>
      <c r="D173" s="5">
        <f>(145841+9838)/1318152</f>
        <v>0.11810398193835005</v>
      </c>
      <c r="E173" s="6">
        <f t="shared" ref="E173:E187" si="36">D173*E$188</f>
        <v>134102.68747118692</v>
      </c>
      <c r="F173" s="10">
        <f>130/1800.7</f>
        <v>7.2194146720719721E-2</v>
      </c>
      <c r="G173" s="186">
        <f t="shared" ref="G173:G187" si="37">F173*G$188</f>
        <v>20819.002943299827</v>
      </c>
      <c r="H173" s="10">
        <f>9838/484680</f>
        <v>2.0297928530164232E-2</v>
      </c>
      <c r="I173" s="6">
        <f t="shared" ref="I173:I187" si="38">H173*I$188</f>
        <v>4509.7556007262519</v>
      </c>
      <c r="J173" s="187">
        <f t="shared" ref="J173:J188" si="39">I173+G173+E173+C173</f>
        <v>164006.95447020253</v>
      </c>
    </row>
    <row r="174" spans="1:10" ht="15.6">
      <c r="A174" s="132" t="s">
        <v>436</v>
      </c>
      <c r="B174" s="5">
        <f>639/28660</f>
        <v>2.2295882763433358E-2</v>
      </c>
      <c r="C174" s="6">
        <f t="shared" si="35"/>
        <v>5454.7572812281924</v>
      </c>
      <c r="D174" s="5">
        <f>(44099)/1318152</f>
        <v>3.3455170572134318E-2</v>
      </c>
      <c r="E174" s="6">
        <f t="shared" si="36"/>
        <v>37987.104328726877</v>
      </c>
      <c r="F174" s="10">
        <f>250/1800.7</f>
        <v>0.13883489753984563</v>
      </c>
      <c r="G174" s="186">
        <f t="shared" si="37"/>
        <v>40036.54412173044</v>
      </c>
      <c r="H174" s="10">
        <v>0</v>
      </c>
      <c r="I174" s="6">
        <f t="shared" si="38"/>
        <v>0</v>
      </c>
      <c r="J174" s="187">
        <f t="shared" si="39"/>
        <v>83478.405731685503</v>
      </c>
    </row>
    <row r="175" spans="1:10" ht="15.6">
      <c r="A175" s="132" t="s">
        <v>437</v>
      </c>
      <c r="B175" s="5">
        <f>127/28660</f>
        <v>4.4312630844382415E-3</v>
      </c>
      <c r="C175" s="6">
        <f t="shared" si="35"/>
        <v>1084.1223391486392</v>
      </c>
      <c r="D175" s="5">
        <f>(8813+11805)/1318152</f>
        <v>1.5641595202981144E-2</v>
      </c>
      <c r="E175" s="6">
        <f t="shared" si="36"/>
        <v>17760.450736971154</v>
      </c>
      <c r="F175" s="10">
        <f>130/1800.7</f>
        <v>7.2194146720719721E-2</v>
      </c>
      <c r="G175" s="186">
        <f t="shared" si="37"/>
        <v>20819.002943299827</v>
      </c>
      <c r="H175" s="10">
        <f>11805/484680</f>
        <v>2.435627630601634E-2</v>
      </c>
      <c r="I175" s="6">
        <f t="shared" si="38"/>
        <v>5411.4316798712553</v>
      </c>
      <c r="J175" s="187">
        <f t="shared" si="39"/>
        <v>45075.007699290873</v>
      </c>
    </row>
    <row r="176" spans="1:10" ht="15.6">
      <c r="A176" s="132" t="s">
        <v>438</v>
      </c>
      <c r="B176" s="5">
        <f>11958/28660</f>
        <v>0.41723656664340542</v>
      </c>
      <c r="C176" s="6">
        <f t="shared" si="35"/>
        <v>102078.22780739707</v>
      </c>
      <c r="D176" s="5">
        <f>(85655+119366)/1318152</f>
        <v>0.15553669076100479</v>
      </c>
      <c r="E176" s="6">
        <f t="shared" si="36"/>
        <v>176606.13883715987</v>
      </c>
      <c r="F176" s="10">
        <f>250/1800.7</f>
        <v>0.13883489753984563</v>
      </c>
      <c r="G176" s="186">
        <f t="shared" si="37"/>
        <v>40036.54412173044</v>
      </c>
      <c r="H176" s="10">
        <f>119366/484680</f>
        <v>0.246277956589915</v>
      </c>
      <c r="I176" s="6">
        <f t="shared" si="38"/>
        <v>54717.573392588922</v>
      </c>
      <c r="J176" s="187">
        <f t="shared" si="39"/>
        <v>373438.48415887629</v>
      </c>
    </row>
    <row r="177" spans="1:10" ht="15.6">
      <c r="A177" s="132" t="s">
        <v>439</v>
      </c>
      <c r="B177" s="5">
        <f>5871/28660</f>
        <v>0.20484996510816469</v>
      </c>
      <c r="C177" s="6">
        <f t="shared" si="35"/>
        <v>50117.183095603628</v>
      </c>
      <c r="D177" s="5">
        <f>(171602+153471)/1318152</f>
        <v>0.24661268199722036</v>
      </c>
      <c r="E177" s="6">
        <f t="shared" si="36"/>
        <v>280019.54614508798</v>
      </c>
      <c r="F177" s="10">
        <f>230/1800.7</f>
        <v>0.12772810573665797</v>
      </c>
      <c r="G177" s="186">
        <f t="shared" si="37"/>
        <v>36833.620591991996</v>
      </c>
      <c r="H177" s="10">
        <f>153471/484680</f>
        <v>0.31664397128001981</v>
      </c>
      <c r="I177" s="6">
        <f t="shared" si="38"/>
        <v>70351.362248328791</v>
      </c>
      <c r="J177" s="187">
        <f t="shared" si="39"/>
        <v>437321.71208101243</v>
      </c>
    </row>
    <row r="178" spans="1:10" ht="15.6">
      <c r="A178" s="132" t="s">
        <v>440</v>
      </c>
      <c r="B178" s="5">
        <f>207/28660</f>
        <v>7.2226099092812281E-3</v>
      </c>
      <c r="C178" s="6">
        <f t="shared" si="35"/>
        <v>1767.0340488485695</v>
      </c>
      <c r="D178" s="5">
        <f>(22437+6559)/1318152</f>
        <v>2.1997463115027704E-2</v>
      </c>
      <c r="E178" s="6">
        <f t="shared" si="36"/>
        <v>24977.302821283127</v>
      </c>
      <c r="F178" s="10">
        <f>110/1800.7</f>
        <v>6.1087354917532068E-2</v>
      </c>
      <c r="G178" s="186">
        <f t="shared" si="37"/>
        <v>17616.079413561391</v>
      </c>
      <c r="H178" s="10">
        <f>6559/484680</f>
        <v>1.353264009243212E-2</v>
      </c>
      <c r="I178" s="6">
        <f t="shared" si="38"/>
        <v>3006.6565343731945</v>
      </c>
      <c r="J178" s="187">
        <f t="shared" si="39"/>
        <v>47367.072818066277</v>
      </c>
    </row>
    <row r="179" spans="1:10" ht="15.6">
      <c r="A179" s="132" t="s">
        <v>441</v>
      </c>
      <c r="B179" s="5">
        <f>949/28660</f>
        <v>3.3112351709699929E-2</v>
      </c>
      <c r="C179" s="6">
        <f t="shared" si="35"/>
        <v>8101.0401563154219</v>
      </c>
      <c r="D179" s="5">
        <f>(28931+52469)/1318152</f>
        <v>6.1753121036117228E-2</v>
      </c>
      <c r="E179" s="6">
        <f t="shared" si="36"/>
        <v>70118.37666065825</v>
      </c>
      <c r="F179" s="10">
        <f>280/1800.7</f>
        <v>0.15549508524462707</v>
      </c>
      <c r="G179" s="186">
        <f t="shared" si="37"/>
        <v>44840.929416338084</v>
      </c>
      <c r="H179" s="10">
        <f>52469/484680</f>
        <v>0.10825493108855327</v>
      </c>
      <c r="I179" s="6">
        <f t="shared" si="38"/>
        <v>24051.877069984319</v>
      </c>
      <c r="J179" s="187">
        <f t="shared" si="39"/>
        <v>147112.22330329608</v>
      </c>
    </row>
    <row r="180" spans="1:10" ht="15.6">
      <c r="A180" s="132" t="s">
        <v>442</v>
      </c>
      <c r="B180" s="5">
        <f>0</f>
        <v>0</v>
      </c>
      <c r="C180" s="6">
        <f t="shared" si="35"/>
        <v>0</v>
      </c>
      <c r="D180" s="5">
        <f>8924/1318152</f>
        <v>6.7700841784558985E-3</v>
      </c>
      <c r="E180" s="6">
        <f t="shared" si="36"/>
        <v>7687.1792791119678</v>
      </c>
      <c r="F180" s="10">
        <f>0</f>
        <v>0</v>
      </c>
      <c r="G180" s="186">
        <f t="shared" si="37"/>
        <v>0</v>
      </c>
      <c r="H180" s="10">
        <v>0</v>
      </c>
      <c r="I180" s="6">
        <f t="shared" si="38"/>
        <v>0</v>
      </c>
      <c r="J180" s="187">
        <f t="shared" si="39"/>
        <v>7687.1792791119678</v>
      </c>
    </row>
    <row r="181" spans="1:10" ht="15.6">
      <c r="A181" s="132" t="s">
        <v>443</v>
      </c>
      <c r="B181" s="5">
        <f>0</f>
        <v>0</v>
      </c>
      <c r="C181" s="6">
        <f t="shared" si="35"/>
        <v>0</v>
      </c>
      <c r="D181" s="5">
        <f>3443/1318152</f>
        <v>2.611990119500634E-3</v>
      </c>
      <c r="E181" s="6">
        <f t="shared" si="36"/>
        <v>2965.8178236197336</v>
      </c>
      <c r="F181" s="10">
        <v>0</v>
      </c>
      <c r="G181" s="186">
        <f t="shared" si="37"/>
        <v>0</v>
      </c>
      <c r="H181" s="10">
        <v>0</v>
      </c>
      <c r="I181" s="6">
        <f t="shared" si="38"/>
        <v>0</v>
      </c>
      <c r="J181" s="187">
        <f t="shared" si="39"/>
        <v>2965.8178236197336</v>
      </c>
    </row>
    <row r="182" spans="1:10" ht="15.6">
      <c r="A182" s="133" t="s">
        <v>444</v>
      </c>
      <c r="B182" s="5">
        <f>17/28660</f>
        <v>5.9316120027913468E-4</v>
      </c>
      <c r="C182" s="6">
        <f t="shared" si="35"/>
        <v>145.11873831123518</v>
      </c>
      <c r="D182" s="5">
        <f>26065/1318152</f>
        <v>1.9773895575017145E-2</v>
      </c>
      <c r="E182" s="6">
        <f t="shared" si="36"/>
        <v>22452.52441842822</v>
      </c>
      <c r="F182" s="10">
        <v>0</v>
      </c>
      <c r="G182" s="186">
        <f t="shared" si="37"/>
        <v>0</v>
      </c>
      <c r="H182" s="10">
        <v>0</v>
      </c>
      <c r="I182" s="6">
        <f t="shared" si="38"/>
        <v>0</v>
      </c>
      <c r="J182" s="187">
        <f t="shared" si="39"/>
        <v>22597.643156739454</v>
      </c>
    </row>
    <row r="183" spans="1:10" ht="15.6">
      <c r="A183" s="8" t="s">
        <v>427</v>
      </c>
      <c r="B183" s="5">
        <f>1874/28660</f>
        <v>6.5387299371946969E-2</v>
      </c>
      <c r="C183" s="6">
        <f t="shared" si="35"/>
        <v>15997.206799720867</v>
      </c>
      <c r="D183" s="5">
        <f>81147/1318152</f>
        <v>6.1561185659923891E-2</v>
      </c>
      <c r="E183" s="6">
        <f t="shared" si="36"/>
        <v>69900.44116563187</v>
      </c>
      <c r="F183" s="10">
        <v>0</v>
      </c>
      <c r="G183" s="186">
        <f t="shared" si="37"/>
        <v>0</v>
      </c>
      <c r="H183" s="10">
        <v>0</v>
      </c>
      <c r="I183" s="6">
        <f t="shared" si="38"/>
        <v>0</v>
      </c>
      <c r="J183" s="187">
        <f t="shared" si="39"/>
        <v>85897.647965352735</v>
      </c>
    </row>
    <row r="184" spans="1:10" ht="15.6">
      <c r="A184" s="134" t="s">
        <v>445</v>
      </c>
      <c r="B184" s="5">
        <f>1239/28660</f>
        <v>4.3230983949755754E-2</v>
      </c>
      <c r="C184" s="6">
        <f t="shared" si="35"/>
        <v>10576.595103977668</v>
      </c>
      <c r="D184" s="5">
        <f>114021/1318152</f>
        <v>8.650064635944868E-2</v>
      </c>
      <c r="E184" s="6">
        <f t="shared" si="36"/>
        <v>98218.273037161111</v>
      </c>
      <c r="F184" s="5">
        <v>0</v>
      </c>
      <c r="G184" s="186">
        <f t="shared" si="37"/>
        <v>0</v>
      </c>
      <c r="H184" s="10">
        <v>0</v>
      </c>
      <c r="I184" s="6">
        <f t="shared" si="38"/>
        <v>0</v>
      </c>
      <c r="J184" s="187">
        <f t="shared" si="39"/>
        <v>108794.86814113878</v>
      </c>
    </row>
    <row r="185" spans="1:10" ht="15.6">
      <c r="A185" s="137" t="s">
        <v>428</v>
      </c>
      <c r="B185" s="35">
        <v>0</v>
      </c>
      <c r="C185" s="188">
        <f t="shared" si="35"/>
        <v>0</v>
      </c>
      <c r="D185" s="35">
        <f>98379/1318152</f>
        <v>7.463403310088669E-2</v>
      </c>
      <c r="E185" s="188">
        <f t="shared" si="36"/>
        <v>84744.174170748127</v>
      </c>
      <c r="F185" s="35">
        <v>0</v>
      </c>
      <c r="G185" s="189">
        <f t="shared" si="37"/>
        <v>0</v>
      </c>
      <c r="H185" s="37">
        <f>98379/484680</f>
        <v>0.20297722208467442</v>
      </c>
      <c r="I185" s="188">
        <f t="shared" si="38"/>
        <v>45097.097605595445</v>
      </c>
      <c r="J185" s="190">
        <f t="shared" si="39"/>
        <v>129841.27177634358</v>
      </c>
    </row>
    <row r="186" spans="1:10" ht="15.6">
      <c r="A186" s="8" t="s">
        <v>429</v>
      </c>
      <c r="B186" s="5">
        <f>1988/28660</f>
        <v>6.9364968597348226E-2</v>
      </c>
      <c r="C186" s="6">
        <f t="shared" si="35"/>
        <v>16970.355986043265</v>
      </c>
      <c r="D186" s="5">
        <f>26299/1318152</f>
        <v>1.9951416832049717E-2</v>
      </c>
      <c r="E186" s="6">
        <f t="shared" si="36"/>
        <v>22654.093216199646</v>
      </c>
      <c r="F186" s="5">
        <f>220.7/1800.7</f>
        <v>0.12256344754817571</v>
      </c>
      <c r="G186" s="186">
        <f t="shared" si="37"/>
        <v>35344.261150663624</v>
      </c>
      <c r="H186" s="10">
        <v>0</v>
      </c>
      <c r="I186" s="6">
        <f t="shared" si="38"/>
        <v>0</v>
      </c>
      <c r="J186" s="187">
        <f t="shared" si="39"/>
        <v>74968.710352906535</v>
      </c>
    </row>
    <row r="187" spans="1:10" ht="15.6">
      <c r="A187" s="8" t="s">
        <v>53</v>
      </c>
      <c r="B187" s="5">
        <f>346/28660</f>
        <v>1.2072575017445918E-2</v>
      </c>
      <c r="C187" s="6">
        <f t="shared" si="35"/>
        <v>2953.5931444521984</v>
      </c>
      <c r="D187" s="5">
        <f>16691/1318152</f>
        <v>1.2662424363806298E-2</v>
      </c>
      <c r="E187" s="6">
        <f t="shared" si="36"/>
        <v>14377.712835909666</v>
      </c>
      <c r="F187" s="5">
        <f>0</f>
        <v>0</v>
      </c>
      <c r="G187" s="186">
        <f t="shared" si="37"/>
        <v>0</v>
      </c>
      <c r="H187" s="10">
        <v>0</v>
      </c>
      <c r="I187" s="6">
        <f t="shared" si="38"/>
        <v>0</v>
      </c>
      <c r="J187" s="187">
        <f t="shared" si="39"/>
        <v>17331.305980361863</v>
      </c>
    </row>
    <row r="188" spans="1:10" ht="16.2" thickBot="1">
      <c r="A188" s="12" t="s">
        <v>54</v>
      </c>
      <c r="B188" s="13">
        <f>SUM(B172:B187)</f>
        <v>1</v>
      </c>
      <c r="C188" s="191">
        <v>244653.12</v>
      </c>
      <c r="D188" s="13">
        <f>SUM(D172:D187)</f>
        <v>0.99999999999999989</v>
      </c>
      <c r="E188" s="191">
        <v>1135462.8799999999</v>
      </c>
      <c r="F188" s="13">
        <f>SUM(F172:F187)</f>
        <v>1</v>
      </c>
      <c r="G188" s="191">
        <v>288375.21999999997</v>
      </c>
      <c r="H188" s="15">
        <f>SUM(H172:H187)</f>
        <v>1</v>
      </c>
      <c r="I188" s="191">
        <v>222178.12</v>
      </c>
      <c r="J188" s="187">
        <f t="shared" si="39"/>
        <v>1890669.3399999999</v>
      </c>
    </row>
    <row r="189" spans="1:10" ht="15.6">
      <c r="A189" s="136" t="s">
        <v>430</v>
      </c>
      <c r="B189" s="16"/>
      <c r="C189" s="17"/>
      <c r="D189" s="16"/>
      <c r="E189" s="17"/>
      <c r="F189" s="16"/>
      <c r="G189" s="17"/>
      <c r="H189" s="17"/>
      <c r="I189" s="17"/>
      <c r="J189" s="18"/>
    </row>
    <row r="190" spans="1:10" ht="15.6">
      <c r="A190" s="136" t="s">
        <v>431</v>
      </c>
      <c r="B190" s="16"/>
      <c r="C190" s="17"/>
      <c r="D190" s="16"/>
      <c r="E190" s="17"/>
      <c r="F190" s="16"/>
      <c r="G190" s="17"/>
      <c r="H190" s="17"/>
      <c r="I190" s="17"/>
      <c r="J190" s="18"/>
    </row>
    <row r="193" spans="1:10" ht="26.4" thickBot="1">
      <c r="A193" s="285" t="s">
        <v>659</v>
      </c>
      <c r="B193" s="285"/>
      <c r="C193" s="285"/>
      <c r="D193" s="285"/>
      <c r="E193" s="285"/>
      <c r="F193" s="285"/>
      <c r="G193" s="285"/>
      <c r="H193" s="285"/>
      <c r="I193" s="285"/>
      <c r="J193" s="285"/>
    </row>
    <row r="194" spans="1:10" ht="15.6">
      <c r="A194" s="286" t="s">
        <v>45</v>
      </c>
      <c r="B194" s="288" t="s">
        <v>46</v>
      </c>
      <c r="C194" s="288"/>
      <c r="D194" s="288" t="s">
        <v>47</v>
      </c>
      <c r="E194" s="288"/>
      <c r="F194" s="288" t="s">
        <v>48</v>
      </c>
      <c r="G194" s="288"/>
      <c r="H194" s="289" t="s">
        <v>433</v>
      </c>
      <c r="I194" s="289"/>
      <c r="J194" s="4" t="s">
        <v>49</v>
      </c>
    </row>
    <row r="195" spans="1:10" ht="15.6">
      <c r="A195" s="287"/>
      <c r="B195" s="5" t="s">
        <v>50</v>
      </c>
      <c r="C195" s="6" t="s">
        <v>51</v>
      </c>
      <c r="D195" s="5" t="s">
        <v>50</v>
      </c>
      <c r="E195" s="6" t="s">
        <v>51</v>
      </c>
      <c r="F195" s="5" t="s">
        <v>50</v>
      </c>
      <c r="G195" s="6" t="s">
        <v>51</v>
      </c>
      <c r="H195" s="6" t="s">
        <v>50</v>
      </c>
      <c r="I195" s="6" t="s">
        <v>51</v>
      </c>
      <c r="J195" s="7" t="s">
        <v>52</v>
      </c>
    </row>
    <row r="196" spans="1:10" ht="15.6">
      <c r="A196" s="132" t="s">
        <v>434</v>
      </c>
      <c r="B196" s="5">
        <f>4508/30795</f>
        <v>0.14638740055203767</v>
      </c>
      <c r="C196" s="6">
        <f>B196*C$212</f>
        <v>39837.505609352171</v>
      </c>
      <c r="D196" s="5">
        <f>(114383+44575)/1556135</f>
        <v>0.10214923512420195</v>
      </c>
      <c r="E196" s="6">
        <f>D196*E$212</f>
        <v>134509.34362780864</v>
      </c>
      <c r="F196" s="10">
        <f>450/2950</f>
        <v>0.15254237288135594</v>
      </c>
      <c r="G196" s="186">
        <f>F196*G$212</f>
        <v>81408.493220338991</v>
      </c>
      <c r="H196" s="10">
        <f>44575/468720</f>
        <v>9.5099419696193885E-2</v>
      </c>
      <c r="I196" s="6">
        <f>H196*I$212</f>
        <v>19463.774745583716</v>
      </c>
      <c r="J196" s="187">
        <f>I196+G196+E196+C196</f>
        <v>275219.11720308353</v>
      </c>
    </row>
    <row r="197" spans="1:10" ht="15.6">
      <c r="A197" s="132" t="s">
        <v>435</v>
      </c>
      <c r="B197" s="5">
        <f>678/30795</f>
        <v>2.2016561130053579E-2</v>
      </c>
      <c r="C197" s="6">
        <f t="shared" ref="C197:C211" si="40">B197*C$212</f>
        <v>5991.5325650267905</v>
      </c>
      <c r="D197" s="5">
        <f>(127448+10286)/1556135</f>
        <v>8.8510315621716629E-2</v>
      </c>
      <c r="E197" s="6">
        <f t="shared" ref="E197:E211" si="41">D197*E$212</f>
        <v>116549.71712799983</v>
      </c>
      <c r="F197" s="10">
        <f>230/2950</f>
        <v>7.796610169491526E-2</v>
      </c>
      <c r="G197" s="186">
        <f t="shared" ref="G197:G211" si="42">F197*G$212</f>
        <v>41608.785423728819</v>
      </c>
      <c r="H197" s="10">
        <f>10286/468720</f>
        <v>2.1944871138419527E-2</v>
      </c>
      <c r="I197" s="6">
        <f t="shared" ref="I197:I211" si="43">H197*I$212</f>
        <v>4491.4052054531494</v>
      </c>
      <c r="J197" s="187">
        <f t="shared" ref="J197:J212" si="44">I197+G197+E197+C197</f>
        <v>168641.44032220857</v>
      </c>
    </row>
    <row r="198" spans="1:10" ht="15.6">
      <c r="A198" s="132" t="s">
        <v>436</v>
      </c>
      <c r="B198" s="5">
        <f>760/30795</f>
        <v>2.467933106023705E-2</v>
      </c>
      <c r="C198" s="6">
        <f t="shared" si="40"/>
        <v>6716.1721967851927</v>
      </c>
      <c r="D198" s="5">
        <f>73807/1556135</f>
        <v>4.7429689583487297E-2</v>
      </c>
      <c r="E198" s="6">
        <f t="shared" si="41"/>
        <v>62455.05809797351</v>
      </c>
      <c r="F198" s="10">
        <f>330/2950</f>
        <v>0.11186440677966102</v>
      </c>
      <c r="G198" s="186">
        <f t="shared" si="42"/>
        <v>59699.561694915254</v>
      </c>
      <c r="H198" s="10">
        <v>0</v>
      </c>
      <c r="I198" s="6">
        <f t="shared" si="43"/>
        <v>0</v>
      </c>
      <c r="J198" s="187">
        <f t="shared" si="44"/>
        <v>128870.79198967395</v>
      </c>
    </row>
    <row r="199" spans="1:10" ht="15.6">
      <c r="A199" s="132" t="s">
        <v>437</v>
      </c>
      <c r="B199" s="5">
        <f>142/30795</f>
        <v>4.6111381717811335E-3</v>
      </c>
      <c r="C199" s="6">
        <f t="shared" si="40"/>
        <v>1254.8637525572335</v>
      </c>
      <c r="D199" s="5">
        <f>31787/1556135</f>
        <v>2.0426890983108792E-2</v>
      </c>
      <c r="E199" s="6">
        <f t="shared" si="41"/>
        <v>26897.976232068555</v>
      </c>
      <c r="F199" s="10">
        <f>230/2950</f>
        <v>7.796610169491526E-2</v>
      </c>
      <c r="G199" s="186">
        <f t="shared" si="42"/>
        <v>41608.785423728819</v>
      </c>
      <c r="H199" s="10">
        <v>0</v>
      </c>
      <c r="I199" s="6">
        <f t="shared" si="43"/>
        <v>0</v>
      </c>
      <c r="J199" s="187">
        <f t="shared" si="44"/>
        <v>69761.625408354594</v>
      </c>
    </row>
    <row r="200" spans="1:10" ht="15.6">
      <c r="A200" s="132" t="s">
        <v>438</v>
      </c>
      <c r="B200" s="5">
        <f>11946/30795</f>
        <v>0.38792011690209449</v>
      </c>
      <c r="C200" s="6">
        <f t="shared" si="40"/>
        <v>105567.62245104725</v>
      </c>
      <c r="D200" s="5">
        <f>(135416+111434)/1556135</f>
        <v>0.15863019596628827</v>
      </c>
      <c r="E200" s="6">
        <f t="shared" si="41"/>
        <v>208883.04756303277</v>
      </c>
      <c r="F200" s="10">
        <f>420/2950</f>
        <v>0.14237288135593221</v>
      </c>
      <c r="G200" s="186">
        <f t="shared" si="42"/>
        <v>75981.260338983062</v>
      </c>
      <c r="H200" s="10">
        <f>111437/468720</f>
        <v>0.23774748250554703</v>
      </c>
      <c r="I200" s="6">
        <f t="shared" si="43"/>
        <v>48659.218537826418</v>
      </c>
      <c r="J200" s="187">
        <f>I200+G200+E200+C200+0.03</f>
        <v>439091.17889088951</v>
      </c>
    </row>
    <row r="201" spans="1:10" ht="15.6">
      <c r="A201" s="132" t="s">
        <v>439</v>
      </c>
      <c r="B201" s="5">
        <f>4500/30795</f>
        <v>0.14612761811982464</v>
      </c>
      <c r="C201" s="6">
        <f t="shared" si="40"/>
        <v>39766.809059912324</v>
      </c>
      <c r="D201" s="5">
        <f>(179068+106979)/1556135</f>
        <v>0.18381888460834053</v>
      </c>
      <c r="E201" s="6">
        <f t="shared" si="41"/>
        <v>242051.32309606171</v>
      </c>
      <c r="F201" s="10">
        <f>410/2950</f>
        <v>0.13898305084745763</v>
      </c>
      <c r="G201" s="186">
        <f t="shared" si="42"/>
        <v>74172.182711864414</v>
      </c>
      <c r="H201" s="10">
        <f>106979/468720</f>
        <v>0.22823647380098994</v>
      </c>
      <c r="I201" s="6">
        <f t="shared" si="43"/>
        <v>46712.622737135178</v>
      </c>
      <c r="J201" s="187">
        <f t="shared" si="44"/>
        <v>402702.93760497367</v>
      </c>
    </row>
    <row r="202" spans="1:10" ht="15.6">
      <c r="A202" s="132" t="s">
        <v>440</v>
      </c>
      <c r="B202" s="5">
        <f>3221/30795</f>
        <v>0.10459490176976782</v>
      </c>
      <c r="C202" s="6">
        <f t="shared" si="40"/>
        <v>28464.198218217247</v>
      </c>
      <c r="D202" s="5">
        <f>(150088+92578)/1556135</f>
        <v>0.15594148322606971</v>
      </c>
      <c r="E202" s="6">
        <f t="shared" si="41"/>
        <v>205342.57087271989</v>
      </c>
      <c r="F202" s="10">
        <f>450/2950</f>
        <v>0.15254237288135594</v>
      </c>
      <c r="G202" s="186">
        <f t="shared" si="42"/>
        <v>81408.493220338991</v>
      </c>
      <c r="H202" s="10">
        <f>92578/468720</f>
        <v>0.19751237412527736</v>
      </c>
      <c r="I202" s="6">
        <f t="shared" si="43"/>
        <v>40424.39345814132</v>
      </c>
      <c r="J202" s="187">
        <f t="shared" si="44"/>
        <v>355639.65576941741</v>
      </c>
    </row>
    <row r="203" spans="1:10" ht="15.6">
      <c r="A203" s="132" t="s">
        <v>441</v>
      </c>
      <c r="B203" s="5">
        <f>853/30795</f>
        <v>2.7699301834713426E-2</v>
      </c>
      <c r="C203" s="6">
        <f t="shared" si="40"/>
        <v>7538.019584023381</v>
      </c>
      <c r="D203" s="5">
        <f>(17590+42861)/1556135</f>
        <v>3.8846886677569747E-2</v>
      </c>
      <c r="E203" s="6">
        <f t="shared" si="41"/>
        <v>51153.28785996716</v>
      </c>
      <c r="F203" s="10">
        <f>220/2950</f>
        <v>7.4576271186440682E-2</v>
      </c>
      <c r="G203" s="186">
        <f t="shared" si="42"/>
        <v>39799.707796610171</v>
      </c>
      <c r="H203" s="10">
        <f>42861/468720</f>
        <v>9.1442652329749102E-2</v>
      </c>
      <c r="I203" s="6">
        <f t="shared" si="43"/>
        <v>18715.352762096772</v>
      </c>
      <c r="J203" s="187">
        <f t="shared" si="44"/>
        <v>117206.36800269749</v>
      </c>
    </row>
    <row r="204" spans="1:10" ht="15.6">
      <c r="A204" s="132" t="s">
        <v>442</v>
      </c>
      <c r="B204" s="5">
        <f>0</f>
        <v>0</v>
      </c>
      <c r="C204" s="6">
        <f t="shared" si="40"/>
        <v>0</v>
      </c>
      <c r="D204" s="5">
        <f>2190/1556135</f>
        <v>1.4073329113476658E-3</v>
      </c>
      <c r="E204" s="6">
        <f t="shared" si="41"/>
        <v>1853.1653804457837</v>
      </c>
      <c r="F204" s="10">
        <v>0</v>
      </c>
      <c r="G204" s="186">
        <f t="shared" si="42"/>
        <v>0</v>
      </c>
      <c r="H204" s="10">
        <v>0</v>
      </c>
      <c r="I204" s="6">
        <f t="shared" si="43"/>
        <v>0</v>
      </c>
      <c r="J204" s="187">
        <f t="shared" si="44"/>
        <v>1853.1653804457837</v>
      </c>
    </row>
    <row r="205" spans="1:10" ht="15.6">
      <c r="A205" s="132" t="s">
        <v>443</v>
      </c>
      <c r="B205" s="5">
        <f>0</f>
        <v>0</v>
      </c>
      <c r="C205" s="6">
        <f t="shared" si="40"/>
        <v>0</v>
      </c>
      <c r="D205" s="5">
        <f>10531/1556135</f>
        <v>6.7674077120558306E-3</v>
      </c>
      <c r="E205" s="6">
        <f t="shared" si="41"/>
        <v>8911.2715166550461</v>
      </c>
      <c r="F205" s="10">
        <v>0</v>
      </c>
      <c r="G205" s="186">
        <f t="shared" si="42"/>
        <v>0</v>
      </c>
      <c r="H205" s="10">
        <v>0</v>
      </c>
      <c r="I205" s="6">
        <f t="shared" si="43"/>
        <v>0</v>
      </c>
      <c r="J205" s="187">
        <f t="shared" si="44"/>
        <v>8911.2715166550461</v>
      </c>
    </row>
    <row r="206" spans="1:10" ht="15.6">
      <c r="A206" s="133" t="s">
        <v>444</v>
      </c>
      <c r="B206" s="5">
        <f>63/30795</f>
        <v>2.0457866536775452E-3</v>
      </c>
      <c r="C206" s="6">
        <f t="shared" si="40"/>
        <v>556.73532683877261</v>
      </c>
      <c r="D206" s="5">
        <f>20979/1556135</f>
        <v>1.3481478149389353E-2</v>
      </c>
      <c r="E206" s="6">
        <f t="shared" si="41"/>
        <v>17752.308911585435</v>
      </c>
      <c r="F206" s="10">
        <v>0</v>
      </c>
      <c r="G206" s="186">
        <f t="shared" si="42"/>
        <v>0</v>
      </c>
      <c r="H206" s="10">
        <v>0</v>
      </c>
      <c r="I206" s="6">
        <f t="shared" si="43"/>
        <v>0</v>
      </c>
      <c r="J206" s="187">
        <f t="shared" si="44"/>
        <v>18309.044238424209</v>
      </c>
    </row>
    <row r="207" spans="1:10" ht="15.6">
      <c r="A207" s="8" t="s">
        <v>427</v>
      </c>
      <c r="B207" s="5">
        <f>1783/30795</f>
        <v>5.789900957947719E-2</v>
      </c>
      <c r="C207" s="6">
        <f t="shared" si="40"/>
        <v>15756.493456405262</v>
      </c>
      <c r="D207" s="5">
        <f>76942/1556135</f>
        <v>4.9444296285347994E-2</v>
      </c>
      <c r="E207" s="6">
        <f t="shared" si="41"/>
        <v>65107.877032995209</v>
      </c>
      <c r="F207" s="10">
        <v>0</v>
      </c>
      <c r="G207" s="186">
        <f t="shared" si="42"/>
        <v>0</v>
      </c>
      <c r="H207" s="10">
        <v>0</v>
      </c>
      <c r="I207" s="6">
        <f t="shared" si="43"/>
        <v>0</v>
      </c>
      <c r="J207" s="187">
        <f t="shared" si="44"/>
        <v>80864.370489400477</v>
      </c>
    </row>
    <row r="208" spans="1:10" ht="15.6">
      <c r="A208" s="134" t="s">
        <v>445</v>
      </c>
      <c r="B208" s="5">
        <f>596/30795</f>
        <v>1.9353791199870109E-2</v>
      </c>
      <c r="C208" s="6">
        <f t="shared" si="40"/>
        <v>5266.8929332683883</v>
      </c>
      <c r="D208" s="5">
        <f>96585/1556135</f>
        <v>6.2067237097038493E-2</v>
      </c>
      <c r="E208" s="6">
        <f t="shared" si="41"/>
        <v>81729.67044308495</v>
      </c>
      <c r="F208" s="5">
        <v>0</v>
      </c>
      <c r="G208" s="186">
        <f t="shared" si="42"/>
        <v>0</v>
      </c>
      <c r="H208" s="10">
        <v>0</v>
      </c>
      <c r="I208" s="6">
        <f t="shared" si="43"/>
        <v>0</v>
      </c>
      <c r="J208" s="187">
        <f t="shared" si="44"/>
        <v>86996.563376353341</v>
      </c>
    </row>
    <row r="209" spans="1:10" ht="15.6">
      <c r="A209" s="137" t="s">
        <v>428</v>
      </c>
      <c r="B209" s="35">
        <v>0</v>
      </c>
      <c r="C209" s="188">
        <f t="shared" si="40"/>
        <v>0</v>
      </c>
      <c r="D209" s="35">
        <f>60004/1556135</f>
        <v>3.8559636535390567E-2</v>
      </c>
      <c r="E209" s="188">
        <f t="shared" si="41"/>
        <v>50775.039035739188</v>
      </c>
      <c r="F209" s="35">
        <v>0</v>
      </c>
      <c r="G209" s="189">
        <f t="shared" si="42"/>
        <v>0</v>
      </c>
      <c r="H209" s="37">
        <f>60004/468720</f>
        <v>0.12801672640382317</v>
      </c>
      <c r="I209" s="188">
        <f t="shared" si="43"/>
        <v>26200.882553763437</v>
      </c>
      <c r="J209" s="190">
        <f t="shared" si="44"/>
        <v>76975.921589502628</v>
      </c>
    </row>
    <row r="210" spans="1:10" ht="15.6">
      <c r="A210" s="8" t="s">
        <v>429</v>
      </c>
      <c r="B210" s="5">
        <f>1171/30795</f>
        <v>3.8025653515181036E-2</v>
      </c>
      <c r="C210" s="6">
        <f t="shared" si="40"/>
        <v>10348.207424257185</v>
      </c>
      <c r="D210" s="5">
        <f>18711/1556135</f>
        <v>1.2024021052158071E-2</v>
      </c>
      <c r="E210" s="6">
        <f t="shared" si="41"/>
        <v>15833.140380603225</v>
      </c>
      <c r="F210" s="5">
        <f>210/2950</f>
        <v>7.1186440677966104E-2</v>
      </c>
      <c r="G210" s="186">
        <f t="shared" si="42"/>
        <v>37990.630169491531</v>
      </c>
      <c r="H210" s="10">
        <v>0</v>
      </c>
      <c r="I210" s="6">
        <f t="shared" si="43"/>
        <v>0</v>
      </c>
      <c r="J210" s="187">
        <f t="shared" si="44"/>
        <v>64171.977974351939</v>
      </c>
    </row>
    <row r="211" spans="1:10" ht="15.6">
      <c r="A211" s="8" t="s">
        <v>53</v>
      </c>
      <c r="B211" s="5">
        <f>574/30795</f>
        <v>1.8639389511284299E-2</v>
      </c>
      <c r="C211" s="6">
        <f t="shared" si="40"/>
        <v>5072.477422308817</v>
      </c>
      <c r="D211" s="5">
        <f>31890/1556135</f>
        <v>2.0493080613185874E-2</v>
      </c>
      <c r="E211" s="6">
        <f t="shared" si="41"/>
        <v>26985.134238546139</v>
      </c>
      <c r="F211" s="5">
        <v>0</v>
      </c>
      <c r="G211" s="186">
        <f t="shared" si="42"/>
        <v>0</v>
      </c>
      <c r="H211" s="10">
        <v>0</v>
      </c>
      <c r="I211" s="6">
        <f t="shared" si="43"/>
        <v>0</v>
      </c>
      <c r="J211" s="187">
        <f t="shared" si="44"/>
        <v>32057.611660854956</v>
      </c>
    </row>
    <row r="212" spans="1:10" ht="16.2" thickBot="1">
      <c r="A212" s="12" t="s">
        <v>54</v>
      </c>
      <c r="B212" s="13">
        <f>SUM(B196:B211)</f>
        <v>1</v>
      </c>
      <c r="C212" s="191">
        <v>272137.53000000003</v>
      </c>
      <c r="D212" s="13">
        <f>SUM(D196:D211)</f>
        <v>0.99999807214669678</v>
      </c>
      <c r="E212" s="191">
        <v>1316792.47</v>
      </c>
      <c r="F212" s="13">
        <f>SUM(F196:F211)</f>
        <v>1.0000000000000002</v>
      </c>
      <c r="G212" s="191">
        <v>533677.9</v>
      </c>
      <c r="H212" s="15">
        <f>SUM(H196:H211)</f>
        <v>1</v>
      </c>
      <c r="I212" s="191">
        <v>204667.65</v>
      </c>
      <c r="J212" s="187">
        <f t="shared" si="44"/>
        <v>2327275.5499999998</v>
      </c>
    </row>
    <row r="213" spans="1:10" ht="15.6">
      <c r="A213" s="136" t="s">
        <v>430</v>
      </c>
      <c r="B213" s="16"/>
      <c r="C213" s="17"/>
      <c r="D213" s="16"/>
      <c r="E213" s="17"/>
      <c r="F213" s="16"/>
      <c r="G213" s="17"/>
      <c r="H213" s="17"/>
      <c r="I213" s="17"/>
      <c r="J213" s="18"/>
    </row>
    <row r="214" spans="1:10" ht="15.6">
      <c r="A214" s="136" t="s">
        <v>431</v>
      </c>
      <c r="B214" s="16"/>
      <c r="C214" s="17"/>
      <c r="D214" s="16"/>
      <c r="E214" s="17"/>
      <c r="F214" s="16"/>
      <c r="G214" s="17"/>
      <c r="H214" s="17"/>
      <c r="I214" s="17"/>
      <c r="J214" s="18"/>
    </row>
    <row r="217" spans="1:10" ht="26.4" thickBot="1">
      <c r="A217" s="285" t="s">
        <v>705</v>
      </c>
      <c r="B217" s="285"/>
      <c r="C217" s="285"/>
      <c r="D217" s="285"/>
      <c r="E217" s="285"/>
      <c r="F217" s="285"/>
      <c r="G217" s="285"/>
      <c r="H217" s="285"/>
      <c r="I217" s="285"/>
      <c r="J217" s="285"/>
    </row>
    <row r="218" spans="1:10" ht="15.6">
      <c r="A218" s="286" t="s">
        <v>45</v>
      </c>
      <c r="B218" s="288" t="s">
        <v>46</v>
      </c>
      <c r="C218" s="288"/>
      <c r="D218" s="288" t="s">
        <v>47</v>
      </c>
      <c r="E218" s="288"/>
      <c r="F218" s="288" t="s">
        <v>48</v>
      </c>
      <c r="G218" s="288"/>
      <c r="H218" s="289" t="s">
        <v>433</v>
      </c>
      <c r="I218" s="289"/>
      <c r="J218" s="4" t="s">
        <v>49</v>
      </c>
    </row>
    <row r="219" spans="1:10" ht="15.6">
      <c r="A219" s="287"/>
      <c r="B219" s="5" t="s">
        <v>50</v>
      </c>
      <c r="C219" s="6" t="s">
        <v>51</v>
      </c>
      <c r="D219" s="5" t="s">
        <v>50</v>
      </c>
      <c r="E219" s="6" t="s">
        <v>51</v>
      </c>
      <c r="F219" s="5" t="s">
        <v>50</v>
      </c>
      <c r="G219" s="6" t="s">
        <v>51</v>
      </c>
      <c r="H219" s="6" t="s">
        <v>50</v>
      </c>
      <c r="I219" s="6" t="s">
        <v>51</v>
      </c>
      <c r="J219" s="7" t="s">
        <v>52</v>
      </c>
    </row>
    <row r="220" spans="1:10" ht="15.6">
      <c r="A220" s="132" t="s">
        <v>434</v>
      </c>
      <c r="B220" s="5">
        <f>173/25197</f>
        <v>6.8658967337381438E-3</v>
      </c>
      <c r="C220" s="6">
        <f>B220*C$236</f>
        <v>1637.84353097591</v>
      </c>
      <c r="D220" s="5">
        <f>8748/1580976</f>
        <v>5.5332908279442572E-3</v>
      </c>
      <c r="E220" s="6">
        <f>D220*E$236</f>
        <v>6981.7030182621365</v>
      </c>
      <c r="F220" s="10">
        <f>20/2820</f>
        <v>7.0921985815602835E-3</v>
      </c>
      <c r="G220" s="256">
        <f>F220*G$236</f>
        <v>3431.2360992907797</v>
      </c>
      <c r="H220" s="10">
        <v>0</v>
      </c>
      <c r="I220" s="6">
        <f>H220*I$236</f>
        <v>0</v>
      </c>
      <c r="J220" s="187">
        <f>I220+G220+E220+C220</f>
        <v>12050.782648528826</v>
      </c>
    </row>
    <row r="221" spans="1:10" ht="15.6">
      <c r="A221" s="132" t="s">
        <v>435</v>
      </c>
      <c r="B221" s="5">
        <f>3114/25197</f>
        <v>0.12358614120728659</v>
      </c>
      <c r="C221" s="6">
        <f t="shared" ref="C221:C235" si="45">B221*C$236</f>
        <v>29481.183557566379</v>
      </c>
      <c r="D221" s="5">
        <f>(463058+50423)/1580976</f>
        <v>0.32478734655048525</v>
      </c>
      <c r="E221" s="6">
        <f t="shared" ref="E221:E235" si="46">D221*E$236</f>
        <v>409804.73794241657</v>
      </c>
      <c r="F221" s="10">
        <f>400/2820</f>
        <v>0.14184397163120568</v>
      </c>
      <c r="G221" s="256">
        <f t="shared" ref="G221:G235" si="47">F221*G$236</f>
        <v>68624.721985815602</v>
      </c>
      <c r="H221" s="10">
        <f>50423/399600</f>
        <v>0.12618368368368368</v>
      </c>
      <c r="I221" s="6">
        <f t="shared" ref="I221:I235" si="48">H221*I$236</f>
        <v>16040.179647397397</v>
      </c>
      <c r="J221" s="187">
        <f t="shared" ref="J221:J236" si="49">I221+G221+E221+C221</f>
        <v>523950.82313319593</v>
      </c>
    </row>
    <row r="222" spans="1:10" ht="15.6">
      <c r="A222" s="132" t="s">
        <v>436</v>
      </c>
      <c r="B222" s="5">
        <f>250/25197</f>
        <v>9.9218160892169706E-3</v>
      </c>
      <c r="C222" s="6">
        <f t="shared" si="45"/>
        <v>2366.8259118148985</v>
      </c>
      <c r="D222" s="5">
        <f>32474/1580976</f>
        <v>2.0540476262764267E-2</v>
      </c>
      <c r="E222" s="6">
        <f t="shared" si="46"/>
        <v>25917.218085853296</v>
      </c>
      <c r="F222" s="10">
        <f>305/2820</f>
        <v>0.10815602836879433</v>
      </c>
      <c r="G222" s="256">
        <f t="shared" si="47"/>
        <v>52326.3505141844</v>
      </c>
      <c r="H222" s="10">
        <v>0</v>
      </c>
      <c r="I222" s="6">
        <f t="shared" si="48"/>
        <v>0</v>
      </c>
      <c r="J222" s="187">
        <f>I222+G222+E222+C222+0.01</f>
        <v>80610.404511852583</v>
      </c>
    </row>
    <row r="223" spans="1:10" ht="15.6">
      <c r="A223" s="132" t="s">
        <v>437</v>
      </c>
      <c r="B223" s="5">
        <f>54/25197</f>
        <v>2.1431122752708655E-3</v>
      </c>
      <c r="C223" s="6">
        <f t="shared" si="45"/>
        <v>511.23439695201807</v>
      </c>
      <c r="D223" s="5">
        <f>20647/1580976</f>
        <v>1.3059654289502181E-2</v>
      </c>
      <c r="E223" s="6">
        <f t="shared" si="46"/>
        <v>16478.191840198713</v>
      </c>
      <c r="F223" s="10">
        <f>150/2820</f>
        <v>5.3191489361702128E-2</v>
      </c>
      <c r="G223" s="256">
        <f t="shared" si="47"/>
        <v>25734.270744680849</v>
      </c>
      <c r="H223" s="10">
        <v>0</v>
      </c>
      <c r="I223" s="6">
        <f t="shared" si="48"/>
        <v>0</v>
      </c>
      <c r="J223" s="187">
        <f t="shared" si="49"/>
        <v>42723.696981831577</v>
      </c>
    </row>
    <row r="224" spans="1:10" ht="15.6">
      <c r="A224" s="132" t="s">
        <v>438</v>
      </c>
      <c r="B224" s="5">
        <f>9677/25197</f>
        <v>0.38405365718141049</v>
      </c>
      <c r="C224" s="6">
        <f t="shared" si="45"/>
        <v>91615.097394531098</v>
      </c>
      <c r="D224" s="5">
        <f>(117591+98324)/1580976</f>
        <v>0.13657070063049662</v>
      </c>
      <c r="E224" s="6">
        <f t="shared" si="46"/>
        <v>172319.89108231245</v>
      </c>
      <c r="F224" s="10">
        <f>450/2820</f>
        <v>0.15957446808510639</v>
      </c>
      <c r="G224" s="256">
        <f t="shared" si="47"/>
        <v>77202.812234042547</v>
      </c>
      <c r="H224" s="10">
        <f>98324/399600</f>
        <v>0.24605605605605604</v>
      </c>
      <c r="I224" s="6">
        <f t="shared" si="48"/>
        <v>31278.079916916915</v>
      </c>
      <c r="J224" s="187">
        <f t="shared" si="49"/>
        <v>372415.88062780304</v>
      </c>
    </row>
    <row r="225" spans="1:10" ht="15.6">
      <c r="A225" s="132" t="s">
        <v>439</v>
      </c>
      <c r="B225" s="5">
        <f>5540/25197</f>
        <v>0.21986744453704807</v>
      </c>
      <c r="C225" s="6">
        <f t="shared" si="45"/>
        <v>52448.86220581815</v>
      </c>
      <c r="D225" s="5">
        <f>(170093+103787)/1580976</f>
        <v>0.17323476131199966</v>
      </c>
      <c r="E225" s="6">
        <f t="shared" si="46"/>
        <v>218581.25544600296</v>
      </c>
      <c r="F225" s="10">
        <f>430/2820</f>
        <v>0.1524822695035461</v>
      </c>
      <c r="G225" s="256">
        <f t="shared" si="47"/>
        <v>73771.576134751769</v>
      </c>
      <c r="H225" s="10">
        <f>103787/399600</f>
        <v>0.25972722722722724</v>
      </c>
      <c r="I225" s="6">
        <f t="shared" si="48"/>
        <v>33015.927752502503</v>
      </c>
      <c r="J225" s="187">
        <f t="shared" si="49"/>
        <v>377817.62153907539</v>
      </c>
    </row>
    <row r="226" spans="1:10" ht="15.6">
      <c r="A226" s="132" t="s">
        <v>440</v>
      </c>
      <c r="B226" s="5">
        <f>2412/25197</f>
        <v>9.5725681628765324E-2</v>
      </c>
      <c r="C226" s="6">
        <f t="shared" si="45"/>
        <v>22835.136397190141</v>
      </c>
      <c r="D226" s="5">
        <f>(146478+54625)/1580976</f>
        <v>0.12720180445496959</v>
      </c>
      <c r="E226" s="6">
        <f t="shared" si="46"/>
        <v>160498.56219496691</v>
      </c>
      <c r="F226" s="10">
        <f>540/2820</f>
        <v>0.19148936170212766</v>
      </c>
      <c r="G226" s="256">
        <f t="shared" si="47"/>
        <v>92643.374680851062</v>
      </c>
      <c r="H226" s="10">
        <f>54625/399600</f>
        <v>0.13669919919919921</v>
      </c>
      <c r="I226" s="6">
        <f t="shared" si="48"/>
        <v>17376.887794044043</v>
      </c>
      <c r="J226" s="187">
        <f t="shared" si="49"/>
        <v>293353.96106705221</v>
      </c>
    </row>
    <row r="227" spans="1:10" ht="15.6">
      <c r="A227" s="132" t="s">
        <v>441</v>
      </c>
      <c r="B227" s="5">
        <f>742/25197</f>
        <v>2.9447950152795967E-2</v>
      </c>
      <c r="C227" s="6">
        <f t="shared" si="45"/>
        <v>7024.7393062666188</v>
      </c>
      <c r="D227" s="5">
        <f>(17912+29413)/1580976</f>
        <v>2.993404074445153E-2</v>
      </c>
      <c r="E227" s="6">
        <f t="shared" si="46"/>
        <v>37769.672535351579</v>
      </c>
      <c r="F227" s="10">
        <f>273/2820</f>
        <v>9.6808510638297873E-2</v>
      </c>
      <c r="G227" s="256">
        <f t="shared" si="47"/>
        <v>46836.372755319149</v>
      </c>
      <c r="H227" s="10">
        <f>29413/399600</f>
        <v>7.3606106106106101E-2</v>
      </c>
      <c r="I227" s="6">
        <f t="shared" si="48"/>
        <v>9356.638914164163</v>
      </c>
      <c r="J227" s="187">
        <f t="shared" si="49"/>
        <v>100987.42351110152</v>
      </c>
    </row>
    <row r="228" spans="1:10" ht="15.6">
      <c r="A228" s="132" t="s">
        <v>442</v>
      </c>
      <c r="B228" s="5">
        <v>0</v>
      </c>
      <c r="C228" s="6">
        <f t="shared" si="45"/>
        <v>0</v>
      </c>
      <c r="D228" s="5">
        <f>1210/1580976</f>
        <v>7.6535001163838029E-4</v>
      </c>
      <c r="E228" s="6">
        <f t="shared" si="46"/>
        <v>965.69051807238054</v>
      </c>
      <c r="F228" s="10">
        <v>0</v>
      </c>
      <c r="G228" s="256">
        <f t="shared" si="47"/>
        <v>0</v>
      </c>
      <c r="H228" s="10">
        <v>0</v>
      </c>
      <c r="I228" s="6">
        <f t="shared" si="48"/>
        <v>0</v>
      </c>
      <c r="J228" s="187">
        <f t="shared" si="49"/>
        <v>965.69051807238054</v>
      </c>
    </row>
    <row r="229" spans="1:10" ht="15.6">
      <c r="A229" s="132" t="s">
        <v>443</v>
      </c>
      <c r="B229" s="5">
        <v>0</v>
      </c>
      <c r="C229" s="6">
        <f t="shared" si="45"/>
        <v>0</v>
      </c>
      <c r="D229" s="5">
        <f>7405/1580976</f>
        <v>4.6838155670927322E-3</v>
      </c>
      <c r="E229" s="6">
        <f t="shared" si="46"/>
        <v>5909.866352335519</v>
      </c>
      <c r="F229" s="10">
        <v>0</v>
      </c>
      <c r="G229" s="256">
        <f t="shared" si="47"/>
        <v>0</v>
      </c>
      <c r="H229" s="10">
        <v>0</v>
      </c>
      <c r="I229" s="6">
        <f t="shared" si="48"/>
        <v>0</v>
      </c>
      <c r="J229" s="187">
        <f t="shared" si="49"/>
        <v>5909.866352335519</v>
      </c>
    </row>
    <row r="230" spans="1:10" ht="15.6">
      <c r="A230" s="133" t="s">
        <v>444</v>
      </c>
      <c r="B230" s="5">
        <f>16/25197</f>
        <v>6.3499622970988607E-4</v>
      </c>
      <c r="C230" s="6">
        <f t="shared" si="45"/>
        <v>151.47685835615351</v>
      </c>
      <c r="D230" s="5">
        <f>10620/1580976</f>
        <v>6.717369523636032E-3</v>
      </c>
      <c r="E230" s="6">
        <f t="shared" si="46"/>
        <v>8475.7300015939509</v>
      </c>
      <c r="F230" s="10">
        <v>0</v>
      </c>
      <c r="G230" s="256">
        <f t="shared" si="47"/>
        <v>0</v>
      </c>
      <c r="H230" s="10">
        <v>0</v>
      </c>
      <c r="I230" s="6">
        <f t="shared" si="48"/>
        <v>0</v>
      </c>
      <c r="J230" s="187">
        <f t="shared" si="49"/>
        <v>8627.2068599501035</v>
      </c>
    </row>
    <row r="231" spans="1:10" ht="15.6">
      <c r="A231" s="8" t="s">
        <v>427</v>
      </c>
      <c r="B231" s="5">
        <f>1563/25197</f>
        <v>6.2031194189784498E-2</v>
      </c>
      <c r="C231" s="6">
        <f t="shared" si="45"/>
        <v>14797.395600666745</v>
      </c>
      <c r="D231" s="5">
        <f>63108/1580976</f>
        <v>3.9917114491301572E-2</v>
      </c>
      <c r="E231" s="6">
        <f t="shared" si="46"/>
        <v>50365.94811116677</v>
      </c>
      <c r="F231" s="10">
        <v>0</v>
      </c>
      <c r="G231" s="256">
        <f t="shared" si="47"/>
        <v>0</v>
      </c>
      <c r="H231" s="10">
        <v>0</v>
      </c>
      <c r="I231" s="6">
        <f t="shared" si="48"/>
        <v>0</v>
      </c>
      <c r="J231" s="187">
        <f t="shared" si="49"/>
        <v>65163.343711833513</v>
      </c>
    </row>
    <row r="232" spans="1:10" ht="15.6">
      <c r="A232" s="134" t="s">
        <v>445</v>
      </c>
      <c r="B232" s="5">
        <f>405/25197</f>
        <v>1.6073342064531492E-2</v>
      </c>
      <c r="C232" s="6">
        <f t="shared" si="45"/>
        <v>3834.2579771401356</v>
      </c>
      <c r="D232" s="5">
        <f>87827/1580976</f>
        <v>5.5552392952201678E-2</v>
      </c>
      <c r="E232" s="6">
        <f t="shared" si="46"/>
        <v>70093.96787664709</v>
      </c>
      <c r="F232" s="5">
        <v>0</v>
      </c>
      <c r="G232" s="256">
        <f t="shared" si="47"/>
        <v>0</v>
      </c>
      <c r="H232" s="10">
        <v>0</v>
      </c>
      <c r="I232" s="6">
        <f t="shared" si="48"/>
        <v>0</v>
      </c>
      <c r="J232" s="187">
        <f t="shared" si="49"/>
        <v>73928.225853787226</v>
      </c>
    </row>
    <row r="233" spans="1:10" ht="15.6">
      <c r="A233" s="137" t="s">
        <v>428</v>
      </c>
      <c r="B233" s="5">
        <v>0</v>
      </c>
      <c r="C233" s="6">
        <f t="shared" si="45"/>
        <v>0</v>
      </c>
      <c r="D233" s="5">
        <f>63028/1580976</f>
        <v>3.9866512837639534E-2</v>
      </c>
      <c r="E233" s="6">
        <f t="shared" si="46"/>
        <v>50302.100804186783</v>
      </c>
      <c r="F233" s="5">
        <v>0</v>
      </c>
      <c r="G233" s="256">
        <f t="shared" si="47"/>
        <v>0</v>
      </c>
      <c r="H233" s="10">
        <f>63028/399600</f>
        <v>0.15772772772772772</v>
      </c>
      <c r="I233" s="6">
        <f t="shared" si="48"/>
        <v>20049.985974974974</v>
      </c>
      <c r="J233" s="187">
        <f t="shared" si="49"/>
        <v>70352.086779161764</v>
      </c>
    </row>
    <row r="234" spans="1:10" ht="15.6">
      <c r="A234" s="8" t="s">
        <v>429</v>
      </c>
      <c r="B234" s="5">
        <f>1089/25197</f>
        <v>4.3219430884629123E-2</v>
      </c>
      <c r="C234" s="6">
        <f t="shared" si="45"/>
        <v>10309.893671865699</v>
      </c>
      <c r="D234" s="5">
        <f>13535/1580976</f>
        <v>8.5611672789466763E-3</v>
      </c>
      <c r="E234" s="6">
        <f t="shared" si="46"/>
        <v>10802.166249677415</v>
      </c>
      <c r="F234" s="5">
        <f>252/2820</f>
        <v>8.9361702127659579E-2</v>
      </c>
      <c r="G234" s="256">
        <f t="shared" si="47"/>
        <v>43233.57485106383</v>
      </c>
      <c r="H234" s="10">
        <v>0</v>
      </c>
      <c r="I234" s="6">
        <f t="shared" si="48"/>
        <v>0</v>
      </c>
      <c r="J234" s="187">
        <f t="shared" si="49"/>
        <v>64345.634772606943</v>
      </c>
    </row>
    <row r="235" spans="1:10" ht="15.6">
      <c r="A235" s="8" t="s">
        <v>53</v>
      </c>
      <c r="B235" s="5">
        <f>162/25197</f>
        <v>6.429336825812597E-3</v>
      </c>
      <c r="C235" s="6">
        <f t="shared" si="45"/>
        <v>1533.7031908560543</v>
      </c>
      <c r="D235" s="5">
        <f>20670/1580976</f>
        <v>1.3074202264930017E-2</v>
      </c>
      <c r="E235" s="6">
        <f t="shared" si="46"/>
        <v>16496.547940955461</v>
      </c>
      <c r="F235" s="5">
        <v>0</v>
      </c>
      <c r="G235" s="256">
        <f t="shared" si="47"/>
        <v>0</v>
      </c>
      <c r="H235" s="10">
        <v>0</v>
      </c>
      <c r="I235" s="6">
        <f t="shared" si="48"/>
        <v>0</v>
      </c>
      <c r="J235" s="187">
        <f t="shared" si="49"/>
        <v>18030.251131811514</v>
      </c>
    </row>
    <row r="236" spans="1:10" ht="16.2" thickBot="1">
      <c r="A236" s="12" t="s">
        <v>54</v>
      </c>
      <c r="B236" s="13">
        <f>SUM(B220:B235)</f>
        <v>1.0000000000000002</v>
      </c>
      <c r="C236" s="191">
        <v>238547.65</v>
      </c>
      <c r="D236" s="13">
        <f>SUM(D220:D235)</f>
        <v>0.99999999999999978</v>
      </c>
      <c r="E236" s="191">
        <v>1261763.25</v>
      </c>
      <c r="F236" s="13">
        <f>SUM(F220:F235)</f>
        <v>1</v>
      </c>
      <c r="G236" s="191">
        <v>483804.29</v>
      </c>
      <c r="H236" s="15">
        <f>SUM(H220:H235)</f>
        <v>1</v>
      </c>
      <c r="I236" s="191">
        <v>127117.7</v>
      </c>
      <c r="J236" s="187">
        <f t="shared" si="49"/>
        <v>2111232.89</v>
      </c>
    </row>
    <row r="237" spans="1:10" ht="15.6">
      <c r="A237" s="136" t="s">
        <v>430</v>
      </c>
      <c r="B237" s="16"/>
      <c r="C237" s="17"/>
      <c r="D237" s="16"/>
      <c r="E237" s="17"/>
      <c r="F237" s="16"/>
      <c r="G237" s="17"/>
      <c r="H237" s="17"/>
      <c r="I237" s="17"/>
      <c r="J237" s="18"/>
    </row>
    <row r="238" spans="1:10" ht="15.6">
      <c r="A238" s="136" t="s">
        <v>431</v>
      </c>
      <c r="B238" s="16"/>
      <c r="C238" s="17"/>
      <c r="D238" s="16"/>
      <c r="E238" s="17"/>
      <c r="F238" s="16"/>
      <c r="G238" s="17"/>
      <c r="H238" s="17"/>
      <c r="I238" s="17"/>
      <c r="J238" s="18"/>
    </row>
    <row r="241" spans="1:10" ht="26.4" thickBot="1">
      <c r="A241" s="285" t="s">
        <v>723</v>
      </c>
      <c r="B241" s="285"/>
      <c r="C241" s="285"/>
      <c r="D241" s="285"/>
      <c r="E241" s="285"/>
      <c r="F241" s="285"/>
      <c r="G241" s="285"/>
      <c r="H241" s="285"/>
      <c r="I241" s="285"/>
      <c r="J241" s="285"/>
    </row>
    <row r="242" spans="1:10" ht="15.6">
      <c r="A242" s="286" t="s">
        <v>45</v>
      </c>
      <c r="B242" s="288" t="s">
        <v>46</v>
      </c>
      <c r="C242" s="288"/>
      <c r="D242" s="288" t="s">
        <v>47</v>
      </c>
      <c r="E242" s="288"/>
      <c r="F242" s="288" t="s">
        <v>48</v>
      </c>
      <c r="G242" s="288"/>
      <c r="H242" s="289" t="s">
        <v>433</v>
      </c>
      <c r="I242" s="289"/>
      <c r="J242" s="4" t="s">
        <v>49</v>
      </c>
    </row>
    <row r="243" spans="1:10" ht="15.6">
      <c r="A243" s="287"/>
      <c r="B243" s="5" t="s">
        <v>50</v>
      </c>
      <c r="C243" s="6" t="s">
        <v>51</v>
      </c>
      <c r="D243" s="5" t="s">
        <v>50</v>
      </c>
      <c r="E243" s="6" t="s">
        <v>51</v>
      </c>
      <c r="F243" s="5" t="s">
        <v>50</v>
      </c>
      <c r="G243" s="6" t="s">
        <v>51</v>
      </c>
      <c r="H243" s="6" t="s">
        <v>50</v>
      </c>
      <c r="I243" s="6" t="s">
        <v>51</v>
      </c>
      <c r="J243" s="7" t="s">
        <v>52</v>
      </c>
    </row>
    <row r="244" spans="1:10" ht="15.6">
      <c r="A244" s="132" t="s">
        <v>434</v>
      </c>
      <c r="B244" s="5">
        <f>2593/26674</f>
        <v>9.7210767039064255E-2</v>
      </c>
      <c r="C244" s="6">
        <f>B244*C$260</f>
        <v>24265.089662967683</v>
      </c>
      <c r="D244" s="5">
        <f>(70588+8666)/1149513</f>
        <v>6.8945718752202026E-2</v>
      </c>
      <c r="E244" s="6">
        <f>D244*E$260</f>
        <v>64703.927861607488</v>
      </c>
      <c r="F244" s="10">
        <f>240/3200</f>
        <v>7.4999999999999997E-2</v>
      </c>
      <c r="G244" s="256">
        <f>F244*G$260</f>
        <v>42128.487000000001</v>
      </c>
      <c r="H244" s="10">
        <f>8666/136920</f>
        <v>6.3292433537832316E-2</v>
      </c>
      <c r="I244" s="6">
        <f>H244*I$260</f>
        <v>8676.6046472392645</v>
      </c>
      <c r="J244" s="187">
        <f>I244+G244+E244+C244</f>
        <v>139774.10917181443</v>
      </c>
    </row>
    <row r="245" spans="1:10" ht="15.6">
      <c r="A245" s="132" t="s">
        <v>435</v>
      </c>
      <c r="B245" s="5">
        <f>1547/26674</f>
        <v>5.7996550948489163E-2</v>
      </c>
      <c r="C245" s="6">
        <f t="shared" ref="C245:C259" si="50">B245*C$260</f>
        <v>14476.704091249905</v>
      </c>
      <c r="D245" s="5">
        <f>(195973+7428)/1149513</f>
        <v>0.17694536729902141</v>
      </c>
      <c r="E245" s="6">
        <f t="shared" ref="E245:E259" si="51">D245*E$260</f>
        <v>166059.04599110232</v>
      </c>
      <c r="F245" s="10">
        <f>380/3200</f>
        <v>0.11874999999999999</v>
      </c>
      <c r="G245" s="256">
        <f t="shared" ref="G245:G259" si="52">F245*G$260</f>
        <v>66703.437749999997</v>
      </c>
      <c r="H245" s="10">
        <f>7428/136920</f>
        <v>5.4250657318141979E-2</v>
      </c>
      <c r="I245" s="6">
        <f t="shared" ref="I245:I259" si="53">H245*I$260</f>
        <v>7437.0896976336535</v>
      </c>
      <c r="J245" s="187">
        <f t="shared" ref="J245:J260" si="54">I245+G245+E245+C245</f>
        <v>254676.27752998588</v>
      </c>
    </row>
    <row r="246" spans="1:10" ht="15.6">
      <c r="A246" s="132" t="s">
        <v>436</v>
      </c>
      <c r="B246" s="5">
        <f>525/26674</f>
        <v>1.968208742595786E-2</v>
      </c>
      <c r="C246" s="6">
        <f t="shared" si="50"/>
        <v>4912.9086282522303</v>
      </c>
      <c r="D246" s="5">
        <f>58240/1149513</f>
        <v>5.0664933758904858E-2</v>
      </c>
      <c r="E246" s="6">
        <f t="shared" si="51"/>
        <v>47547.843120347483</v>
      </c>
      <c r="F246" s="10">
        <f>385/3200</f>
        <v>0.1203125</v>
      </c>
      <c r="G246" s="256">
        <f t="shared" si="52"/>
        <v>67581.114562500006</v>
      </c>
      <c r="H246" s="10">
        <v>0</v>
      </c>
      <c r="I246" s="6">
        <f t="shared" si="53"/>
        <v>0</v>
      </c>
      <c r="J246" s="187">
        <f>I246+G246+E246+C246-0.01</f>
        <v>120041.85631109972</v>
      </c>
    </row>
    <row r="247" spans="1:10" ht="15.6">
      <c r="A247" s="132" t="s">
        <v>437</v>
      </c>
      <c r="B247" s="5">
        <f>83/26674</f>
        <v>3.1116442978180998E-3</v>
      </c>
      <c r="C247" s="6">
        <f t="shared" si="50"/>
        <v>776.70745932368595</v>
      </c>
      <c r="D247" s="5">
        <f>(34111+2971)/1149513</f>
        <v>3.2258878324995022E-2</v>
      </c>
      <c r="E247" s="6">
        <f t="shared" si="51"/>
        <v>30274.195030713006</v>
      </c>
      <c r="F247" s="10">
        <f>150/3200</f>
        <v>4.6875E-2</v>
      </c>
      <c r="G247" s="256">
        <f t="shared" si="52"/>
        <v>26330.304375</v>
      </c>
      <c r="H247" s="10">
        <f>2971/136920</f>
        <v>2.1698802220274614E-2</v>
      </c>
      <c r="I247" s="6">
        <f t="shared" si="53"/>
        <v>2974.6356343120069</v>
      </c>
      <c r="J247" s="187">
        <f>I247+G247+E247+C247+0.01</f>
        <v>60355.852499348694</v>
      </c>
    </row>
    <row r="248" spans="1:10" ht="15.6">
      <c r="A248" s="132" t="s">
        <v>438</v>
      </c>
      <c r="B248" s="5">
        <f>5589/26674</f>
        <v>0.20952987928319713</v>
      </c>
      <c r="C248" s="6">
        <f t="shared" si="50"/>
        <v>52301.421568193749</v>
      </c>
      <c r="D248" s="5">
        <f>(131331+38625)/1149513</f>
        <v>0.14785043753311186</v>
      </c>
      <c r="E248" s="6">
        <f t="shared" si="51"/>
        <v>138754.14191898657</v>
      </c>
      <c r="F248" s="10">
        <f>422/3200</f>
        <v>0.13187499999999999</v>
      </c>
      <c r="G248" s="256">
        <f t="shared" si="52"/>
        <v>74075.922974999994</v>
      </c>
      <c r="H248" s="10">
        <f>38625/136920</f>
        <v>0.28209903593339175</v>
      </c>
      <c r="I248" s="6">
        <f t="shared" si="53"/>
        <v>38672.265693470632</v>
      </c>
      <c r="J248" s="187">
        <f>I248+G248+E248+C248+0.01</f>
        <v>303803.76215565094</v>
      </c>
    </row>
    <row r="249" spans="1:10" ht="15.6">
      <c r="A249" s="132" t="s">
        <v>439</v>
      </c>
      <c r="B249" s="5">
        <f>434/26674</f>
        <v>1.62705256054585E-2</v>
      </c>
      <c r="C249" s="6">
        <f t="shared" si="50"/>
        <v>4061.3377993551776</v>
      </c>
      <c r="D249" s="5">
        <f>(48984+1609)/1149513</f>
        <v>4.4012551402202497E-2</v>
      </c>
      <c r="E249" s="6">
        <f t="shared" si="51"/>
        <v>41304.739474377413</v>
      </c>
      <c r="F249" s="10">
        <f>50/3200</f>
        <v>1.5625E-2</v>
      </c>
      <c r="G249" s="256">
        <f t="shared" si="52"/>
        <v>8776.7681250000005</v>
      </c>
      <c r="H249" s="10">
        <f>1609/136920</f>
        <v>1.1751387671633071E-2</v>
      </c>
      <c r="I249" s="6">
        <f t="shared" si="53"/>
        <v>1610.968945004382</v>
      </c>
      <c r="J249" s="187">
        <f>I249+G249+E249+C249+0.01</f>
        <v>55753.824343736975</v>
      </c>
    </row>
    <row r="250" spans="1:10" ht="15.6">
      <c r="A250" s="132" t="s">
        <v>440</v>
      </c>
      <c r="B250" s="5">
        <f>5254/26674</f>
        <v>0.19697083302091925</v>
      </c>
      <c r="C250" s="6">
        <f t="shared" si="50"/>
        <v>49166.517967308988</v>
      </c>
      <c r="D250" s="5">
        <f>(146928+23522)/1149513</f>
        <v>0.14828018473910257</v>
      </c>
      <c r="E250" s="6">
        <f t="shared" si="51"/>
        <v>139157.44951688236</v>
      </c>
      <c r="F250" s="10">
        <f>580/3200</f>
        <v>0.18124999999999999</v>
      </c>
      <c r="G250" s="256">
        <f t="shared" si="52"/>
        <v>101810.51025000001</v>
      </c>
      <c r="H250" s="10">
        <f>23522/136920</f>
        <v>0.17179374817411627</v>
      </c>
      <c r="I250" s="6">
        <f t="shared" si="53"/>
        <v>23550.78404250657</v>
      </c>
      <c r="J250" s="187">
        <f t="shared" si="54"/>
        <v>313685.26177669794</v>
      </c>
    </row>
    <row r="251" spans="1:10" ht="15.6">
      <c r="A251" s="132" t="s">
        <v>441</v>
      </c>
      <c r="B251" s="5">
        <f>1896/26674</f>
        <v>7.1080452875459249E-2</v>
      </c>
      <c r="C251" s="6">
        <f t="shared" si="50"/>
        <v>17742.618588888057</v>
      </c>
      <c r="D251" s="5">
        <f>(23921+14856)/1149513</f>
        <v>3.3733415803040068E-2</v>
      </c>
      <c r="E251" s="6">
        <f t="shared" si="51"/>
        <v>31658.013610537677</v>
      </c>
      <c r="F251" s="10">
        <f>310/3200</f>
        <v>9.6875000000000003E-2</v>
      </c>
      <c r="G251" s="256">
        <f t="shared" si="52"/>
        <v>54415.962375000003</v>
      </c>
      <c r="H251" s="10">
        <f>14856/136920</f>
        <v>0.10850131463628396</v>
      </c>
      <c r="I251" s="6">
        <f t="shared" si="53"/>
        <v>14874.179395267307</v>
      </c>
      <c r="J251" s="187">
        <f t="shared" si="54"/>
        <v>118690.77396969304</v>
      </c>
    </row>
    <row r="252" spans="1:10" ht="15.6">
      <c r="A252" s="132" t="s">
        <v>442</v>
      </c>
      <c r="B252" s="5">
        <v>0</v>
      </c>
      <c r="C252" s="6">
        <f t="shared" si="50"/>
        <v>0</v>
      </c>
      <c r="D252" s="5">
        <f>5864/1149513</f>
        <v>5.1012907205051179E-3</v>
      </c>
      <c r="E252" s="6">
        <f t="shared" si="51"/>
        <v>4787.4407976943276</v>
      </c>
      <c r="F252" s="10">
        <v>0</v>
      </c>
      <c r="G252" s="256">
        <f t="shared" si="52"/>
        <v>0</v>
      </c>
      <c r="H252" s="10">
        <v>0</v>
      </c>
      <c r="I252" s="6">
        <f t="shared" si="53"/>
        <v>0</v>
      </c>
      <c r="J252" s="187">
        <f t="shared" si="54"/>
        <v>4787.4407976943276</v>
      </c>
    </row>
    <row r="253" spans="1:10" ht="15.6">
      <c r="A253" s="132" t="s">
        <v>443</v>
      </c>
      <c r="B253" s="5">
        <f>5123/26674</f>
        <v>0.19205968358701356</v>
      </c>
      <c r="C253" s="6">
        <f t="shared" si="50"/>
        <v>47940.630290545094</v>
      </c>
      <c r="D253" s="5">
        <f>(132403+29958)/1149513</f>
        <v>0.1412432917244085</v>
      </c>
      <c r="E253" s="6">
        <f t="shared" si="51"/>
        <v>132553.49170437394</v>
      </c>
      <c r="F253" s="10">
        <f>412/3200</f>
        <v>0.12875</v>
      </c>
      <c r="G253" s="256">
        <f t="shared" si="52"/>
        <v>72320.569350000005</v>
      </c>
      <c r="H253" s="10">
        <f>29958/136920</f>
        <v>0.21879929886064856</v>
      </c>
      <c r="I253" s="6">
        <f t="shared" si="53"/>
        <v>29994.6598225241</v>
      </c>
      <c r="J253" s="187">
        <f t="shared" si="54"/>
        <v>282809.35116744315</v>
      </c>
    </row>
    <row r="254" spans="1:10" ht="15.6">
      <c r="A254" s="133" t="s">
        <v>444</v>
      </c>
      <c r="B254" s="5">
        <f>27/26674</f>
        <v>1.0122216390492614E-3</v>
      </c>
      <c r="C254" s="6">
        <f t="shared" si="50"/>
        <v>252.66387231011473</v>
      </c>
      <c r="D254" s="5">
        <f>10635/1149513</f>
        <v>9.2517439994154044E-3</v>
      </c>
      <c r="E254" s="6">
        <f t="shared" si="51"/>
        <v>8682.5431247406505</v>
      </c>
      <c r="F254" s="10">
        <v>0</v>
      </c>
      <c r="G254" s="256">
        <f t="shared" si="52"/>
        <v>0</v>
      </c>
      <c r="H254" s="10">
        <v>0</v>
      </c>
      <c r="I254" s="6">
        <f t="shared" si="53"/>
        <v>0</v>
      </c>
      <c r="J254" s="187">
        <f>I254+G254+E254+C254-0.01</f>
        <v>8935.1969970507653</v>
      </c>
    </row>
    <row r="255" spans="1:10" ht="15.6">
      <c r="A255" s="8" t="s">
        <v>427</v>
      </c>
      <c r="B255" s="5">
        <f>1519/26674</f>
        <v>5.6946839619104746E-2</v>
      </c>
      <c r="C255" s="6">
        <f t="shared" si="50"/>
        <v>14214.68229774312</v>
      </c>
      <c r="D255" s="5">
        <f>54865/1149513</f>
        <v>4.7728907807045244E-2</v>
      </c>
      <c r="E255" s="6">
        <f t="shared" si="51"/>
        <v>44792.452142820483</v>
      </c>
      <c r="F255" s="10">
        <v>0</v>
      </c>
      <c r="G255" s="256">
        <f t="shared" si="52"/>
        <v>0</v>
      </c>
      <c r="H255" s="10">
        <v>0</v>
      </c>
      <c r="I255" s="6">
        <f t="shared" si="53"/>
        <v>0</v>
      </c>
      <c r="J255" s="187">
        <f t="shared" si="54"/>
        <v>59007.134440563605</v>
      </c>
    </row>
    <row r="256" spans="1:10" ht="15.6">
      <c r="A256" s="134" t="s">
        <v>445</v>
      </c>
      <c r="B256" s="5">
        <f>622/26674</f>
        <v>2.3318587388468173E-2</v>
      </c>
      <c r="C256" s="6">
        <f t="shared" si="50"/>
        <v>5820.6269843293094</v>
      </c>
      <c r="D256" s="5">
        <f>59647/1149513</f>
        <v>5.1888930355724554E-2</v>
      </c>
      <c r="E256" s="6">
        <f t="shared" si="51"/>
        <v>48696.535003423189</v>
      </c>
      <c r="F256" s="5">
        <v>0</v>
      </c>
      <c r="G256" s="256">
        <f t="shared" si="52"/>
        <v>0</v>
      </c>
      <c r="H256" s="10">
        <v>0</v>
      </c>
      <c r="I256" s="6">
        <f t="shared" si="53"/>
        <v>0</v>
      </c>
      <c r="J256" s="187">
        <f>I256+G256+E256+C256+0.01</f>
        <v>54517.171987752503</v>
      </c>
    </row>
    <row r="257" spans="1:10" ht="15.6">
      <c r="A257" s="8" t="s">
        <v>428</v>
      </c>
      <c r="B257" s="5">
        <v>0</v>
      </c>
      <c r="C257" s="6">
        <f t="shared" si="50"/>
        <v>0</v>
      </c>
      <c r="D257" s="5">
        <f>9285/1149513</f>
        <v>8.0773336186715592E-3</v>
      </c>
      <c r="E257" s="6">
        <f t="shared" si="51"/>
        <v>7580.3867337298489</v>
      </c>
      <c r="F257" s="5">
        <v>0</v>
      </c>
      <c r="G257" s="256">
        <f t="shared" si="52"/>
        <v>0</v>
      </c>
      <c r="H257" s="10">
        <f>9285/136920</f>
        <v>6.7813321647677477E-2</v>
      </c>
      <c r="I257" s="6">
        <f t="shared" si="53"/>
        <v>9296.3621220420682</v>
      </c>
      <c r="J257" s="187">
        <f t="shared" si="54"/>
        <v>16876.748855771919</v>
      </c>
    </row>
    <row r="258" spans="1:10" ht="15.6">
      <c r="A258" s="8" t="s">
        <v>429</v>
      </c>
      <c r="B258" s="5">
        <f>1161/26674</f>
        <v>4.3525530479118245E-2</v>
      </c>
      <c r="C258" s="6">
        <f t="shared" si="50"/>
        <v>10864.546509334934</v>
      </c>
      <c r="D258" s="5">
        <f>15688/1149513</f>
        <v>1.364751855785885E-2</v>
      </c>
      <c r="E258" s="6">
        <f t="shared" si="51"/>
        <v>12807.873675687009</v>
      </c>
      <c r="F258" s="5">
        <f>271/3200</f>
        <v>8.4687499999999999E-2</v>
      </c>
      <c r="G258" s="256">
        <f t="shared" si="52"/>
        <v>47570.083237500003</v>
      </c>
      <c r="H258" s="10">
        <v>0</v>
      </c>
      <c r="I258" s="6">
        <f t="shared" si="53"/>
        <v>0</v>
      </c>
      <c r="J258" s="187">
        <f t="shared" si="54"/>
        <v>71242.503422521942</v>
      </c>
    </row>
    <row r="259" spans="1:10" ht="15.6">
      <c r="A259" s="8" t="s">
        <v>53</v>
      </c>
      <c r="B259" s="5">
        <f>301/26674</f>
        <v>1.1284396790882507E-2</v>
      </c>
      <c r="C259" s="6">
        <f t="shared" si="50"/>
        <v>2816.7342801979457</v>
      </c>
      <c r="D259" s="5">
        <f>23415/1149513</f>
        <v>2.0369495603790474E-2</v>
      </c>
      <c r="E259" s="6">
        <f t="shared" si="51"/>
        <v>19116.290292976242</v>
      </c>
      <c r="F259" s="5">
        <v>0</v>
      </c>
      <c r="G259" s="256">
        <f t="shared" si="52"/>
        <v>0</v>
      </c>
      <c r="H259" s="10">
        <v>0</v>
      </c>
      <c r="I259" s="6">
        <f t="shared" si="53"/>
        <v>0</v>
      </c>
      <c r="J259" s="187">
        <f t="shared" si="54"/>
        <v>21933.024573174189</v>
      </c>
    </row>
    <row r="260" spans="1:10" ht="16.2" thickBot="1">
      <c r="A260" s="12" t="s">
        <v>54</v>
      </c>
      <c r="B260" s="13">
        <f>SUM(B244:B259)</f>
        <v>1</v>
      </c>
      <c r="C260" s="191">
        <v>249613.19</v>
      </c>
      <c r="D260" s="13">
        <f>SUM(D244:D259)</f>
        <v>0.99999999999999989</v>
      </c>
      <c r="E260" s="191">
        <v>938476.37</v>
      </c>
      <c r="F260" s="13">
        <f>SUM(F244:F259)</f>
        <v>1</v>
      </c>
      <c r="G260" s="191">
        <v>561713.16</v>
      </c>
      <c r="H260" s="15">
        <f>SUM(H244:H259)</f>
        <v>1</v>
      </c>
      <c r="I260" s="191">
        <v>137087.54999999999</v>
      </c>
      <c r="J260" s="187">
        <f t="shared" si="54"/>
        <v>1886890.27</v>
      </c>
    </row>
    <row r="261" spans="1:10" ht="15.6">
      <c r="A261" s="136" t="s">
        <v>430</v>
      </c>
      <c r="B261" s="16"/>
      <c r="C261" s="17"/>
      <c r="D261" s="16"/>
      <c r="E261" s="17"/>
      <c r="F261" s="16"/>
      <c r="G261" s="17"/>
      <c r="H261" s="17"/>
      <c r="I261" s="17"/>
      <c r="J261" s="18"/>
    </row>
    <row r="262" spans="1:10" ht="15.6">
      <c r="A262" s="136" t="s">
        <v>431</v>
      </c>
      <c r="B262" s="16"/>
      <c r="C262" s="17"/>
      <c r="D262" s="16"/>
      <c r="E262" s="17"/>
      <c r="F262" s="16"/>
      <c r="G262" s="17"/>
      <c r="H262" s="17"/>
      <c r="I262" s="17"/>
      <c r="J262" s="18"/>
    </row>
    <row r="265" spans="1:10" ht="26.4" thickBot="1">
      <c r="A265" s="285" t="s">
        <v>778</v>
      </c>
      <c r="B265" s="285"/>
      <c r="C265" s="285"/>
      <c r="D265" s="285"/>
      <c r="E265" s="285"/>
      <c r="F265" s="285"/>
      <c r="G265" s="285"/>
      <c r="H265" s="285"/>
      <c r="I265" s="285"/>
      <c r="J265" s="285"/>
    </row>
    <row r="266" spans="1:10" ht="15.6">
      <c r="A266" s="286" t="s">
        <v>45</v>
      </c>
      <c r="B266" s="288" t="s">
        <v>46</v>
      </c>
      <c r="C266" s="288"/>
      <c r="D266" s="288" t="s">
        <v>47</v>
      </c>
      <c r="E266" s="288"/>
      <c r="F266" s="288" t="s">
        <v>48</v>
      </c>
      <c r="G266" s="288"/>
      <c r="H266" s="289" t="s">
        <v>433</v>
      </c>
      <c r="I266" s="289"/>
      <c r="J266" s="4" t="s">
        <v>49</v>
      </c>
    </row>
    <row r="267" spans="1:10" ht="15.6">
      <c r="A267" s="287"/>
      <c r="B267" s="5" t="s">
        <v>50</v>
      </c>
      <c r="C267" s="6" t="s">
        <v>51</v>
      </c>
      <c r="D267" s="5" t="s">
        <v>50</v>
      </c>
      <c r="E267" s="6" t="s">
        <v>51</v>
      </c>
      <c r="F267" s="5" t="s">
        <v>50</v>
      </c>
      <c r="G267" s="6" t="s">
        <v>51</v>
      </c>
      <c r="H267" s="6" t="s">
        <v>50</v>
      </c>
      <c r="I267" s="6" t="s">
        <v>51</v>
      </c>
      <c r="J267" s="7" t="s">
        <v>52</v>
      </c>
    </row>
    <row r="268" spans="1:10" ht="15.6">
      <c r="A268" s="260" t="s">
        <v>434</v>
      </c>
      <c r="B268" s="5">
        <f>5096/25666</f>
        <v>0.1985506117042001</v>
      </c>
      <c r="C268" s="6">
        <f>B268*C$284</f>
        <v>82557.104100366239</v>
      </c>
      <c r="D268" s="5">
        <f>(102615+7851)/1108036</f>
        <v>9.9695316758661265E-2</v>
      </c>
      <c r="E268" s="6">
        <f>D268*E$284</f>
        <v>107630.02714135642</v>
      </c>
      <c r="F268" s="10">
        <f>450/3578</f>
        <v>0.12576858580212411</v>
      </c>
      <c r="G268" s="256">
        <f>F268*G$284</f>
        <v>76081.272358859715</v>
      </c>
      <c r="H268" s="10">
        <f>7851/78720</f>
        <v>9.9733231707317072E-2</v>
      </c>
      <c r="I268" s="6">
        <f>H268*I$284</f>
        <v>12248.155407393293</v>
      </c>
      <c r="J268" s="187">
        <f>I268+G268+E268+C268</f>
        <v>278516.55900797568</v>
      </c>
    </row>
    <row r="269" spans="1:10" ht="15.6">
      <c r="A269" s="260" t="s">
        <v>435</v>
      </c>
      <c r="B269" s="5">
        <f>1332/25666</f>
        <v>5.1897451881867063E-2</v>
      </c>
      <c r="C269" s="6">
        <f t="shared" ref="C269:C283" si="55">B269*C$284</f>
        <v>21578.897696563545</v>
      </c>
      <c r="D269" s="5">
        <f>(155429+2731)/1108036</f>
        <v>0.14273904457977898</v>
      </c>
      <c r="E269" s="6">
        <f t="shared" ref="E269:E283" si="56">D269*E$284</f>
        <v>154099.58804226576</v>
      </c>
      <c r="F269" s="10">
        <f>348/3578</f>
        <v>9.726103968697597E-2</v>
      </c>
      <c r="G269" s="256">
        <f t="shared" ref="G269:G283" si="57">F269*G$284</f>
        <v>58836.183957518173</v>
      </c>
      <c r="H269" s="10">
        <f>2731/78720</f>
        <v>3.4692581300813007E-2</v>
      </c>
      <c r="I269" s="6">
        <f t="shared" ref="I269:I283" si="58">H269*I$284</f>
        <v>4260.5671147103658</v>
      </c>
      <c r="J269" s="187">
        <f t="shared" ref="J269:J283" si="59">I269+G269+E269+C269</f>
        <v>238775.23681105784</v>
      </c>
    </row>
    <row r="270" spans="1:10" ht="15.6">
      <c r="A270" s="260" t="s">
        <v>436</v>
      </c>
      <c r="B270" s="5">
        <f>679/25666</f>
        <v>2.6455232603444245E-2</v>
      </c>
      <c r="C270" s="6">
        <f t="shared" si="55"/>
        <v>11000.053705680666</v>
      </c>
      <c r="D270" s="5">
        <f>71181/1108036</f>
        <v>6.4240692540675576E-2</v>
      </c>
      <c r="E270" s="6">
        <f t="shared" si="56"/>
        <v>69353.583563710941</v>
      </c>
      <c r="F270" s="10">
        <f>380/3578</f>
        <v>0.10620458356623812</v>
      </c>
      <c r="G270" s="256">
        <f t="shared" si="57"/>
        <v>64246.407769703743</v>
      </c>
      <c r="H270" s="10">
        <v>0</v>
      </c>
      <c r="I270" s="6">
        <f t="shared" si="58"/>
        <v>0</v>
      </c>
      <c r="J270" s="187">
        <f t="shared" si="59"/>
        <v>144600.04503909536</v>
      </c>
    </row>
    <row r="271" spans="1:10" ht="15.6">
      <c r="A271" s="260" t="s">
        <v>437</v>
      </c>
      <c r="B271" s="5">
        <f>49/25666</f>
        <v>1.9091404971557703E-3</v>
      </c>
      <c r="C271" s="6">
        <f t="shared" si="55"/>
        <v>793.81830865736765</v>
      </c>
      <c r="D271" s="5">
        <f>(28604+1229)/1108036</f>
        <v>2.6924215458703507E-2</v>
      </c>
      <c r="E271" s="6">
        <f t="shared" si="56"/>
        <v>29067.102997375539</v>
      </c>
      <c r="F271" s="10">
        <f>200/3578</f>
        <v>5.5897149245388487E-2</v>
      </c>
      <c r="G271" s="256">
        <f t="shared" si="57"/>
        <v>33813.898826159872</v>
      </c>
      <c r="H271" s="10">
        <f>1229/78720</f>
        <v>1.5612296747967479E-2</v>
      </c>
      <c r="I271" s="6">
        <f t="shared" si="58"/>
        <v>1917.3332054115854</v>
      </c>
      <c r="J271" s="187">
        <f t="shared" si="59"/>
        <v>65592.153337604366</v>
      </c>
    </row>
    <row r="272" spans="1:10" ht="15.6">
      <c r="A272" s="260" t="s">
        <v>438</v>
      </c>
      <c r="B272" s="5">
        <f>6199/25666</f>
        <v>0.24152575391568612</v>
      </c>
      <c r="C272" s="6">
        <f t="shared" si="55"/>
        <v>100426.11623198005</v>
      </c>
      <c r="D272" s="5">
        <f>(115033+21302)/1108036</f>
        <v>0.1230420311253425</v>
      </c>
      <c r="E272" s="6">
        <f t="shared" si="56"/>
        <v>132834.89716579608</v>
      </c>
      <c r="F272" s="10">
        <f>420/3578</f>
        <v>0.11738401341531582</v>
      </c>
      <c r="G272" s="256">
        <f t="shared" si="57"/>
        <v>71009.187534935714</v>
      </c>
      <c r="H272" s="10">
        <f>21302/78720</f>
        <v>0.27060467479674799</v>
      </c>
      <c r="I272" s="6">
        <f t="shared" si="58"/>
        <v>33232.73550990854</v>
      </c>
      <c r="J272" s="187">
        <f t="shared" si="59"/>
        <v>337502.93644262035</v>
      </c>
    </row>
    <row r="273" spans="1:10" ht="15.6">
      <c r="A273" s="260" t="s">
        <v>439</v>
      </c>
      <c r="B273" s="5">
        <f>2737/25666</f>
        <v>0.1066391334839866</v>
      </c>
      <c r="C273" s="6">
        <f t="shared" si="55"/>
        <v>44340.422669290107</v>
      </c>
      <c r="D273" s="5">
        <f>(98268+14201)/1108036</f>
        <v>0.1015030197574808</v>
      </c>
      <c r="E273" s="6">
        <f t="shared" si="56"/>
        <v>109581.6044987708</v>
      </c>
      <c r="F273" s="10">
        <f>350/3578</f>
        <v>9.7820011179429844E-2</v>
      </c>
      <c r="G273" s="256">
        <f t="shared" si="57"/>
        <v>59174.322945779764</v>
      </c>
      <c r="H273" s="10">
        <f>14201/78720</f>
        <v>0.18039888211382113</v>
      </c>
      <c r="I273" s="6">
        <f t="shared" si="58"/>
        <v>22154.636981326217</v>
      </c>
      <c r="J273" s="187">
        <f t="shared" si="59"/>
        <v>235250.98709516687</v>
      </c>
    </row>
    <row r="274" spans="1:10" ht="15.6">
      <c r="A274" s="260" t="s">
        <v>440</v>
      </c>
      <c r="B274" s="5">
        <f>2830/25666</f>
        <v>0.11026260422348633</v>
      </c>
      <c r="C274" s="6">
        <f t="shared" si="55"/>
        <v>45847.057418374505</v>
      </c>
      <c r="D274" s="5">
        <f>(167536+17751)/1108036</f>
        <v>0.1672211011194582</v>
      </c>
      <c r="E274" s="6">
        <f t="shared" si="56"/>
        <v>180530.16166911545</v>
      </c>
      <c r="F274" s="10">
        <f>635/3578</f>
        <v>0.17747344885410843</v>
      </c>
      <c r="G274" s="256">
        <f t="shared" si="57"/>
        <v>107359.12877305757</v>
      </c>
      <c r="H274" s="10">
        <f>17751/78720</f>
        <v>0.22549542682926829</v>
      </c>
      <c r="I274" s="6">
        <f t="shared" si="58"/>
        <v>27692.906207698172</v>
      </c>
      <c r="J274" s="187">
        <f t="shared" si="59"/>
        <v>361429.2540682457</v>
      </c>
    </row>
    <row r="275" spans="1:10" ht="15.6">
      <c r="A275" s="260" t="s">
        <v>441</v>
      </c>
      <c r="B275" s="5">
        <f>560/25666</f>
        <v>2.1818748538923089E-2</v>
      </c>
      <c r="C275" s="6">
        <f t="shared" si="55"/>
        <v>9072.2092417984877</v>
      </c>
      <c r="D275" s="5">
        <f>(14816+6145)/1108036</f>
        <v>1.8917255396034064E-2</v>
      </c>
      <c r="E275" s="6">
        <f t="shared" si="56"/>
        <v>20422.872186102257</v>
      </c>
      <c r="F275" s="10">
        <f>280/3578</f>
        <v>7.8256008943543884E-2</v>
      </c>
      <c r="G275" s="256">
        <f t="shared" si="57"/>
        <v>47339.458356623814</v>
      </c>
      <c r="H275" s="10">
        <f>6145/78720</f>
        <v>7.8061483739837401E-2</v>
      </c>
      <c r="I275" s="6">
        <f t="shared" si="58"/>
        <v>9586.6660270579268</v>
      </c>
      <c r="J275" s="187">
        <f t="shared" si="59"/>
        <v>86421.205811582491</v>
      </c>
    </row>
    <row r="276" spans="1:10" ht="15.6">
      <c r="A276" s="260" t="s">
        <v>442</v>
      </c>
      <c r="B276" s="5">
        <v>0</v>
      </c>
      <c r="C276" s="6">
        <f t="shared" si="55"/>
        <v>0</v>
      </c>
      <c r="D276" s="5">
        <f>7796/1108036</f>
        <v>7.0358724806775233E-3</v>
      </c>
      <c r="E276" s="6">
        <f t="shared" si="56"/>
        <v>7595.8547570656556</v>
      </c>
      <c r="F276" s="10">
        <v>0</v>
      </c>
      <c r="G276" s="256">
        <f t="shared" si="57"/>
        <v>0</v>
      </c>
      <c r="H276" s="10">
        <v>0</v>
      </c>
      <c r="I276" s="6">
        <f t="shared" si="58"/>
        <v>0</v>
      </c>
      <c r="J276" s="187">
        <f t="shared" si="59"/>
        <v>7595.8547570656556</v>
      </c>
    </row>
    <row r="277" spans="1:10" ht="15.6">
      <c r="A277" s="260" t="s">
        <v>443</v>
      </c>
      <c r="B277" s="5">
        <f>2583/25666</f>
        <v>0.10063897763578275</v>
      </c>
      <c r="C277" s="6">
        <f t="shared" si="55"/>
        <v>41845.565127795526</v>
      </c>
      <c r="D277" s="5">
        <f>(94020+7510)/1108036</f>
        <v>9.1630596839813866E-2</v>
      </c>
      <c r="E277" s="6">
        <f t="shared" si="56"/>
        <v>98923.439390055923</v>
      </c>
      <c r="F277" s="10">
        <f>300/3578</f>
        <v>8.3845723868082728E-2</v>
      </c>
      <c r="G277" s="256">
        <f t="shared" si="57"/>
        <v>50720.8482392398</v>
      </c>
      <c r="H277" s="10">
        <f>7510/78720</f>
        <v>9.5401422764227639E-2</v>
      </c>
      <c r="I277" s="6">
        <f t="shared" si="58"/>
        <v>11716.169546493902</v>
      </c>
      <c r="J277" s="187">
        <f t="shared" si="59"/>
        <v>203206.02230358517</v>
      </c>
    </row>
    <row r="278" spans="1:10" ht="15.6">
      <c r="A278" s="261" t="s">
        <v>444</v>
      </c>
      <c r="B278" s="5">
        <f>47/25666</f>
        <v>1.831216395231045E-3</v>
      </c>
      <c r="C278" s="6">
        <f t="shared" si="55"/>
        <v>761.41756136523031</v>
      </c>
      <c r="D278" s="5">
        <f>11866/1108036</f>
        <v>1.0709038334494547E-2</v>
      </c>
      <c r="E278" s="6">
        <f t="shared" si="56"/>
        <v>11561.366411921636</v>
      </c>
      <c r="F278" s="10">
        <v>0</v>
      </c>
      <c r="G278" s="256">
        <f t="shared" si="57"/>
        <v>0</v>
      </c>
      <c r="H278" s="10">
        <v>0</v>
      </c>
      <c r="I278" s="6">
        <f t="shared" si="58"/>
        <v>0</v>
      </c>
      <c r="J278" s="187">
        <f t="shared" si="59"/>
        <v>12322.783973286865</v>
      </c>
    </row>
    <row r="279" spans="1:10" ht="15.6">
      <c r="A279" s="8" t="s">
        <v>427</v>
      </c>
      <c r="B279" s="5">
        <f>1294/25666</f>
        <v>5.0416893945297282E-2</v>
      </c>
      <c r="C279" s="6">
        <f t="shared" si="55"/>
        <v>20963.283498012934</v>
      </c>
      <c r="D279" s="5">
        <f>54292/1108036</f>
        <v>4.8998407993964092E-2</v>
      </c>
      <c r="E279" s="6">
        <f t="shared" si="56"/>
        <v>52898.171686840498</v>
      </c>
      <c r="F279" s="10">
        <v>0</v>
      </c>
      <c r="G279" s="256">
        <f t="shared" si="57"/>
        <v>0</v>
      </c>
      <c r="H279" s="10">
        <v>0</v>
      </c>
      <c r="I279" s="6">
        <f t="shared" si="58"/>
        <v>0</v>
      </c>
      <c r="J279" s="187">
        <f t="shared" si="59"/>
        <v>73861.455184853432</v>
      </c>
    </row>
    <row r="280" spans="1:10" ht="15.6">
      <c r="A280" s="262" t="s">
        <v>445</v>
      </c>
      <c r="B280" s="5">
        <f>548/25666</f>
        <v>2.1351203927374739E-2</v>
      </c>
      <c r="C280" s="6">
        <f t="shared" si="55"/>
        <v>8877.8047580456641</v>
      </c>
      <c r="D280" s="5">
        <f>60122/1108036</f>
        <v>5.4259969892674967E-2</v>
      </c>
      <c r="E280" s="6">
        <f t="shared" si="56"/>
        <v>58578.499192445015</v>
      </c>
      <c r="F280" s="5">
        <v>0</v>
      </c>
      <c r="G280" s="256">
        <f t="shared" si="57"/>
        <v>0</v>
      </c>
      <c r="H280" s="10">
        <v>0</v>
      </c>
      <c r="I280" s="6">
        <f t="shared" si="58"/>
        <v>0</v>
      </c>
      <c r="J280" s="187">
        <f t="shared" si="59"/>
        <v>67456.303950490677</v>
      </c>
    </row>
    <row r="281" spans="1:10" ht="15.6" hidden="1">
      <c r="A281" s="8" t="s">
        <v>428</v>
      </c>
      <c r="B281" s="5">
        <v>0</v>
      </c>
      <c r="C281" s="6">
        <f t="shared" si="55"/>
        <v>0</v>
      </c>
      <c r="D281" s="5">
        <v>0</v>
      </c>
      <c r="E281" s="6">
        <f t="shared" si="56"/>
        <v>0</v>
      </c>
      <c r="F281" s="5">
        <v>0</v>
      </c>
      <c r="G281" s="256">
        <f t="shared" si="57"/>
        <v>0</v>
      </c>
      <c r="H281" s="10">
        <v>0</v>
      </c>
      <c r="I281" s="6">
        <f t="shared" si="58"/>
        <v>0</v>
      </c>
      <c r="J281" s="187">
        <f t="shared" si="59"/>
        <v>0</v>
      </c>
    </row>
    <row r="282" spans="1:10" s="263" customFormat="1" ht="15.6">
      <c r="A282" s="8" t="s">
        <v>429</v>
      </c>
      <c r="B282" s="5">
        <f>1242/25666</f>
        <v>4.8390867295254422E-2</v>
      </c>
      <c r="C282" s="6">
        <f t="shared" si="55"/>
        <v>20120.864068417359</v>
      </c>
      <c r="D282" s="5">
        <f>20679/1108036</f>
        <v>1.8662751029749937E-2</v>
      </c>
      <c r="E282" s="6">
        <f t="shared" si="56"/>
        <v>20148.111919107323</v>
      </c>
      <c r="F282" s="5">
        <f>215/3578</f>
        <v>6.0089435438792624E-2</v>
      </c>
      <c r="G282" s="256">
        <f t="shared" si="57"/>
        <v>36349.941238121857</v>
      </c>
      <c r="H282" s="10">
        <v>0</v>
      </c>
      <c r="I282" s="6">
        <f t="shared" si="58"/>
        <v>0</v>
      </c>
      <c r="J282" s="187">
        <f t="shared" si="59"/>
        <v>76618.917225646539</v>
      </c>
    </row>
    <row r="283" spans="1:10" ht="15.6">
      <c r="A283" s="8" t="s">
        <v>53</v>
      </c>
      <c r="B283" s="5">
        <f>470/25666</f>
        <v>1.8312163952310449E-2</v>
      </c>
      <c r="C283" s="6">
        <f t="shared" si="55"/>
        <v>7614.1756136523018</v>
      </c>
      <c r="D283" s="5">
        <f>27059/1108036</f>
        <v>2.4420686692490135E-2</v>
      </c>
      <c r="E283" s="6">
        <f t="shared" si="56"/>
        <v>26364.319378070752</v>
      </c>
      <c r="F283" s="5">
        <v>0</v>
      </c>
      <c r="G283" s="256">
        <f t="shared" si="57"/>
        <v>0</v>
      </c>
      <c r="H283" s="10">
        <v>0</v>
      </c>
      <c r="I283" s="6">
        <f t="shared" si="58"/>
        <v>0</v>
      </c>
      <c r="J283" s="187">
        <f t="shared" si="59"/>
        <v>33978.494991723055</v>
      </c>
    </row>
    <row r="284" spans="1:10" ht="16.2" thickBot="1">
      <c r="A284" s="12" t="s">
        <v>54</v>
      </c>
      <c r="B284" s="13">
        <f>SUM(B268:B283)</f>
        <v>1</v>
      </c>
      <c r="C284" s="191">
        <v>415798.79</v>
      </c>
      <c r="D284" s="13">
        <f>SUM(D268:D283)</f>
        <v>0.99999999999999989</v>
      </c>
      <c r="E284" s="191">
        <v>1079589.6000000001</v>
      </c>
      <c r="F284" s="13">
        <f>SUM(F268:F283)</f>
        <v>1</v>
      </c>
      <c r="G284" s="191">
        <v>604930.65</v>
      </c>
      <c r="H284" s="15">
        <f>SUM(H268:H283)</f>
        <v>1</v>
      </c>
      <c r="I284" s="191">
        <v>122809.17</v>
      </c>
      <c r="J284" s="187">
        <f t="shared" ref="J284" si="60">I284+G284+E284+C284</f>
        <v>2223128.21</v>
      </c>
    </row>
    <row r="285" spans="1:10" ht="15.6">
      <c r="A285" s="136" t="s">
        <v>430</v>
      </c>
      <c r="B285" s="16"/>
      <c r="C285" s="17"/>
      <c r="D285" s="16"/>
      <c r="E285" s="17"/>
      <c r="F285" s="16"/>
      <c r="G285" s="17"/>
      <c r="H285" s="17"/>
      <c r="I285" s="17"/>
      <c r="J285" s="18"/>
    </row>
    <row r="286" spans="1:10" ht="15.6">
      <c r="A286" s="136" t="s">
        <v>431</v>
      </c>
      <c r="B286" s="16"/>
      <c r="C286" s="17"/>
      <c r="D286" s="16"/>
      <c r="E286" s="17"/>
      <c r="F286" s="16"/>
      <c r="G286" s="17"/>
      <c r="H286" s="17"/>
      <c r="I286" s="17"/>
      <c r="J286" s="18"/>
    </row>
  </sheetData>
  <mergeCells count="72">
    <mergeCell ref="A217:J217"/>
    <mergeCell ref="A218:A219"/>
    <mergeCell ref="B218:C218"/>
    <mergeCell ref="D218:E218"/>
    <mergeCell ref="F218:G218"/>
    <mergeCell ref="H218:I218"/>
    <mergeCell ref="A193:J193"/>
    <mergeCell ref="A194:A195"/>
    <mergeCell ref="B194:C194"/>
    <mergeCell ref="D194:E194"/>
    <mergeCell ref="F194:G194"/>
    <mergeCell ref="H194:I194"/>
    <mergeCell ref="A169:J169"/>
    <mergeCell ref="A170:A171"/>
    <mergeCell ref="B170:C170"/>
    <mergeCell ref="D170:E170"/>
    <mergeCell ref="F170:G170"/>
    <mergeCell ref="H170:I170"/>
    <mergeCell ref="A145:J145"/>
    <mergeCell ref="A146:A147"/>
    <mergeCell ref="B146:C146"/>
    <mergeCell ref="D146:E146"/>
    <mergeCell ref="F146:G146"/>
    <mergeCell ref="H146:I146"/>
    <mergeCell ref="A121:J121"/>
    <mergeCell ref="A122:A123"/>
    <mergeCell ref="B122:C122"/>
    <mergeCell ref="D122:E122"/>
    <mergeCell ref="F122:G122"/>
    <mergeCell ref="H122:I122"/>
    <mergeCell ref="A97:J97"/>
    <mergeCell ref="A98:A99"/>
    <mergeCell ref="B98:C98"/>
    <mergeCell ref="D98:E98"/>
    <mergeCell ref="F98:G98"/>
    <mergeCell ref="H98:I98"/>
    <mergeCell ref="A73:J73"/>
    <mergeCell ref="A74:A75"/>
    <mergeCell ref="B74:C74"/>
    <mergeCell ref="D74:E74"/>
    <mergeCell ref="F74:G74"/>
    <mergeCell ref="H74:I74"/>
    <mergeCell ref="A1:J1"/>
    <mergeCell ref="A2:A3"/>
    <mergeCell ref="B2:C2"/>
    <mergeCell ref="D2:E2"/>
    <mergeCell ref="F2:G2"/>
    <mergeCell ref="H2:I2"/>
    <mergeCell ref="A25:J25"/>
    <mergeCell ref="A26:A27"/>
    <mergeCell ref="B26:C26"/>
    <mergeCell ref="D26:E26"/>
    <mergeCell ref="F26:G26"/>
    <mergeCell ref="H26:I26"/>
    <mergeCell ref="A49:J49"/>
    <mergeCell ref="A50:A51"/>
    <mergeCell ref="B50:C50"/>
    <mergeCell ref="D50:E50"/>
    <mergeCell ref="F50:G50"/>
    <mergeCell ref="H50:I50"/>
    <mergeCell ref="A241:J241"/>
    <mergeCell ref="A242:A243"/>
    <mergeCell ref="B242:C242"/>
    <mergeCell ref="D242:E242"/>
    <mergeCell ref="F242:G242"/>
    <mergeCell ref="H242:I242"/>
    <mergeCell ref="A265:J265"/>
    <mergeCell ref="A266:A267"/>
    <mergeCell ref="B266:C266"/>
    <mergeCell ref="D266:E266"/>
    <mergeCell ref="F266:G266"/>
    <mergeCell ref="H266:I266"/>
  </mergeCells>
  <phoneticPr fontId="9" type="noConversion"/>
  <printOptions horizontalCentered="1" verticalCentered="1"/>
  <pageMargins left="0.7" right="0.7" top="0.75" bottom="0.75" header="0.3" footer="0.3"/>
  <pageSetup paperSize="9" fitToWidth="0" fitToHeight="0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9"/>
  <sheetViews>
    <sheetView workbookViewId="0">
      <selection activeCell="G16" sqref="G16"/>
    </sheetView>
  </sheetViews>
  <sheetFormatPr defaultRowHeight="14.4"/>
  <cols>
    <col min="5" max="5" width="11" bestFit="1" customWidth="1"/>
    <col min="6" max="6" width="13" bestFit="1" customWidth="1"/>
    <col min="7" max="7" width="11" bestFit="1" customWidth="1"/>
    <col min="8" max="8" width="13" bestFit="1" customWidth="1"/>
  </cols>
  <sheetData>
    <row r="6" spans="5:8">
      <c r="G6" s="290" t="s">
        <v>824</v>
      </c>
      <c r="H6" s="290"/>
    </row>
    <row r="9" spans="5:8">
      <c r="E9" t="s">
        <v>820</v>
      </c>
      <c r="F9" t="s">
        <v>821</v>
      </c>
      <c r="G9" t="s">
        <v>822</v>
      </c>
      <c r="H9" t="s">
        <v>823</v>
      </c>
    </row>
  </sheetData>
  <mergeCells count="1">
    <mergeCell ref="G6:H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三项费用分配</vt:lpstr>
      <vt:lpstr>辅助费用分配</vt:lpstr>
      <vt:lpstr>能源分配</vt:lpstr>
      <vt:lpstr>Sheet1</vt:lpstr>
      <vt:lpstr>辅助费用分配!Print_Area</vt:lpstr>
      <vt:lpstr>能源分配!Print_Area</vt:lpstr>
      <vt:lpstr>三项费用分配!Print_Area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dell</cp:lastModifiedBy>
  <cp:lastPrinted>2015-12-31T05:13:09Z</cp:lastPrinted>
  <dcterms:created xsi:type="dcterms:W3CDTF">2015-01-16T05:16:45Z</dcterms:created>
  <dcterms:modified xsi:type="dcterms:W3CDTF">2016-01-14T03:58:52Z</dcterms:modified>
</cp:coreProperties>
</file>