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TH\Desktop\二叶\"/>
    </mc:Choice>
  </mc:AlternateContent>
  <bookViews>
    <workbookView xWindow="-12" yWindow="0" windowWidth="15120" windowHeight="1140" activeTab="1"/>
  </bookViews>
  <sheets>
    <sheet name="每月各项请示文件" sheetId="4" r:id="rId1"/>
    <sheet name="三项费用分配" sheetId="1" r:id="rId2"/>
    <sheet name="辅助费用分配" sheetId="5" r:id="rId3"/>
    <sheet name="能源分配" sheetId="3" r:id="rId4"/>
    <sheet name="工资分配" sheetId="2" r:id="rId5"/>
    <sheet name="折算能源" sheetId="6" r:id="rId6"/>
    <sheet name="研发" sheetId="7" r:id="rId7"/>
  </sheets>
  <externalReferences>
    <externalReference r:id="rId8"/>
  </externalReferences>
  <definedNames>
    <definedName name="_xlnm.Print_Area" localSheetId="2">辅助费用分配!$A$59:$J$85</definedName>
    <definedName name="_xlnm.Print_Area" localSheetId="4">工资分配!$A$51:$C$73</definedName>
    <definedName name="_xlnm.Print_Area" localSheetId="0">每月各项请示文件!$A$96:$G$117</definedName>
    <definedName name="_xlnm.Print_Area" localSheetId="3">能源分配!$A$49:$N$70</definedName>
    <definedName name="_xlnm.Print_Area" localSheetId="1">三项费用分配!$A$920:$H$950</definedName>
    <definedName name="_xlnm.Print_Area" localSheetId="5">折算能源!$A$100:$H$126</definedName>
  </definedNames>
  <calcPr calcId="152511"/>
</workbook>
</file>

<file path=xl/calcChain.xml><?xml version="1.0" encoding="utf-8"?>
<calcChain xmlns="http://schemas.openxmlformats.org/spreadsheetml/2006/main">
  <c r="E894" i="6" l="1"/>
  <c r="F844" i="6"/>
  <c r="E797" i="6"/>
  <c r="E736" i="6"/>
  <c r="E663" i="6" l="1"/>
  <c r="E641" i="6" l="1"/>
  <c r="G641" i="6" s="1"/>
  <c r="F963" i="6"/>
  <c r="G963" i="6" s="1"/>
  <c r="G925" i="6"/>
  <c r="G924" i="6"/>
  <c r="G923" i="6"/>
  <c r="G922" i="6"/>
  <c r="F921" i="6"/>
  <c r="G921" i="6" s="1"/>
  <c r="G895" i="6"/>
  <c r="C894" i="6"/>
  <c r="D893" i="6"/>
  <c r="G893" i="6" s="1"/>
  <c r="D892" i="6"/>
  <c r="E892" i="6" s="1"/>
  <c r="F892" i="6" s="1"/>
  <c r="D891" i="6"/>
  <c r="E891" i="6" s="1"/>
  <c r="F891" i="6" s="1"/>
  <c r="D890" i="6"/>
  <c r="E890" i="6" s="1"/>
  <c r="F890" i="6" s="1"/>
  <c r="D889" i="6"/>
  <c r="E889" i="6" s="1"/>
  <c r="F889" i="6" s="1"/>
  <c r="G847" i="6"/>
  <c r="D827" i="6"/>
  <c r="C827" i="6"/>
  <c r="F800" i="6"/>
  <c r="G798" i="6" s="1"/>
  <c r="C797" i="6"/>
  <c r="F739" i="6"/>
  <c r="F738" i="6"/>
  <c r="F737" i="6"/>
  <c r="C685" i="6"/>
  <c r="F677" i="6"/>
  <c r="F676" i="6"/>
  <c r="E675" i="6"/>
  <c r="G665" i="6"/>
  <c r="G664" i="6"/>
  <c r="G666" i="6"/>
  <c r="C663" i="6"/>
  <c r="D662" i="6"/>
  <c r="E662" i="6" s="1"/>
  <c r="F662" i="6" s="1"/>
  <c r="E661" i="6"/>
  <c r="F661" i="6" s="1"/>
  <c r="D661" i="6"/>
  <c r="G661" i="6" s="1"/>
  <c r="D660" i="6"/>
  <c r="G660" i="6" s="1"/>
  <c r="D659" i="6"/>
  <c r="E659" i="6" s="1"/>
  <c r="F659" i="6" s="1"/>
  <c r="D658" i="6"/>
  <c r="E658" i="6" s="1"/>
  <c r="F658" i="6" s="1"/>
  <c r="D657" i="6"/>
  <c r="E657" i="6" s="1"/>
  <c r="F657" i="6" s="1"/>
  <c r="D656" i="6"/>
  <c r="G656" i="6" s="1"/>
  <c r="D655" i="6"/>
  <c r="E655" i="6" s="1"/>
  <c r="F655" i="6" s="1"/>
  <c r="G642" i="6"/>
  <c r="C641" i="6"/>
  <c r="D634" i="6" s="1"/>
  <c r="F610" i="6"/>
  <c r="F609" i="6"/>
  <c r="D607" i="6"/>
  <c r="C1019" i="1"/>
  <c r="C1070" i="1" s="1"/>
  <c r="F1072" i="1"/>
  <c r="E1070" i="1"/>
  <c r="D1070" i="1"/>
  <c r="F1073" i="1"/>
  <c r="F1071" i="1"/>
  <c r="C1154" i="1"/>
  <c r="D1108" i="1" s="1"/>
  <c r="F1157" i="1"/>
  <c r="F1154" i="1" s="1"/>
  <c r="E1154" i="1"/>
  <c r="D1184" i="1"/>
  <c r="D1201" i="1" s="1"/>
  <c r="C1184" i="1"/>
  <c r="C1201" i="1" s="1"/>
  <c r="F1201" i="1"/>
  <c r="G1204" i="1"/>
  <c r="G1201" i="1" s="1"/>
  <c r="C1251" i="1"/>
  <c r="G658" i="6" l="1"/>
  <c r="F1070" i="1"/>
  <c r="G1070" i="1"/>
  <c r="G1154" i="1"/>
  <c r="D1022" i="1"/>
  <c r="D1040" i="1"/>
  <c r="D1045" i="1"/>
  <c r="D1054" i="1"/>
  <c r="D1025" i="1"/>
  <c r="D1034" i="1"/>
  <c r="D1052" i="1"/>
  <c r="D1024" i="1"/>
  <c r="D1056" i="1"/>
  <c r="D1041" i="1"/>
  <c r="D1026" i="1"/>
  <c r="D1044" i="1"/>
  <c r="D1049" i="1"/>
  <c r="D1058" i="1"/>
  <c r="D1062" i="1"/>
  <c r="D1020" i="1"/>
  <c r="D1047" i="1"/>
  <c r="D1029" i="1"/>
  <c r="D1051" i="1"/>
  <c r="D1064" i="1"/>
  <c r="D1063" i="1"/>
  <c r="D1021" i="1"/>
  <c r="D1030" i="1"/>
  <c r="D1043" i="1"/>
  <c r="D1048" i="1"/>
  <c r="D1053" i="1"/>
  <c r="D1057" i="1"/>
  <c r="D1061" i="1"/>
  <c r="D1050" i="1"/>
  <c r="D1023" i="1"/>
  <c r="D1028" i="1"/>
  <c r="D1033" i="1"/>
  <c r="D1042" i="1"/>
  <c r="D1055" i="1"/>
  <c r="D1060" i="1"/>
  <c r="D1065" i="1"/>
  <c r="D1027" i="1"/>
  <c r="D1032" i="1"/>
  <c r="D1046" i="1"/>
  <c r="D1059" i="1"/>
  <c r="D1031" i="1"/>
  <c r="D844" i="6"/>
  <c r="E827" i="6" s="1"/>
  <c r="H1201" i="1"/>
  <c r="D762" i="6"/>
  <c r="E762" i="6" s="1"/>
  <c r="F762" i="6" s="1"/>
  <c r="D767" i="6"/>
  <c r="E767" i="6" s="1"/>
  <c r="F767" i="6" s="1"/>
  <c r="D772" i="6"/>
  <c r="E772" i="6" s="1"/>
  <c r="F772" i="6" s="1"/>
  <c r="D776" i="6"/>
  <c r="E776" i="6" s="1"/>
  <c r="F776" i="6" s="1"/>
  <c r="D785" i="6"/>
  <c r="E785" i="6" s="1"/>
  <c r="F785" i="6" s="1"/>
  <c r="D774" i="6"/>
  <c r="E774" i="6" s="1"/>
  <c r="F774" i="6" s="1"/>
  <c r="D756" i="6"/>
  <c r="E756" i="6" s="1"/>
  <c r="F756" i="6" s="1"/>
  <c r="D765" i="6"/>
  <c r="E765" i="6" s="1"/>
  <c r="F765" i="6" s="1"/>
  <c r="D782" i="6"/>
  <c r="E782" i="6" s="1"/>
  <c r="F782" i="6" s="1"/>
  <c r="D758" i="6"/>
  <c r="E758" i="6" s="1"/>
  <c r="F758" i="6" s="1"/>
  <c r="D752" i="6"/>
  <c r="E752" i="6" s="1"/>
  <c r="F752" i="6" s="1"/>
  <c r="D766" i="6"/>
  <c r="E766" i="6" s="1"/>
  <c r="F766" i="6" s="1"/>
  <c r="D771" i="6"/>
  <c r="E771" i="6" s="1"/>
  <c r="F771" i="6" s="1"/>
  <c r="D780" i="6"/>
  <c r="E780" i="6" s="1"/>
  <c r="F780" i="6" s="1"/>
  <c r="D778" i="6"/>
  <c r="E778" i="6" s="1"/>
  <c r="F778" i="6" s="1"/>
  <c r="D749" i="6"/>
  <c r="E749" i="6" s="1"/>
  <c r="F749" i="6" s="1"/>
  <c r="D787" i="6"/>
  <c r="E787" i="6" s="1"/>
  <c r="F787" i="6" s="1"/>
  <c r="D759" i="6"/>
  <c r="E759" i="6" s="1"/>
  <c r="F759" i="6" s="1"/>
  <c r="D781" i="6"/>
  <c r="E781" i="6" s="1"/>
  <c r="F781" i="6" s="1"/>
  <c r="D751" i="6"/>
  <c r="E751" i="6" s="1"/>
  <c r="F751" i="6" s="1"/>
  <c r="D757" i="6"/>
  <c r="E757" i="6" s="1"/>
  <c r="F757" i="6" s="1"/>
  <c r="D770" i="6"/>
  <c r="E770" i="6" s="1"/>
  <c r="F770" i="6" s="1"/>
  <c r="D775" i="6"/>
  <c r="E775" i="6" s="1"/>
  <c r="F775" i="6" s="1"/>
  <c r="D779" i="6"/>
  <c r="E779" i="6" s="1"/>
  <c r="F779" i="6" s="1"/>
  <c r="D784" i="6"/>
  <c r="E784" i="6" s="1"/>
  <c r="F784" i="6" s="1"/>
  <c r="D748" i="6"/>
  <c r="E748" i="6" s="1"/>
  <c r="F748" i="6" s="1"/>
  <c r="D750" i="6"/>
  <c r="E750" i="6" s="1"/>
  <c r="F750" i="6" s="1"/>
  <c r="D761" i="6"/>
  <c r="E761" i="6" s="1"/>
  <c r="F761" i="6" s="1"/>
  <c r="D783" i="6"/>
  <c r="E783" i="6" s="1"/>
  <c r="F783" i="6" s="1"/>
  <c r="D773" i="6"/>
  <c r="E773" i="6" s="1"/>
  <c r="F773" i="6" s="1"/>
  <c r="D768" i="6"/>
  <c r="E768" i="6" s="1"/>
  <c r="F768" i="6" s="1"/>
  <c r="D755" i="6"/>
  <c r="E755" i="6" s="1"/>
  <c r="F755" i="6" s="1"/>
  <c r="D760" i="6"/>
  <c r="E760" i="6" s="1"/>
  <c r="F760" i="6" s="1"/>
  <c r="D769" i="6"/>
  <c r="E769" i="6" s="1"/>
  <c r="F769" i="6" s="1"/>
  <c r="D786" i="6"/>
  <c r="E786" i="6" s="1"/>
  <c r="F786" i="6" s="1"/>
  <c r="D754" i="6"/>
  <c r="E754" i="6" s="1"/>
  <c r="F754" i="6" s="1"/>
  <c r="D764" i="6"/>
  <c r="E764" i="6" s="1"/>
  <c r="F764" i="6" s="1"/>
  <c r="D777" i="6"/>
  <c r="E777" i="6" s="1"/>
  <c r="F777" i="6" s="1"/>
  <c r="D753" i="6"/>
  <c r="E753" i="6" s="1"/>
  <c r="F753" i="6" s="1"/>
  <c r="D763" i="6"/>
  <c r="E763" i="6" s="1"/>
  <c r="F763" i="6" s="1"/>
  <c r="D1019" i="1"/>
  <c r="D878" i="6"/>
  <c r="D885" i="6"/>
  <c r="E885" i="6" s="1"/>
  <c r="F885" i="6" s="1"/>
  <c r="D882" i="6"/>
  <c r="E882" i="6" s="1"/>
  <c r="F882" i="6" s="1"/>
  <c r="D884" i="6"/>
  <c r="E884" i="6" s="1"/>
  <c r="F884" i="6" s="1"/>
  <c r="D875" i="6"/>
  <c r="E875" i="6" s="1"/>
  <c r="F875" i="6" s="1"/>
  <c r="D877" i="6"/>
  <c r="E877" i="6" s="1"/>
  <c r="F877" i="6" s="1"/>
  <c r="D883" i="6"/>
  <c r="E883" i="6" s="1"/>
  <c r="F883" i="6" s="1"/>
  <c r="D888" i="6"/>
  <c r="D876" i="6"/>
  <c r="E876" i="6" s="1"/>
  <c r="F876" i="6" s="1"/>
  <c r="D887" i="6"/>
  <c r="E887" i="6" s="1"/>
  <c r="F887" i="6" s="1"/>
  <c r="D879" i="6"/>
  <c r="D881" i="6"/>
  <c r="D880" i="6"/>
  <c r="D886" i="6"/>
  <c r="E886" i="6" s="1"/>
  <c r="F886" i="6" s="1"/>
  <c r="E634" i="6"/>
  <c r="F634" i="6" s="1"/>
  <c r="C736" i="6"/>
  <c r="D685" i="6" s="1"/>
  <c r="D648" i="6"/>
  <c r="D649" i="6"/>
  <c r="D654" i="6"/>
  <c r="D653" i="6"/>
  <c r="D652" i="6"/>
  <c r="D651" i="6"/>
  <c r="E651" i="6" s="1"/>
  <c r="F651" i="6" s="1"/>
  <c r="D650" i="6"/>
  <c r="D647" i="6"/>
  <c r="E647" i="6" s="1"/>
  <c r="F647" i="6" s="1"/>
  <c r="G657" i="6"/>
  <c r="G894" i="6"/>
  <c r="D629" i="6"/>
  <c r="E629" i="6" s="1"/>
  <c r="F629" i="6" s="1"/>
  <c r="D632" i="6"/>
  <c r="E632" i="6" s="1"/>
  <c r="F632" i="6" s="1"/>
  <c r="G662" i="6"/>
  <c r="G897" i="6"/>
  <c r="E656" i="6"/>
  <c r="F656" i="6" s="1"/>
  <c r="E660" i="6"/>
  <c r="F660" i="6" s="1"/>
  <c r="C844" i="6"/>
  <c r="D631" i="6"/>
  <c r="E631" i="6" s="1"/>
  <c r="F631" i="6" s="1"/>
  <c r="D628" i="6"/>
  <c r="E628" i="6" s="1"/>
  <c r="F628" i="6" s="1"/>
  <c r="G655" i="6"/>
  <c r="G659" i="6"/>
  <c r="F675" i="6"/>
  <c r="G676" i="6" s="1"/>
  <c r="G797" i="6"/>
  <c r="G896" i="6"/>
  <c r="G964" i="6"/>
  <c r="D633" i="6"/>
  <c r="E633" i="6" s="1"/>
  <c r="F633" i="6" s="1"/>
  <c r="D630" i="6"/>
  <c r="E630" i="6" s="1"/>
  <c r="F630" i="6" s="1"/>
  <c r="G663" i="6"/>
  <c r="D627" i="6"/>
  <c r="G644" i="6"/>
  <c r="G736" i="6"/>
  <c r="G966" i="6"/>
  <c r="F607" i="6"/>
  <c r="G608" i="6" s="1"/>
  <c r="G643" i="6"/>
  <c r="G748" i="6"/>
  <c r="G750" i="6"/>
  <c r="G752" i="6"/>
  <c r="G753" i="6"/>
  <c r="G758" i="6"/>
  <c r="G759" i="6"/>
  <c r="G763" i="6"/>
  <c r="G765" i="6"/>
  <c r="G767" i="6"/>
  <c r="G769" i="6"/>
  <c r="G770" i="6"/>
  <c r="G771" i="6"/>
  <c r="G772" i="6"/>
  <c r="G780" i="6"/>
  <c r="G781" i="6"/>
  <c r="G799" i="6"/>
  <c r="G884" i="6"/>
  <c r="G885" i="6"/>
  <c r="E893" i="6"/>
  <c r="F893" i="6" s="1"/>
  <c r="G965" i="6"/>
  <c r="G800" i="6"/>
  <c r="D1144" i="1"/>
  <c r="D1142" i="1"/>
  <c r="D1132" i="1"/>
  <c r="E1132" i="1" s="1"/>
  <c r="F1132" i="1" s="1"/>
  <c r="D1115" i="1"/>
  <c r="E1115" i="1" s="1"/>
  <c r="F1115" i="1" s="1"/>
  <c r="D1136" i="1"/>
  <c r="E1136" i="1" s="1"/>
  <c r="F1136" i="1" s="1"/>
  <c r="D1119" i="1"/>
  <c r="E1119" i="1" s="1"/>
  <c r="F1119" i="1" s="1"/>
  <c r="D1140" i="1"/>
  <c r="E1140" i="1" s="1"/>
  <c r="F1140" i="1" s="1"/>
  <c r="D1123" i="1"/>
  <c r="E1123" i="1" s="1"/>
  <c r="F1123" i="1" s="1"/>
  <c r="D1106" i="1"/>
  <c r="E1106" i="1" s="1"/>
  <c r="F1106" i="1" s="1"/>
  <c r="D1105" i="1"/>
  <c r="E1105" i="1" s="1"/>
  <c r="F1105" i="1" s="1"/>
  <c r="D1127" i="1"/>
  <c r="E1127" i="1" s="1"/>
  <c r="F1127" i="1" s="1"/>
  <c r="D1110" i="1"/>
  <c r="E1110" i="1" s="1"/>
  <c r="F1110" i="1" s="1"/>
  <c r="E1108" i="1"/>
  <c r="F1108" i="1" s="1"/>
  <c r="G1108" i="1" s="1"/>
  <c r="D1139" i="1"/>
  <c r="D1135" i="1"/>
  <c r="D1130" i="1"/>
  <c r="D1126" i="1"/>
  <c r="D1122" i="1"/>
  <c r="D1118" i="1"/>
  <c r="D1113" i="1"/>
  <c r="D1109" i="1"/>
  <c r="D1137" i="1"/>
  <c r="D1133" i="1"/>
  <c r="D1128" i="1"/>
  <c r="D1124" i="1"/>
  <c r="D1120" i="1"/>
  <c r="D1116" i="1"/>
  <c r="D1111" i="1"/>
  <c r="D1107" i="1"/>
  <c r="D1138" i="1"/>
  <c r="D1134" i="1"/>
  <c r="D1129" i="1"/>
  <c r="D1125" i="1"/>
  <c r="D1121" i="1"/>
  <c r="D1117" i="1"/>
  <c r="D1112" i="1"/>
  <c r="F1187" i="1"/>
  <c r="F1186" i="1"/>
  <c r="F1185" i="1"/>
  <c r="F1189" i="1"/>
  <c r="F1188" i="1"/>
  <c r="G1185" i="1"/>
  <c r="G1189" i="1"/>
  <c r="E1187" i="1"/>
  <c r="E1186" i="1"/>
  <c r="G1187" i="1"/>
  <c r="E1185" i="1"/>
  <c r="E1189" i="1"/>
  <c r="E1184" i="1"/>
  <c r="G1186" i="1"/>
  <c r="E1188" i="1"/>
  <c r="G1188" i="1"/>
  <c r="F1184" i="1"/>
  <c r="G1184" i="1"/>
  <c r="F1251" i="1"/>
  <c r="E1251" i="1"/>
  <c r="D1251" i="1"/>
  <c r="D1246" i="1" s="1"/>
  <c r="G935" i="1"/>
  <c r="F936" i="1"/>
  <c r="E936" i="1"/>
  <c r="C936" i="1"/>
  <c r="D927" i="1" s="1"/>
  <c r="G779" i="6" l="1"/>
  <c r="D923" i="1"/>
  <c r="G760" i="6"/>
  <c r="G651" i="6"/>
  <c r="G1123" i="1"/>
  <c r="H1187" i="1"/>
  <c r="G1140" i="1"/>
  <c r="G762" i="6"/>
  <c r="G749" i="6"/>
  <c r="H1189" i="1"/>
  <c r="G787" i="6"/>
  <c r="G756" i="6"/>
  <c r="G782" i="6"/>
  <c r="G755" i="6"/>
  <c r="F827" i="6"/>
  <c r="G827" i="6" s="1"/>
  <c r="E1059" i="1"/>
  <c r="F1059" i="1" s="1"/>
  <c r="E1024" i="1"/>
  <c r="F1024" i="1" s="1"/>
  <c r="E1048" i="1"/>
  <c r="F1048" i="1" s="1"/>
  <c r="E1029" i="1"/>
  <c r="F1029" i="1" s="1"/>
  <c r="E1060" i="1"/>
  <c r="F1060" i="1" s="1"/>
  <c r="G1060" i="1"/>
  <c r="E1051" i="1"/>
  <c r="F1051" i="1" s="1"/>
  <c r="E1065" i="1"/>
  <c r="F1065" i="1" s="1"/>
  <c r="E1061" i="1"/>
  <c r="F1061" i="1" s="1"/>
  <c r="E1064" i="1"/>
  <c r="F1064" i="1" s="1"/>
  <c r="G1064" i="1"/>
  <c r="E1044" i="1"/>
  <c r="F1044" i="1" s="1"/>
  <c r="E1054" i="1"/>
  <c r="F1054" i="1" s="1"/>
  <c r="G773" i="6"/>
  <c r="G1110" i="1"/>
  <c r="G783" i="6"/>
  <c r="G775" i="6"/>
  <c r="G766" i="6"/>
  <c r="E1031" i="1"/>
  <c r="F1031" i="1" s="1"/>
  <c r="E1047" i="1"/>
  <c r="F1047" i="1" s="1"/>
  <c r="G1047" i="1"/>
  <c r="E880" i="6"/>
  <c r="F880" i="6" s="1"/>
  <c r="E1041" i="1"/>
  <c r="F1041" i="1" s="1"/>
  <c r="E1057" i="1"/>
  <c r="F1057" i="1" s="1"/>
  <c r="E888" i="6"/>
  <c r="F888" i="6" s="1"/>
  <c r="G888" i="6"/>
  <c r="E1019" i="1"/>
  <c r="F1019" i="1" s="1"/>
  <c r="E1027" i="1"/>
  <c r="F1027" i="1" s="1"/>
  <c r="E1050" i="1"/>
  <c r="F1050" i="1" s="1"/>
  <c r="E1063" i="1"/>
  <c r="F1063" i="1" s="1"/>
  <c r="G1063" i="1"/>
  <c r="E1049" i="1"/>
  <c r="F1049" i="1" s="1"/>
  <c r="E1025" i="1"/>
  <c r="F1025" i="1" s="1"/>
  <c r="H1186" i="1"/>
  <c r="G1115" i="1"/>
  <c r="G785" i="6"/>
  <c r="G776" i="6"/>
  <c r="E1033" i="1"/>
  <c r="F1033" i="1" s="1"/>
  <c r="E1043" i="1"/>
  <c r="F1043" i="1" s="1"/>
  <c r="E1022" i="1"/>
  <c r="F1022" i="1" s="1"/>
  <c r="E832" i="6"/>
  <c r="E829" i="6"/>
  <c r="E831" i="6"/>
  <c r="E830" i="6"/>
  <c r="E828" i="6"/>
  <c r="E1055" i="1"/>
  <c r="F1055" i="1" s="1"/>
  <c r="E1053" i="1"/>
  <c r="F1053" i="1" s="1"/>
  <c r="G1045" i="1"/>
  <c r="E1045" i="1"/>
  <c r="F1045" i="1" s="1"/>
  <c r="E878" i="6"/>
  <c r="F878" i="6" s="1"/>
  <c r="G878" i="6"/>
  <c r="E1032" i="1"/>
  <c r="F1032" i="1" s="1"/>
  <c r="E1023" i="1"/>
  <c r="F1023" i="1" s="1"/>
  <c r="E1021" i="1"/>
  <c r="F1021" i="1" s="1"/>
  <c r="E1058" i="1"/>
  <c r="F1058" i="1" s="1"/>
  <c r="G1058" i="1"/>
  <c r="E1034" i="1"/>
  <c r="F1034" i="1" s="1"/>
  <c r="E1246" i="1"/>
  <c r="F1246" i="1" s="1"/>
  <c r="G764" i="6"/>
  <c r="G777" i="6"/>
  <c r="G768" i="6"/>
  <c r="G751" i="6"/>
  <c r="E879" i="6"/>
  <c r="F879" i="6" s="1"/>
  <c r="H894" i="6" s="1"/>
  <c r="E1020" i="1"/>
  <c r="F1020" i="1" s="1"/>
  <c r="E881" i="6"/>
  <c r="F881" i="6" s="1"/>
  <c r="E1042" i="1"/>
  <c r="F1042" i="1" s="1"/>
  <c r="E1056" i="1"/>
  <c r="F1056" i="1" s="1"/>
  <c r="E1040" i="1"/>
  <c r="F1040" i="1" s="1"/>
  <c r="E1026" i="1"/>
  <c r="F1026" i="1" s="1"/>
  <c r="E1046" i="1"/>
  <c r="F1046" i="1" s="1"/>
  <c r="E1028" i="1"/>
  <c r="F1028" i="1" s="1"/>
  <c r="E1030" i="1"/>
  <c r="F1030" i="1" s="1"/>
  <c r="E1062" i="1"/>
  <c r="F1062" i="1" s="1"/>
  <c r="E1052" i="1"/>
  <c r="F1052" i="1" s="1"/>
  <c r="G1052" i="1"/>
  <c r="G754" i="6"/>
  <c r="G778" i="6"/>
  <c r="G761" i="6"/>
  <c r="G875" i="6"/>
  <c r="E685" i="6"/>
  <c r="F685" i="6" s="1"/>
  <c r="D688" i="6"/>
  <c r="D691" i="6"/>
  <c r="D696" i="6"/>
  <c r="D699" i="6"/>
  <c r="D704" i="6"/>
  <c r="E704" i="6" s="1"/>
  <c r="F704" i="6" s="1"/>
  <c r="D707" i="6"/>
  <c r="D712" i="6"/>
  <c r="D715" i="6"/>
  <c r="D720" i="6"/>
  <c r="D723" i="6"/>
  <c r="D728" i="6"/>
  <c r="D731" i="6"/>
  <c r="D695" i="6"/>
  <c r="D700" i="6"/>
  <c r="D719" i="6"/>
  <c r="D724" i="6"/>
  <c r="D686" i="6"/>
  <c r="D697" i="6"/>
  <c r="D705" i="6"/>
  <c r="E705" i="6" s="1"/>
  <c r="F705" i="6" s="1"/>
  <c r="D713" i="6"/>
  <c r="D718" i="6"/>
  <c r="D729" i="6"/>
  <c r="D690" i="6"/>
  <c r="D693" i="6"/>
  <c r="D698" i="6"/>
  <c r="D701" i="6"/>
  <c r="E701" i="6" s="1"/>
  <c r="F701" i="6" s="1"/>
  <c r="D706" i="6"/>
  <c r="D709" i="6"/>
  <c r="D714" i="6"/>
  <c r="D717" i="6"/>
  <c r="D722" i="6"/>
  <c r="D725" i="6"/>
  <c r="D730" i="6"/>
  <c r="D687" i="6"/>
  <c r="D692" i="6"/>
  <c r="D703" i="6"/>
  <c r="E703" i="6" s="1"/>
  <c r="F703" i="6" s="1"/>
  <c r="D708" i="6"/>
  <c r="D711" i="6"/>
  <c r="D716" i="6"/>
  <c r="D727" i="6"/>
  <c r="D689" i="6"/>
  <c r="D694" i="6"/>
  <c r="D702" i="6"/>
  <c r="E702" i="6" s="1"/>
  <c r="F702" i="6" s="1"/>
  <c r="D710" i="6"/>
  <c r="D721" i="6"/>
  <c r="D726" i="6"/>
  <c r="G647" i="6"/>
  <c r="E652" i="6"/>
  <c r="F652" i="6" s="1"/>
  <c r="E648" i="6"/>
  <c r="F648" i="6" s="1"/>
  <c r="E649" i="6"/>
  <c r="F649" i="6" s="1"/>
  <c r="E650" i="6"/>
  <c r="F650" i="6" s="1"/>
  <c r="E654" i="6"/>
  <c r="F654" i="6" s="1"/>
  <c r="E653" i="6"/>
  <c r="F653" i="6" s="1"/>
  <c r="G678" i="6"/>
  <c r="G677" i="6"/>
  <c r="G675" i="6"/>
  <c r="E627" i="6"/>
  <c r="F627" i="6" s="1"/>
  <c r="G607" i="6"/>
  <c r="H846" i="6"/>
  <c r="H844" i="6"/>
  <c r="H845" i="6"/>
  <c r="G739" i="6"/>
  <c r="G737" i="6"/>
  <c r="G610" i="6"/>
  <c r="G609" i="6"/>
  <c r="G738" i="6"/>
  <c r="H847" i="6"/>
  <c r="G1136" i="1"/>
  <c r="G1106" i="1"/>
  <c r="G1132" i="1"/>
  <c r="E1142" i="1"/>
  <c r="F1142" i="1" s="1"/>
  <c r="E1144" i="1"/>
  <c r="F1144" i="1" s="1"/>
  <c r="G1119" i="1"/>
  <c r="G1105" i="1"/>
  <c r="G1127" i="1"/>
  <c r="E1121" i="1"/>
  <c r="F1121" i="1" s="1"/>
  <c r="E1138" i="1"/>
  <c r="F1138" i="1" s="1"/>
  <c r="G1138" i="1" s="1"/>
  <c r="E1111" i="1"/>
  <c r="F1111" i="1" s="1"/>
  <c r="E1128" i="1"/>
  <c r="F1128" i="1" s="1"/>
  <c r="G1128" i="1" s="1"/>
  <c r="E1113" i="1"/>
  <c r="F1113" i="1" s="1"/>
  <c r="E1130" i="1"/>
  <c r="F1130" i="1" s="1"/>
  <c r="E1117" i="1"/>
  <c r="F1117" i="1" s="1"/>
  <c r="E1134" i="1"/>
  <c r="F1134" i="1" s="1"/>
  <c r="E1107" i="1"/>
  <c r="F1107" i="1" s="1"/>
  <c r="E1124" i="1"/>
  <c r="F1124" i="1" s="1"/>
  <c r="E1109" i="1"/>
  <c r="F1109" i="1" s="1"/>
  <c r="E1126" i="1"/>
  <c r="F1126" i="1" s="1"/>
  <c r="E1112" i="1"/>
  <c r="F1112" i="1" s="1"/>
  <c r="E1129" i="1"/>
  <c r="F1129" i="1" s="1"/>
  <c r="E1120" i="1"/>
  <c r="F1120" i="1" s="1"/>
  <c r="E1137" i="1"/>
  <c r="F1137" i="1" s="1"/>
  <c r="E1122" i="1"/>
  <c r="F1122" i="1" s="1"/>
  <c r="E1139" i="1"/>
  <c r="F1139" i="1" s="1"/>
  <c r="E1125" i="1"/>
  <c r="F1125" i="1" s="1"/>
  <c r="E1116" i="1"/>
  <c r="F1116" i="1" s="1"/>
  <c r="E1133" i="1"/>
  <c r="F1133" i="1" s="1"/>
  <c r="E1118" i="1"/>
  <c r="F1118" i="1" s="1"/>
  <c r="E1135" i="1"/>
  <c r="F1135" i="1" s="1"/>
  <c r="D1249" i="1"/>
  <c r="E1249" i="1" s="1"/>
  <c r="F1249" i="1" s="1"/>
  <c r="D1236" i="1"/>
  <c r="E1236" i="1" s="1"/>
  <c r="F1236" i="1" s="1"/>
  <c r="G1251" i="1"/>
  <c r="D1242" i="1"/>
  <c r="E1242" i="1" s="1"/>
  <c r="F1242" i="1" s="1"/>
  <c r="D1241" i="1"/>
  <c r="E1241" i="1" s="1"/>
  <c r="F1241" i="1" s="1"/>
  <c r="D1245" i="1"/>
  <c r="E1245" i="1" s="1"/>
  <c r="F1245" i="1" s="1"/>
  <c r="D1240" i="1"/>
  <c r="E1240" i="1" s="1"/>
  <c r="F1240" i="1" s="1"/>
  <c r="D1235" i="1"/>
  <c r="E1235" i="1" s="1"/>
  <c r="F1235" i="1" s="1"/>
  <c r="H1184" i="1"/>
  <c r="D1239" i="1"/>
  <c r="E1239" i="1" s="1"/>
  <c r="F1239" i="1" s="1"/>
  <c r="D1248" i="1"/>
  <c r="E1248" i="1" s="1"/>
  <c r="F1248" i="1" s="1"/>
  <c r="D1250" i="1"/>
  <c r="D1237" i="1"/>
  <c r="E1237" i="1" s="1"/>
  <c r="F1237" i="1" s="1"/>
  <c r="D1244" i="1"/>
  <c r="E1244" i="1" s="1"/>
  <c r="F1244" i="1" s="1"/>
  <c r="D1243" i="1"/>
  <c r="E1243" i="1" s="1"/>
  <c r="F1243" i="1" s="1"/>
  <c r="D1238" i="1"/>
  <c r="E1238" i="1" s="1"/>
  <c r="F1238" i="1" s="1"/>
  <c r="D1247" i="1"/>
  <c r="E1247" i="1" s="1"/>
  <c r="F1247" i="1" s="1"/>
  <c r="D1233" i="1"/>
  <c r="E1233" i="1" s="1"/>
  <c r="F1233" i="1" s="1"/>
  <c r="H1188" i="1"/>
  <c r="H1185" i="1"/>
  <c r="D1232" i="1"/>
  <c r="G936" i="1"/>
  <c r="D924" i="1"/>
  <c r="E927" i="1"/>
  <c r="F927" i="1" s="1"/>
  <c r="D928" i="1"/>
  <c r="D925" i="1"/>
  <c r="E923" i="1"/>
  <c r="F923" i="1" s="1"/>
  <c r="G1053" i="1" l="1"/>
  <c r="G1033" i="1"/>
  <c r="G1057" i="1"/>
  <c r="G1029" i="1"/>
  <c r="G1054" i="1"/>
  <c r="G1050" i="1"/>
  <c r="G1041" i="1"/>
  <c r="G1061" i="1"/>
  <c r="G1059" i="1"/>
  <c r="F831" i="6"/>
  <c r="G831" i="6" s="1"/>
  <c r="F830" i="6"/>
  <c r="G830" i="6" s="1"/>
  <c r="G1062" i="1"/>
  <c r="G1026" i="1"/>
  <c r="G881" i="6"/>
  <c r="G1021" i="1"/>
  <c r="H827" i="6"/>
  <c r="G1046" i="1"/>
  <c r="G1042" i="1"/>
  <c r="G1049" i="1"/>
  <c r="G1019" i="1"/>
  <c r="G880" i="6"/>
  <c r="F828" i="6"/>
  <c r="G828" i="6" s="1"/>
  <c r="G1043" i="1"/>
  <c r="G1028" i="1"/>
  <c r="G1056" i="1"/>
  <c r="G879" i="6"/>
  <c r="G1034" i="1"/>
  <c r="G1032" i="1"/>
  <c r="G1055" i="1"/>
  <c r="G1044" i="1"/>
  <c r="G1051" i="1"/>
  <c r="G1024" i="1"/>
  <c r="F829" i="6"/>
  <c r="G829" i="6" s="1"/>
  <c r="G1027" i="1"/>
  <c r="G1022" i="1"/>
  <c r="G1031" i="1"/>
  <c r="F832" i="6"/>
  <c r="G832" i="6" s="1"/>
  <c r="I844" i="6" s="1"/>
  <c r="G1025" i="1"/>
  <c r="G1030" i="1"/>
  <c r="G1040" i="1"/>
  <c r="G1020" i="1"/>
  <c r="G1023" i="1"/>
  <c r="G1065" i="1"/>
  <c r="G1048" i="1"/>
  <c r="E716" i="6"/>
  <c r="F716" i="6" s="1"/>
  <c r="E722" i="6"/>
  <c r="F722" i="6" s="1"/>
  <c r="E728" i="6"/>
  <c r="F728" i="6" s="1"/>
  <c r="E696" i="6"/>
  <c r="F696" i="6" s="1"/>
  <c r="E727" i="6"/>
  <c r="F727" i="6" s="1"/>
  <c r="E709" i="6"/>
  <c r="F709" i="6" s="1"/>
  <c r="E713" i="6"/>
  <c r="F713" i="6" s="1"/>
  <c r="E731" i="6"/>
  <c r="F731" i="6" s="1"/>
  <c r="G731" i="6"/>
  <c r="E715" i="6"/>
  <c r="F715" i="6" s="1"/>
  <c r="E721" i="6"/>
  <c r="F721" i="6" s="1"/>
  <c r="E689" i="6"/>
  <c r="F689" i="6" s="1"/>
  <c r="E708" i="6"/>
  <c r="F708" i="6" s="1"/>
  <c r="E730" i="6"/>
  <c r="F730" i="6" s="1"/>
  <c r="E714" i="6"/>
  <c r="F714" i="6" s="1"/>
  <c r="E698" i="6"/>
  <c r="F698" i="6" s="1"/>
  <c r="E718" i="6"/>
  <c r="F718" i="6" s="1"/>
  <c r="E686" i="6"/>
  <c r="F686" i="6" s="1"/>
  <c r="E695" i="6"/>
  <c r="F695" i="6" s="1"/>
  <c r="E720" i="6"/>
  <c r="F720" i="6" s="1"/>
  <c r="E688" i="6"/>
  <c r="F688" i="6" s="1"/>
  <c r="G685" i="6"/>
  <c r="E692" i="6"/>
  <c r="F692" i="6" s="1"/>
  <c r="E706" i="6"/>
  <c r="F706" i="6" s="1"/>
  <c r="E690" i="6"/>
  <c r="F690" i="6" s="1"/>
  <c r="G690" i="6"/>
  <c r="E719" i="6"/>
  <c r="F719" i="6" s="1"/>
  <c r="E712" i="6"/>
  <c r="F712" i="6" s="1"/>
  <c r="G712" i="6"/>
  <c r="E710" i="6"/>
  <c r="F710" i="6" s="1"/>
  <c r="E725" i="6"/>
  <c r="F725" i="6" s="1"/>
  <c r="E693" i="6"/>
  <c r="F693" i="6" s="1"/>
  <c r="E724" i="6"/>
  <c r="F724" i="6" s="1"/>
  <c r="E699" i="6"/>
  <c r="F699" i="6" s="1"/>
  <c r="E726" i="6"/>
  <c r="F726" i="6" s="1"/>
  <c r="E694" i="6"/>
  <c r="F694" i="6" s="1"/>
  <c r="E711" i="6"/>
  <c r="F711" i="6" s="1"/>
  <c r="E687" i="6"/>
  <c r="F687" i="6" s="1"/>
  <c r="E717" i="6"/>
  <c r="F717" i="6" s="1"/>
  <c r="E729" i="6"/>
  <c r="F729" i="6" s="1"/>
  <c r="E697" i="6"/>
  <c r="F697" i="6" s="1"/>
  <c r="E700" i="6"/>
  <c r="F700" i="6" s="1"/>
  <c r="E723" i="6"/>
  <c r="F723" i="6" s="1"/>
  <c r="G723" i="6"/>
  <c r="E707" i="6"/>
  <c r="F707" i="6" s="1"/>
  <c r="E691" i="6"/>
  <c r="F691" i="6" s="1"/>
  <c r="G691" i="6"/>
  <c r="G627" i="6"/>
  <c r="G654" i="6"/>
  <c r="G649" i="6"/>
  <c r="G652" i="6"/>
  <c r="G653" i="6"/>
  <c r="G650" i="6"/>
  <c r="G648" i="6"/>
  <c r="H895" i="6"/>
  <c r="H896" i="6"/>
  <c r="H897" i="6"/>
  <c r="G1142" i="1"/>
  <c r="G1129" i="1"/>
  <c r="G1144" i="1"/>
  <c r="G1116" i="1"/>
  <c r="G1120" i="1"/>
  <c r="G1112" i="1"/>
  <c r="G1124" i="1"/>
  <c r="G1134" i="1"/>
  <c r="G1111" i="1"/>
  <c r="G1121" i="1"/>
  <c r="G1133" i="1"/>
  <c r="G1125" i="1"/>
  <c r="G1137" i="1"/>
  <c r="G1107" i="1"/>
  <c r="G1117" i="1"/>
  <c r="G1135" i="1"/>
  <c r="G1122" i="1"/>
  <c r="G1109" i="1"/>
  <c r="G1113" i="1"/>
  <c r="G1118" i="1"/>
  <c r="G1139" i="1"/>
  <c r="G1126" i="1"/>
  <c r="G1130" i="1"/>
  <c r="E1250" i="1"/>
  <c r="F1250" i="1" s="1"/>
  <c r="E1232" i="1"/>
  <c r="F1232" i="1" s="1"/>
  <c r="G1245" i="1"/>
  <c r="G1235" i="1"/>
  <c r="G1238" i="1"/>
  <c r="G1241" i="1"/>
  <c r="E924" i="1"/>
  <c r="F924" i="1" s="1"/>
  <c r="G923" i="1"/>
  <c r="E928" i="1"/>
  <c r="F928" i="1" s="1"/>
  <c r="H936" i="1" s="1"/>
  <c r="E925" i="1"/>
  <c r="F925" i="1" s="1"/>
  <c r="G927" i="1"/>
  <c r="G929" i="1"/>
  <c r="H830" i="6" l="1"/>
  <c r="G721" i="6"/>
  <c r="I846" i="6"/>
  <c r="I845" i="6"/>
  <c r="I847" i="6"/>
  <c r="G724" i="6"/>
  <c r="H736" i="6"/>
  <c r="H738" i="6" s="1"/>
  <c r="G714" i="6"/>
  <c r="H828" i="6"/>
  <c r="H831" i="6"/>
  <c r="G717" i="6"/>
  <c r="G688" i="6"/>
  <c r="G696" i="6"/>
  <c r="G692" i="6"/>
  <c r="G726" i="6"/>
  <c r="G697" i="6"/>
  <c r="G709" i="6"/>
  <c r="G725" i="6"/>
  <c r="G708" i="6"/>
  <c r="H829" i="6"/>
  <c r="G718" i="6"/>
  <c r="H832" i="6"/>
  <c r="G711" i="6"/>
  <c r="G695" i="6"/>
  <c r="G722" i="6"/>
  <c r="G707" i="6"/>
  <c r="G700" i="6"/>
  <c r="G729" i="6"/>
  <c r="G687" i="6"/>
  <c r="G694" i="6"/>
  <c r="G699" i="6"/>
  <c r="G693" i="6"/>
  <c r="G710" i="6"/>
  <c r="G719" i="6"/>
  <c r="G706" i="6"/>
  <c r="G720" i="6"/>
  <c r="G686" i="6"/>
  <c r="G698" i="6"/>
  <c r="G730" i="6"/>
  <c r="G689" i="6"/>
  <c r="G715" i="6"/>
  <c r="G713" i="6"/>
  <c r="G727" i="6"/>
  <c r="G728" i="6"/>
  <c r="G716" i="6"/>
  <c r="G1250" i="1"/>
  <c r="G1232" i="1"/>
  <c r="G1242" i="1"/>
  <c r="G1236" i="1"/>
  <c r="G1237" i="1"/>
  <c r="G925" i="1"/>
  <c r="G924" i="1"/>
  <c r="G926" i="1"/>
  <c r="G928" i="1"/>
  <c r="G922" i="1"/>
  <c r="H739" i="6" l="1"/>
  <c r="H737" i="6"/>
  <c r="E970" i="1"/>
  <c r="F970" i="1"/>
  <c r="E996" i="1"/>
  <c r="F1320" i="1"/>
  <c r="G1320" i="1" s="1"/>
  <c r="F904" i="1"/>
  <c r="F905" i="1"/>
  <c r="D902" i="1"/>
  <c r="C970" i="1"/>
  <c r="D959" i="1" s="1"/>
  <c r="G109" i="4"/>
  <c r="G111" i="4" s="1"/>
  <c r="G1282" i="1"/>
  <c r="G1279" i="1"/>
  <c r="F1278" i="1"/>
  <c r="G1278" i="1" s="1"/>
  <c r="F998" i="1"/>
  <c r="F997" i="1"/>
  <c r="J85" i="5"/>
  <c r="F74" i="5"/>
  <c r="G74" i="5" s="1"/>
  <c r="J74" i="5" s="1"/>
  <c r="F76" i="5"/>
  <c r="G76" i="5" s="1"/>
  <c r="F79" i="5"/>
  <c r="G79" i="5" s="1"/>
  <c r="J79" i="5" s="1"/>
  <c r="F80" i="5"/>
  <c r="G80" i="5" s="1"/>
  <c r="E85" i="5"/>
  <c r="F63" i="5" s="1"/>
  <c r="G63" i="5" s="1"/>
  <c r="B85" i="5"/>
  <c r="C85" i="5" s="1"/>
  <c r="J18" i="7"/>
  <c r="K9" i="7" s="1"/>
  <c r="N68" i="3"/>
  <c r="L54" i="3"/>
  <c r="M54" i="3" s="1"/>
  <c r="L59" i="3"/>
  <c r="M59" i="3" s="1"/>
  <c r="L60" i="3"/>
  <c r="M60" i="3" s="1"/>
  <c r="L65" i="3"/>
  <c r="M65" i="3" s="1"/>
  <c r="E60" i="3"/>
  <c r="E59" i="3"/>
  <c r="E58" i="3"/>
  <c r="E57" i="3"/>
  <c r="E56" i="3"/>
  <c r="E55" i="3"/>
  <c r="E54" i="3"/>
  <c r="E53" i="3"/>
  <c r="E52" i="3"/>
  <c r="K68" i="3"/>
  <c r="L58" i="3" s="1"/>
  <c r="M58" i="3" s="1"/>
  <c r="H68" i="3"/>
  <c r="I56" i="3" s="1"/>
  <c r="J56" i="3" s="1"/>
  <c r="B68" i="3"/>
  <c r="C55" i="3" s="1"/>
  <c r="D55" i="3" s="1"/>
  <c r="L56" i="3" l="1"/>
  <c r="M56" i="3" s="1"/>
  <c r="K2" i="7"/>
  <c r="L55" i="3"/>
  <c r="M55" i="3" s="1"/>
  <c r="K10" i="7"/>
  <c r="F70" i="5"/>
  <c r="G70" i="5" s="1"/>
  <c r="J70" i="5" s="1"/>
  <c r="E68" i="3"/>
  <c r="F58" i="3" s="1"/>
  <c r="G58" i="3" s="1"/>
  <c r="L53" i="3"/>
  <c r="M53" i="3" s="1"/>
  <c r="C65" i="3"/>
  <c r="D65" i="3" s="1"/>
  <c r="C56" i="3"/>
  <c r="D56" i="3" s="1"/>
  <c r="L68" i="3"/>
  <c r="F85" i="5"/>
  <c r="F64" i="3"/>
  <c r="G64" i="3" s="1"/>
  <c r="F52" i="3"/>
  <c r="G52" i="3" s="1"/>
  <c r="F61" i="3"/>
  <c r="G61" i="3" s="1"/>
  <c r="N61" i="3" s="1"/>
  <c r="J63" i="5"/>
  <c r="K11" i="7"/>
  <c r="K3" i="7"/>
  <c r="C76" i="5"/>
  <c r="D76" i="5" s="1"/>
  <c r="J76" i="5" s="1"/>
  <c r="C67" i="3"/>
  <c r="D67" i="3" s="1"/>
  <c r="C58" i="3"/>
  <c r="D58" i="3" s="1"/>
  <c r="K12" i="7"/>
  <c r="K4" i="7"/>
  <c r="C77" i="5"/>
  <c r="D77" i="5" s="1"/>
  <c r="J77" i="5" s="1"/>
  <c r="C57" i="3"/>
  <c r="D57" i="3" s="1"/>
  <c r="C52" i="3"/>
  <c r="K14" i="7"/>
  <c r="K15" i="7"/>
  <c r="C84" i="5"/>
  <c r="D84" i="5" s="1"/>
  <c r="J84" i="5" s="1"/>
  <c r="C66" i="3"/>
  <c r="D66" i="3" s="1"/>
  <c r="C59" i="3"/>
  <c r="D59" i="3" s="1"/>
  <c r="K5" i="7"/>
  <c r="C80" i="5"/>
  <c r="D80" i="5" s="1"/>
  <c r="J80" i="5" s="1"/>
  <c r="C53" i="3"/>
  <c r="D53" i="3" s="1"/>
  <c r="C63" i="3"/>
  <c r="D63" i="3" s="1"/>
  <c r="C54" i="3"/>
  <c r="D54" i="3" s="1"/>
  <c r="L57" i="3"/>
  <c r="M57" i="3" s="1"/>
  <c r="K16" i="7"/>
  <c r="K8" i="7"/>
  <c r="C62" i="5"/>
  <c r="D62" i="5" s="1"/>
  <c r="J62" i="5" s="1"/>
  <c r="C68" i="5"/>
  <c r="D68" i="5" s="1"/>
  <c r="J68" i="5" s="1"/>
  <c r="C68" i="3"/>
  <c r="K13" i="7"/>
  <c r="C78" i="5"/>
  <c r="D78" i="5" s="1"/>
  <c r="J78" i="5" s="1"/>
  <c r="C60" i="3"/>
  <c r="D60" i="3" s="1"/>
  <c r="K6" i="7"/>
  <c r="C62" i="3"/>
  <c r="D62" i="3" s="1"/>
  <c r="K7" i="7"/>
  <c r="C64" i="3"/>
  <c r="D64" i="3" s="1"/>
  <c r="N64" i="3" s="1"/>
  <c r="K17" i="7"/>
  <c r="C63" i="5"/>
  <c r="D63" i="5" s="1"/>
  <c r="D969" i="1"/>
  <c r="E969" i="1" s="1"/>
  <c r="F969" i="1" s="1"/>
  <c r="F996" i="1"/>
  <c r="G996" i="1" s="1"/>
  <c r="D958" i="1"/>
  <c r="E958" i="1" s="1"/>
  <c r="F958" i="1" s="1"/>
  <c r="D963" i="1"/>
  <c r="E963" i="1" s="1"/>
  <c r="F963" i="1" s="1"/>
  <c r="G970" i="1"/>
  <c r="D956" i="1"/>
  <c r="E956" i="1" s="1"/>
  <c r="F956" i="1" s="1"/>
  <c r="F902" i="1"/>
  <c r="G902" i="1" s="1"/>
  <c r="E959" i="1"/>
  <c r="F959" i="1" s="1"/>
  <c r="D967" i="1"/>
  <c r="D962" i="1"/>
  <c r="D960" i="1"/>
  <c r="D957" i="1"/>
  <c r="D968" i="1"/>
  <c r="D965" i="1"/>
  <c r="D955" i="1"/>
  <c r="D954" i="1"/>
  <c r="D966" i="1"/>
  <c r="D964" i="1"/>
  <c r="D961" i="1"/>
  <c r="I58" i="3"/>
  <c r="J58" i="3" s="1"/>
  <c r="I66" i="3"/>
  <c r="J66" i="3" s="1"/>
  <c r="I53" i="3"/>
  <c r="J53" i="3" s="1"/>
  <c r="I52" i="3"/>
  <c r="J52" i="3" s="1"/>
  <c r="I54" i="3"/>
  <c r="J54" i="3" s="1"/>
  <c r="I57" i="3"/>
  <c r="J57" i="3" s="1"/>
  <c r="I59" i="3"/>
  <c r="J59" i="3" s="1"/>
  <c r="I55" i="3"/>
  <c r="J55" i="3" s="1"/>
  <c r="I68" i="3"/>
  <c r="I60" i="3"/>
  <c r="J60" i="3" s="1"/>
  <c r="C57" i="2"/>
  <c r="C67" i="2"/>
  <c r="C56" i="2"/>
  <c r="C55" i="2"/>
  <c r="C54" i="2"/>
  <c r="C53" i="2"/>
  <c r="B57" i="2"/>
  <c r="B73" i="2" s="1"/>
  <c r="B67" i="2"/>
  <c r="B53" i="2"/>
  <c r="G1281" i="1"/>
  <c r="G1280" i="1"/>
  <c r="G939" i="1"/>
  <c r="H939" i="1" s="1"/>
  <c r="G937" i="1"/>
  <c r="H937" i="1" s="1"/>
  <c r="G938" i="1"/>
  <c r="H938" i="1" s="1"/>
  <c r="F517" i="6"/>
  <c r="E490" i="6"/>
  <c r="D490" i="6"/>
  <c r="F429" i="6"/>
  <c r="E429" i="6"/>
  <c r="D429" i="6"/>
  <c r="E368" i="6"/>
  <c r="E356" i="6"/>
  <c r="E314" i="6"/>
  <c r="G590" i="6"/>
  <c r="G588" i="6"/>
  <c r="G559" i="6"/>
  <c r="G558" i="6"/>
  <c r="G557" i="6"/>
  <c r="C546" i="6"/>
  <c r="C545" i="6"/>
  <c r="C533" i="6"/>
  <c r="D533" i="6" s="1"/>
  <c r="E533" i="6" s="1"/>
  <c r="F533" i="6" s="1"/>
  <c r="C531" i="6"/>
  <c r="D531" i="6" s="1"/>
  <c r="E531" i="6" s="1"/>
  <c r="F531" i="6" s="1"/>
  <c r="D507" i="6"/>
  <c r="D517" i="6" s="1"/>
  <c r="E500" i="6" s="1"/>
  <c r="C507" i="6"/>
  <c r="C517" i="6" s="1"/>
  <c r="C490" i="6"/>
  <c r="C429" i="6"/>
  <c r="D389" i="6" s="1"/>
  <c r="G369" i="6"/>
  <c r="C347" i="6"/>
  <c r="C346" i="6"/>
  <c r="C345" i="6"/>
  <c r="C342" i="6"/>
  <c r="C341" i="6"/>
  <c r="G316" i="6"/>
  <c r="G315" i="6"/>
  <c r="C314" i="6"/>
  <c r="D305" i="6" s="1"/>
  <c r="C630" i="1"/>
  <c r="F57" i="3" l="1"/>
  <c r="G57" i="3" s="1"/>
  <c r="F55" i="3"/>
  <c r="G55" i="3" s="1"/>
  <c r="F65" i="3"/>
  <c r="G65" i="3" s="1"/>
  <c r="N65" i="3" s="1"/>
  <c r="F66" i="3"/>
  <c r="G66" i="3" s="1"/>
  <c r="C73" i="2"/>
  <c r="F63" i="3"/>
  <c r="G63" i="3" s="1"/>
  <c r="N63" i="3" s="1"/>
  <c r="F67" i="3"/>
  <c r="G67" i="3" s="1"/>
  <c r="N67" i="3" s="1"/>
  <c r="F54" i="3"/>
  <c r="G54" i="3" s="1"/>
  <c r="N54" i="3" s="1"/>
  <c r="F59" i="3"/>
  <c r="G59" i="3" s="1"/>
  <c r="F53" i="3"/>
  <c r="G53" i="3" s="1"/>
  <c r="N53" i="3" s="1"/>
  <c r="N55" i="3"/>
  <c r="N59" i="3"/>
  <c r="F56" i="3"/>
  <c r="G56" i="3" s="1"/>
  <c r="N56" i="3" s="1"/>
  <c r="F60" i="3"/>
  <c r="G60" i="3" s="1"/>
  <c r="F68" i="3"/>
  <c r="F62" i="3"/>
  <c r="G62" i="3" s="1"/>
  <c r="N62" i="3" s="1"/>
  <c r="D381" i="6"/>
  <c r="E381" i="6" s="1"/>
  <c r="F381" i="6" s="1"/>
  <c r="N57" i="3"/>
  <c r="N58" i="3"/>
  <c r="N66" i="3"/>
  <c r="N60" i="3"/>
  <c r="G969" i="1"/>
  <c r="D402" i="6"/>
  <c r="E402" i="6" s="1"/>
  <c r="F402" i="6" s="1"/>
  <c r="D457" i="6"/>
  <c r="E457" i="6" s="1"/>
  <c r="F457" i="6" s="1"/>
  <c r="E305" i="6"/>
  <c r="F305" i="6" s="1"/>
  <c r="F500" i="6"/>
  <c r="G500" i="6" s="1"/>
  <c r="D461" i="6"/>
  <c r="E461" i="6" s="1"/>
  <c r="F461" i="6" s="1"/>
  <c r="D420" i="6"/>
  <c r="E420" i="6" s="1"/>
  <c r="F420" i="6" s="1"/>
  <c r="E389" i="6"/>
  <c r="F389" i="6" s="1"/>
  <c r="D394" i="6"/>
  <c r="E394" i="6" s="1"/>
  <c r="F394" i="6" s="1"/>
  <c r="D468" i="6"/>
  <c r="E468" i="6" s="1"/>
  <c r="F468" i="6" s="1"/>
  <c r="D451" i="6"/>
  <c r="E451" i="6" s="1"/>
  <c r="F451" i="6" s="1"/>
  <c r="E503" i="6"/>
  <c r="F503" i="6" s="1"/>
  <c r="G503" i="6" s="1"/>
  <c r="D398" i="6"/>
  <c r="E398" i="6" s="1"/>
  <c r="F398" i="6" s="1"/>
  <c r="D439" i="6"/>
  <c r="E439" i="6" s="1"/>
  <c r="F439" i="6" s="1"/>
  <c r="D477" i="6"/>
  <c r="E477" i="6" s="1"/>
  <c r="F477" i="6" s="1"/>
  <c r="D465" i="6"/>
  <c r="E465" i="6" s="1"/>
  <c r="F465" i="6" s="1"/>
  <c r="D446" i="6"/>
  <c r="E446" i="6" s="1"/>
  <c r="F446" i="6" s="1"/>
  <c r="E501" i="6"/>
  <c r="F501" i="6" s="1"/>
  <c r="G501" i="6" s="1"/>
  <c r="D303" i="6"/>
  <c r="E303" i="6" s="1"/>
  <c r="F303" i="6" s="1"/>
  <c r="D379" i="6"/>
  <c r="E379" i="6" s="1"/>
  <c r="F379" i="6" s="1"/>
  <c r="D425" i="6"/>
  <c r="E425" i="6" s="1"/>
  <c r="F425" i="6" s="1"/>
  <c r="D403" i="6"/>
  <c r="E403" i="6" s="1"/>
  <c r="F403" i="6" s="1"/>
  <c r="D395" i="6"/>
  <c r="E395" i="6" s="1"/>
  <c r="F395" i="6" s="1"/>
  <c r="D478" i="6"/>
  <c r="E478" i="6" s="1"/>
  <c r="F478" i="6" s="1"/>
  <c r="D470" i="6"/>
  <c r="E470" i="6" s="1"/>
  <c r="F470" i="6" s="1"/>
  <c r="D466" i="6"/>
  <c r="E466" i="6" s="1"/>
  <c r="F466" i="6" s="1"/>
  <c r="D455" i="6"/>
  <c r="E455" i="6" s="1"/>
  <c r="F455" i="6" s="1"/>
  <c r="D481" i="6"/>
  <c r="E481" i="6" s="1"/>
  <c r="F481" i="6" s="1"/>
  <c r="D473" i="6"/>
  <c r="E473" i="6" s="1"/>
  <c r="F473" i="6" s="1"/>
  <c r="E510" i="6"/>
  <c r="F510" i="6" s="1"/>
  <c r="G510" i="6" s="1"/>
  <c r="D413" i="6"/>
  <c r="E413" i="6" s="1"/>
  <c r="F413" i="6" s="1"/>
  <c r="D396" i="6"/>
  <c r="E396" i="6" s="1"/>
  <c r="F396" i="6" s="1"/>
  <c r="D476" i="6"/>
  <c r="E476" i="6" s="1"/>
  <c r="F476" i="6" s="1"/>
  <c r="D464" i="6"/>
  <c r="E464" i="6" s="1"/>
  <c r="F464" i="6" s="1"/>
  <c r="E507" i="6"/>
  <c r="F507" i="6" s="1"/>
  <c r="G507" i="6" s="1"/>
  <c r="G903" i="1"/>
  <c r="G904" i="1"/>
  <c r="G997" i="1"/>
  <c r="G959" i="1"/>
  <c r="G958" i="1"/>
  <c r="E957" i="1"/>
  <c r="F957" i="1" s="1"/>
  <c r="E961" i="1"/>
  <c r="F961" i="1" s="1"/>
  <c r="E955" i="1"/>
  <c r="F955" i="1" s="1"/>
  <c r="E965" i="1"/>
  <c r="F965" i="1" s="1"/>
  <c r="E960" i="1"/>
  <c r="F960" i="1" s="1"/>
  <c r="G963" i="1"/>
  <c r="E966" i="1"/>
  <c r="F966" i="1" s="1"/>
  <c r="E967" i="1"/>
  <c r="F967" i="1" s="1"/>
  <c r="G956" i="1"/>
  <c r="E954" i="1"/>
  <c r="F954" i="1" s="1"/>
  <c r="E964" i="1"/>
  <c r="F964" i="1" s="1"/>
  <c r="E968" i="1"/>
  <c r="F968" i="1" s="1"/>
  <c r="E962" i="1"/>
  <c r="F962" i="1" s="1"/>
  <c r="G1254" i="1"/>
  <c r="G972" i="1"/>
  <c r="G971" i="1"/>
  <c r="G973" i="1"/>
  <c r="G1071" i="1"/>
  <c r="G1073" i="1"/>
  <c r="G1157" i="1"/>
  <c r="G1252" i="1"/>
  <c r="G1253" i="1"/>
  <c r="G999" i="1"/>
  <c r="G1323" i="1"/>
  <c r="G905" i="1"/>
  <c r="G1072" i="1"/>
  <c r="G998" i="1"/>
  <c r="G336" i="6"/>
  <c r="G334" i="6"/>
  <c r="G335" i="6"/>
  <c r="H518" i="6"/>
  <c r="H519" i="6"/>
  <c r="H520" i="6"/>
  <c r="G358" i="6"/>
  <c r="G357" i="6"/>
  <c r="G359" i="6"/>
  <c r="H356" i="6"/>
  <c r="G548" i="6"/>
  <c r="G549" i="6"/>
  <c r="G550" i="6"/>
  <c r="G432" i="6"/>
  <c r="G430" i="6"/>
  <c r="G431" i="6"/>
  <c r="H429" i="6"/>
  <c r="G317" i="6"/>
  <c r="C356" i="6"/>
  <c r="D346" i="6" s="1"/>
  <c r="E346" i="6" s="1"/>
  <c r="F346" i="6" s="1"/>
  <c r="G370" i="6"/>
  <c r="G589" i="6"/>
  <c r="G371" i="6"/>
  <c r="C713" i="1"/>
  <c r="D341" i="6" l="1"/>
  <c r="E341" i="6" s="1"/>
  <c r="F341" i="6" s="1"/>
  <c r="H314" i="6"/>
  <c r="H315" i="6" s="1"/>
  <c r="D342" i="6"/>
  <c r="E342" i="6" s="1"/>
  <c r="F342" i="6" s="1"/>
  <c r="H797" i="6"/>
  <c r="D347" i="6"/>
  <c r="E347" i="6" s="1"/>
  <c r="F347" i="6" s="1"/>
  <c r="D345" i="6"/>
  <c r="E345" i="6" s="1"/>
  <c r="F345" i="6" s="1"/>
  <c r="G964" i="1"/>
  <c r="G955" i="1"/>
  <c r="G966" i="1"/>
  <c r="G957" i="1"/>
  <c r="G954" i="1"/>
  <c r="G967" i="1"/>
  <c r="G968" i="1"/>
  <c r="G960" i="1"/>
  <c r="G962" i="1"/>
  <c r="G965" i="1"/>
  <c r="G961" i="1"/>
  <c r="H1202" i="1"/>
  <c r="H1204" i="1"/>
  <c r="G1156" i="1"/>
  <c r="G1155" i="1"/>
  <c r="G1321" i="1"/>
  <c r="G1322" i="1"/>
  <c r="H1203" i="1"/>
  <c r="G491" i="6"/>
  <c r="G492" i="6"/>
  <c r="H490" i="6"/>
  <c r="H357" i="6"/>
  <c r="H359" i="6"/>
  <c r="H358" i="6"/>
  <c r="G493" i="6"/>
  <c r="D750" i="1"/>
  <c r="D760" i="1" s="1"/>
  <c r="C750" i="1"/>
  <c r="C760" i="1" s="1"/>
  <c r="C444" i="1"/>
  <c r="C514" i="1"/>
  <c r="C513" i="1"/>
  <c r="C512" i="1"/>
  <c r="C509" i="1"/>
  <c r="C508" i="1"/>
  <c r="G834" i="1"/>
  <c r="G85" i="4"/>
  <c r="G86" i="4" s="1"/>
  <c r="F834" i="1"/>
  <c r="F805" i="1"/>
  <c r="G805" i="1" s="1"/>
  <c r="F806" i="1"/>
  <c r="G806" i="1" s="1"/>
  <c r="F552" i="1"/>
  <c r="G552" i="1" s="1"/>
  <c r="G759" i="1"/>
  <c r="H759" i="1" s="1"/>
  <c r="F712" i="1"/>
  <c r="G712" i="1" s="1"/>
  <c r="F629" i="1"/>
  <c r="G629" i="1" s="1"/>
  <c r="F522" i="1"/>
  <c r="G522" i="1" s="1"/>
  <c r="F443" i="1"/>
  <c r="G443" i="1" s="1"/>
  <c r="E65" i="4"/>
  <c r="F65" i="4" s="1"/>
  <c r="F447" i="1"/>
  <c r="F444" i="1" s="1"/>
  <c r="E444" i="1"/>
  <c r="D444" i="1"/>
  <c r="F486" i="1"/>
  <c r="F483" i="1" s="1"/>
  <c r="G485" i="1" s="1"/>
  <c r="D483" i="1"/>
  <c r="F553" i="1"/>
  <c r="G555" i="1" s="1"/>
  <c r="E553" i="1"/>
  <c r="F526" i="1"/>
  <c r="F525" i="1"/>
  <c r="E523" i="1"/>
  <c r="D523" i="1"/>
  <c r="F633" i="1"/>
  <c r="F632" i="1"/>
  <c r="E630" i="1"/>
  <c r="D630" i="1"/>
  <c r="F716" i="1"/>
  <c r="F715" i="1"/>
  <c r="E713" i="1"/>
  <c r="E697" i="1" s="1"/>
  <c r="D713" i="1"/>
  <c r="D686" i="1" s="1"/>
  <c r="G763" i="1"/>
  <c r="G762" i="1"/>
  <c r="F760" i="1"/>
  <c r="E760" i="1"/>
  <c r="F869" i="1"/>
  <c r="F866" i="1" s="1"/>
  <c r="D866" i="1"/>
  <c r="E66" i="4"/>
  <c r="F66" i="4" s="1"/>
  <c r="C806" i="1"/>
  <c r="C805" i="1"/>
  <c r="C793" i="1"/>
  <c r="C791" i="1"/>
  <c r="F810" i="1"/>
  <c r="F809" i="1"/>
  <c r="E807" i="1"/>
  <c r="E59" i="4"/>
  <c r="F59" i="4" s="1"/>
  <c r="E64" i="4"/>
  <c r="F64" i="4" s="1"/>
  <c r="E63" i="4"/>
  <c r="F63" i="4" s="1"/>
  <c r="E62" i="4"/>
  <c r="F62" i="4" s="1"/>
  <c r="E61" i="4"/>
  <c r="F61" i="4" s="1"/>
  <c r="E60" i="4"/>
  <c r="F60" i="4" s="1"/>
  <c r="E58" i="4"/>
  <c r="F58" i="4" s="1"/>
  <c r="N44" i="3"/>
  <c r="E33" i="3"/>
  <c r="E36" i="3"/>
  <c r="E35" i="3"/>
  <c r="E34" i="3"/>
  <c r="E32" i="3"/>
  <c r="E31" i="3"/>
  <c r="E30" i="3"/>
  <c r="E29" i="3"/>
  <c r="E28" i="3"/>
  <c r="K44" i="3"/>
  <c r="L34" i="3" s="1"/>
  <c r="M34" i="3" s="1"/>
  <c r="H44" i="3"/>
  <c r="I30" i="3" s="1"/>
  <c r="J30" i="3" s="1"/>
  <c r="B44" i="3"/>
  <c r="C31" i="3" s="1"/>
  <c r="D31" i="3" s="1"/>
  <c r="J56" i="5"/>
  <c r="E56" i="5"/>
  <c r="F45" i="5" s="1"/>
  <c r="G45" i="5" s="1"/>
  <c r="B56" i="5"/>
  <c r="C34" i="5" s="1"/>
  <c r="D34" i="5" s="1"/>
  <c r="J34" i="5" s="1"/>
  <c r="G9" i="7"/>
  <c r="F18" i="7"/>
  <c r="G4" i="7" s="1"/>
  <c r="B18" i="7"/>
  <c r="C32" i="2"/>
  <c r="C42" i="2"/>
  <c r="C31" i="2"/>
  <c r="C30" i="2"/>
  <c r="C29" i="2"/>
  <c r="C28" i="2"/>
  <c r="C48" i="2" s="1"/>
  <c r="B42" i="2"/>
  <c r="B32" i="2"/>
  <c r="B28" i="2"/>
  <c r="G837" i="1"/>
  <c r="G836" i="1"/>
  <c r="E251" i="6"/>
  <c r="F221" i="6"/>
  <c r="E193" i="6"/>
  <c r="E132" i="6"/>
  <c r="E57" i="6"/>
  <c r="G8" i="7" l="1"/>
  <c r="G6" i="7"/>
  <c r="G17" i="7"/>
  <c r="G5" i="7"/>
  <c r="G16" i="7"/>
  <c r="G2" i="7"/>
  <c r="G14" i="7"/>
  <c r="G13" i="7"/>
  <c r="F35" i="5"/>
  <c r="G35" i="5" s="1"/>
  <c r="B48" i="2"/>
  <c r="G10" i="7"/>
  <c r="G15" i="7"/>
  <c r="G7" i="7"/>
  <c r="F51" i="5"/>
  <c r="G51" i="5" s="1"/>
  <c r="C32" i="3"/>
  <c r="D32" i="3" s="1"/>
  <c r="C36" i="3"/>
  <c r="D36" i="3" s="1"/>
  <c r="C40" i="3"/>
  <c r="D40" i="3" s="1"/>
  <c r="G11" i="7"/>
  <c r="G3" i="7"/>
  <c r="E44" i="3"/>
  <c r="F30" i="3" s="1"/>
  <c r="G30" i="3" s="1"/>
  <c r="G12" i="7"/>
  <c r="H316" i="6"/>
  <c r="H317" i="6"/>
  <c r="H798" i="6"/>
  <c r="H800" i="6"/>
  <c r="H799" i="6"/>
  <c r="E793" i="1"/>
  <c r="D793" i="1"/>
  <c r="C807" i="1"/>
  <c r="E791" i="1"/>
  <c r="D791" i="1"/>
  <c r="G760" i="1"/>
  <c r="H761" i="1" s="1"/>
  <c r="D688" i="1"/>
  <c r="D682" i="1"/>
  <c r="G483" i="1"/>
  <c r="D697" i="1"/>
  <c r="D679" i="1"/>
  <c r="E676" i="1"/>
  <c r="D693" i="1"/>
  <c r="D674" i="1"/>
  <c r="D672" i="1"/>
  <c r="D671" i="1"/>
  <c r="D702" i="1"/>
  <c r="D677" i="1"/>
  <c r="D683" i="1"/>
  <c r="D668" i="1"/>
  <c r="D704" i="1"/>
  <c r="D670" i="1"/>
  <c r="D665" i="1"/>
  <c r="D675" i="1"/>
  <c r="E679" i="1"/>
  <c r="D700" i="1"/>
  <c r="E689" i="1"/>
  <c r="F67" i="4"/>
  <c r="E672" i="1"/>
  <c r="E704" i="1"/>
  <c r="E667" i="1"/>
  <c r="E699" i="1"/>
  <c r="E690" i="1"/>
  <c r="E681" i="1"/>
  <c r="G444" i="1"/>
  <c r="C523" i="1"/>
  <c r="E514" i="1" s="1"/>
  <c r="E692" i="1"/>
  <c r="D681" i="1"/>
  <c r="E694" i="1"/>
  <c r="E693" i="1"/>
  <c r="E663" i="1"/>
  <c r="E695" i="1"/>
  <c r="D684" i="1"/>
  <c r="E682" i="1"/>
  <c r="D703" i="1"/>
  <c r="D678" i="1"/>
  <c r="E435" i="1"/>
  <c r="E688" i="1"/>
  <c r="E686" i="1"/>
  <c r="E685" i="1"/>
  <c r="E683" i="1"/>
  <c r="E607" i="1"/>
  <c r="E595" i="1"/>
  <c r="E624" i="1"/>
  <c r="E608" i="1"/>
  <c r="E592" i="1"/>
  <c r="E617" i="1"/>
  <c r="E601" i="1"/>
  <c r="E585" i="1"/>
  <c r="E618" i="1"/>
  <c r="E602" i="1"/>
  <c r="E586" i="1"/>
  <c r="E615" i="1"/>
  <c r="E587" i="1"/>
  <c r="E600" i="1"/>
  <c r="E609" i="1"/>
  <c r="E626" i="1"/>
  <c r="E610" i="1"/>
  <c r="E623" i="1"/>
  <c r="E591" i="1"/>
  <c r="E620" i="1"/>
  <c r="E588" i="1"/>
  <c r="E597" i="1"/>
  <c r="E598" i="1"/>
  <c r="E599" i="1"/>
  <c r="E583" i="1"/>
  <c r="E612" i="1"/>
  <c r="E596" i="1"/>
  <c r="E621" i="1"/>
  <c r="E605" i="1"/>
  <c r="E589" i="1"/>
  <c r="E622" i="1"/>
  <c r="E606" i="1"/>
  <c r="E590" i="1"/>
  <c r="E619" i="1"/>
  <c r="E603" i="1"/>
  <c r="E616" i="1"/>
  <c r="E584" i="1"/>
  <c r="E625" i="1"/>
  <c r="E593" i="1"/>
  <c r="E594" i="1"/>
  <c r="E611" i="1"/>
  <c r="E604" i="1"/>
  <c r="E613" i="1"/>
  <c r="E581" i="1"/>
  <c r="E614" i="1"/>
  <c r="E582" i="1"/>
  <c r="E580" i="1"/>
  <c r="E743" i="1"/>
  <c r="F433" i="1"/>
  <c r="D435" i="1"/>
  <c r="E434" i="1"/>
  <c r="E668" i="1"/>
  <c r="E684" i="1"/>
  <c r="E700" i="1"/>
  <c r="D673" i="1"/>
  <c r="D689" i="1"/>
  <c r="D662" i="1"/>
  <c r="E678" i="1"/>
  <c r="D667" i="1"/>
  <c r="D699" i="1"/>
  <c r="E677" i="1"/>
  <c r="D666" i="1"/>
  <c r="D698" i="1"/>
  <c r="E675" i="1"/>
  <c r="E691" i="1"/>
  <c r="D664" i="1"/>
  <c r="D680" i="1"/>
  <c r="D696" i="1"/>
  <c r="E674" i="1"/>
  <c r="D663" i="1"/>
  <c r="D695" i="1"/>
  <c r="E673" i="1"/>
  <c r="E662" i="1"/>
  <c r="D694" i="1"/>
  <c r="D625" i="1"/>
  <c r="D609" i="1"/>
  <c r="D593" i="1"/>
  <c r="D618" i="1"/>
  <c r="D602" i="1"/>
  <c r="D586" i="1"/>
  <c r="D619" i="1"/>
  <c r="D603" i="1"/>
  <c r="D587" i="1"/>
  <c r="D616" i="1"/>
  <c r="D600" i="1"/>
  <c r="D584" i="1"/>
  <c r="D617" i="1"/>
  <c r="D585" i="1"/>
  <c r="D626" i="1"/>
  <c r="D594" i="1"/>
  <c r="D611" i="1"/>
  <c r="D608" i="1"/>
  <c r="D621" i="1"/>
  <c r="D614" i="1"/>
  <c r="D582" i="1"/>
  <c r="D615" i="1"/>
  <c r="D583" i="1"/>
  <c r="D596" i="1"/>
  <c r="D613" i="1"/>
  <c r="D597" i="1"/>
  <c r="D581" i="1"/>
  <c r="D622" i="1"/>
  <c r="D606" i="1"/>
  <c r="D590" i="1"/>
  <c r="D623" i="1"/>
  <c r="D607" i="1"/>
  <c r="D591" i="1"/>
  <c r="D620" i="1"/>
  <c r="D604" i="1"/>
  <c r="D588" i="1"/>
  <c r="D601" i="1"/>
  <c r="D610" i="1"/>
  <c r="D580" i="1"/>
  <c r="D595" i="1"/>
  <c r="D624" i="1"/>
  <c r="D592" i="1"/>
  <c r="D605" i="1"/>
  <c r="D589" i="1"/>
  <c r="D598" i="1"/>
  <c r="D599" i="1"/>
  <c r="D612" i="1"/>
  <c r="E433" i="1"/>
  <c r="F435" i="1"/>
  <c r="D434" i="1"/>
  <c r="D433" i="1"/>
  <c r="E664" i="1"/>
  <c r="E680" i="1"/>
  <c r="E696" i="1"/>
  <c r="D669" i="1"/>
  <c r="D685" i="1"/>
  <c r="D701" i="1"/>
  <c r="E670" i="1"/>
  <c r="E702" i="1"/>
  <c r="D691" i="1"/>
  <c r="E669" i="1"/>
  <c r="E701" i="1"/>
  <c r="D690" i="1"/>
  <c r="E671" i="1"/>
  <c r="E687" i="1"/>
  <c r="E703" i="1"/>
  <c r="D676" i="1"/>
  <c r="D692" i="1"/>
  <c r="E666" i="1"/>
  <c r="E698" i="1"/>
  <c r="D687" i="1"/>
  <c r="E665" i="1"/>
  <c r="F744" i="1"/>
  <c r="F746" i="1"/>
  <c r="G753" i="1"/>
  <c r="F750" i="1"/>
  <c r="G750" i="1"/>
  <c r="F753" i="1"/>
  <c r="E753" i="1"/>
  <c r="G746" i="1"/>
  <c r="G743" i="1"/>
  <c r="I1201" i="1" s="1"/>
  <c r="I1202" i="1" s="1"/>
  <c r="E746" i="1"/>
  <c r="E750" i="1"/>
  <c r="F743" i="1"/>
  <c r="E744" i="1"/>
  <c r="G744" i="1"/>
  <c r="D512" i="1"/>
  <c r="G553" i="1"/>
  <c r="F523" i="1"/>
  <c r="H523" i="1" s="1"/>
  <c r="H763" i="1"/>
  <c r="F713" i="1"/>
  <c r="G714" i="1" s="1"/>
  <c r="F630" i="1"/>
  <c r="G486" i="1"/>
  <c r="H760" i="1"/>
  <c r="H762" i="1"/>
  <c r="G869" i="1"/>
  <c r="G868" i="1"/>
  <c r="G867" i="1"/>
  <c r="G866" i="1"/>
  <c r="F807" i="1"/>
  <c r="I32" i="3"/>
  <c r="J32" i="3" s="1"/>
  <c r="L30" i="3"/>
  <c r="M30" i="3" s="1"/>
  <c r="L31" i="3"/>
  <c r="M31" i="3" s="1"/>
  <c r="L44" i="3"/>
  <c r="L32" i="3"/>
  <c r="M32" i="3" s="1"/>
  <c r="L28" i="3"/>
  <c r="M28" i="3" s="1"/>
  <c r="L41" i="3"/>
  <c r="M41" i="3" s="1"/>
  <c r="L33" i="3"/>
  <c r="M33" i="3" s="1"/>
  <c r="I39" i="3"/>
  <c r="J39" i="3" s="1"/>
  <c r="I44" i="3"/>
  <c r="I33" i="3"/>
  <c r="J33" i="3" s="1"/>
  <c r="I28" i="3"/>
  <c r="J28" i="3" s="1"/>
  <c r="I34" i="3"/>
  <c r="J34" i="3" s="1"/>
  <c r="I42" i="3"/>
  <c r="J42" i="3" s="1"/>
  <c r="I35" i="3"/>
  <c r="J35" i="3" s="1"/>
  <c r="I31" i="3"/>
  <c r="J31" i="3" s="1"/>
  <c r="C44" i="3"/>
  <c r="C41" i="3"/>
  <c r="D41" i="3" s="1"/>
  <c r="C33" i="3"/>
  <c r="D33" i="3" s="1"/>
  <c r="C42" i="3"/>
  <c r="D42" i="3" s="1"/>
  <c r="C38" i="3"/>
  <c r="D38" i="3" s="1"/>
  <c r="C34" i="3"/>
  <c r="D34" i="3" s="1"/>
  <c r="C30" i="3"/>
  <c r="D30" i="3" s="1"/>
  <c r="C28" i="3"/>
  <c r="D28" i="3" s="1"/>
  <c r="C43" i="3"/>
  <c r="D43" i="3" s="1"/>
  <c r="C39" i="3"/>
  <c r="D39" i="3" s="1"/>
  <c r="C35" i="3"/>
  <c r="D35" i="3" s="1"/>
  <c r="F56" i="5"/>
  <c r="F50" i="5"/>
  <c r="G50" i="5" s="1"/>
  <c r="J50" i="5" s="1"/>
  <c r="C35" i="5"/>
  <c r="D35" i="5" s="1"/>
  <c r="J35" i="5" s="1"/>
  <c r="C55" i="5"/>
  <c r="D55" i="5" s="1"/>
  <c r="J55" i="5" s="1"/>
  <c r="C47" i="5"/>
  <c r="D47" i="5" s="1"/>
  <c r="J47" i="5" s="1"/>
  <c r="C39" i="5"/>
  <c r="D39" i="5" s="1"/>
  <c r="J39" i="5" s="1"/>
  <c r="C56" i="5"/>
  <c r="C52" i="5"/>
  <c r="D52" i="5" s="1"/>
  <c r="J52" i="5" s="1"/>
  <c r="C48" i="5"/>
  <c r="D48" i="5" s="1"/>
  <c r="J48" i="5" s="1"/>
  <c r="C40" i="5"/>
  <c r="D40" i="5" s="1"/>
  <c r="J40" i="5" s="1"/>
  <c r="C51" i="5"/>
  <c r="D51" i="5" s="1"/>
  <c r="J51" i="5" s="1"/>
  <c r="C43" i="5"/>
  <c r="D43" i="5" s="1"/>
  <c r="J43" i="5" s="1"/>
  <c r="C33" i="5"/>
  <c r="D33" i="5" s="1"/>
  <c r="J33" i="5" s="1"/>
  <c r="C53" i="5"/>
  <c r="D53" i="5" s="1"/>
  <c r="J53" i="5" s="1"/>
  <c r="C49" i="5"/>
  <c r="D49" i="5" s="1"/>
  <c r="J49" i="5" s="1"/>
  <c r="C45" i="5"/>
  <c r="D45" i="5" s="1"/>
  <c r="J45" i="5" s="1"/>
  <c r="G838" i="1"/>
  <c r="G556" i="1"/>
  <c r="G554" i="1"/>
  <c r="G484" i="1"/>
  <c r="G447" i="1"/>
  <c r="G445" i="1"/>
  <c r="G446" i="1"/>
  <c r="E14" i="6"/>
  <c r="E5" i="6" s="1"/>
  <c r="F296" i="6"/>
  <c r="F295" i="6"/>
  <c r="F294" i="6"/>
  <c r="F261" i="6"/>
  <c r="G263" i="6" s="1"/>
  <c r="G260" i="6"/>
  <c r="F254" i="6"/>
  <c r="F253" i="6"/>
  <c r="F252" i="6"/>
  <c r="G250" i="6" s="1"/>
  <c r="C251" i="6"/>
  <c r="G224" i="6"/>
  <c r="G223" i="6"/>
  <c r="G222" i="6"/>
  <c r="D221" i="6"/>
  <c r="C221" i="6"/>
  <c r="F196" i="6"/>
  <c r="H196" i="6" s="1"/>
  <c r="I195" i="6"/>
  <c r="F195" i="6"/>
  <c r="H195" i="6" s="1"/>
  <c r="F194" i="6"/>
  <c r="C193" i="6"/>
  <c r="F135" i="6"/>
  <c r="H135" i="6" s="1"/>
  <c r="F134" i="6"/>
  <c r="H134" i="6" s="1"/>
  <c r="F133" i="6"/>
  <c r="F131" i="6" s="1"/>
  <c r="C132" i="6"/>
  <c r="F73" i="6"/>
  <c r="F72" i="6"/>
  <c r="F71" i="6"/>
  <c r="F69" i="6" s="1"/>
  <c r="G69" i="6" s="1"/>
  <c r="E68" i="6"/>
  <c r="D68" i="6"/>
  <c r="F60" i="6"/>
  <c r="H60" i="6" s="1"/>
  <c r="F59" i="6"/>
  <c r="H59" i="6" s="1"/>
  <c r="C57" i="6"/>
  <c r="F55" i="6"/>
  <c r="F37" i="6"/>
  <c r="F36" i="6"/>
  <c r="F35" i="6"/>
  <c r="G32" i="6"/>
  <c r="F17" i="6"/>
  <c r="H17" i="6" s="1"/>
  <c r="F16" i="6"/>
  <c r="H16" i="6" s="1"/>
  <c r="F15" i="6"/>
  <c r="C14" i="6"/>
  <c r="C360" i="1"/>
  <c r="D313" i="1"/>
  <c r="C313" i="1"/>
  <c r="I268" i="1"/>
  <c r="C266" i="1"/>
  <c r="C186" i="1"/>
  <c r="F35" i="3" l="1"/>
  <c r="G35" i="3" s="1"/>
  <c r="F28" i="3"/>
  <c r="G28" i="3" s="1"/>
  <c r="F29" i="3"/>
  <c r="G29" i="3" s="1"/>
  <c r="N29" i="3" s="1"/>
  <c r="F34" i="3"/>
  <c r="G34" i="3" s="1"/>
  <c r="N30" i="3"/>
  <c r="N35" i="3"/>
  <c r="F33" i="3"/>
  <c r="G33" i="3" s="1"/>
  <c r="N33" i="3" s="1"/>
  <c r="I1204" i="1"/>
  <c r="G716" i="1"/>
  <c r="N28" i="3"/>
  <c r="F43" i="3"/>
  <c r="G43" i="3" s="1"/>
  <c r="N43" i="3" s="1"/>
  <c r="F41" i="3"/>
  <c r="G41" i="3" s="1"/>
  <c r="N41" i="3" s="1"/>
  <c r="F31" i="3"/>
  <c r="G31" i="3" s="1"/>
  <c r="N31" i="3" s="1"/>
  <c r="F36" i="3"/>
  <c r="G36" i="3" s="1"/>
  <c r="N36" i="3" s="1"/>
  <c r="F42" i="3"/>
  <c r="G42" i="3" s="1"/>
  <c r="N42" i="3" s="1"/>
  <c r="F39" i="3"/>
  <c r="G39" i="3" s="1"/>
  <c r="N39" i="3" s="1"/>
  <c r="F32" i="3"/>
  <c r="G32" i="3" s="1"/>
  <c r="N32" i="3" s="1"/>
  <c r="F40" i="3"/>
  <c r="G40" i="3" s="1"/>
  <c r="N40" i="3" s="1"/>
  <c r="F38" i="3"/>
  <c r="G38" i="3" s="1"/>
  <c r="N38" i="3" s="1"/>
  <c r="F37" i="3"/>
  <c r="G37" i="3" s="1"/>
  <c r="N37" i="3" s="1"/>
  <c r="F44" i="3"/>
  <c r="N34" i="3"/>
  <c r="G808" i="1"/>
  <c r="H807" i="1"/>
  <c r="F793" i="1" s="1"/>
  <c r="G793" i="1" s="1"/>
  <c r="I1203" i="1"/>
  <c r="G433" i="1"/>
  <c r="H444" i="1"/>
  <c r="H446" i="1" s="1"/>
  <c r="D514" i="1"/>
  <c r="D509" i="1"/>
  <c r="E512" i="1"/>
  <c r="E508" i="1"/>
  <c r="E513" i="1"/>
  <c r="E509" i="1"/>
  <c r="D513" i="1"/>
  <c r="G523" i="1"/>
  <c r="D508" i="1"/>
  <c r="G435" i="1"/>
  <c r="G631" i="1"/>
  <c r="H630" i="1"/>
  <c r="F512" i="1"/>
  <c r="G526" i="1"/>
  <c r="H526" i="1" s="1"/>
  <c r="F508" i="1"/>
  <c r="G713" i="1"/>
  <c r="H713" i="1"/>
  <c r="G524" i="1"/>
  <c r="H524" i="1" s="1"/>
  <c r="F513" i="1"/>
  <c r="F514" i="1"/>
  <c r="F509" i="1"/>
  <c r="G434" i="1"/>
  <c r="F49" i="6"/>
  <c r="F44" i="6"/>
  <c r="F48" i="6"/>
  <c r="F47" i="6"/>
  <c r="F46" i="6"/>
  <c r="F43" i="6"/>
  <c r="F45" i="6"/>
  <c r="D119" i="6"/>
  <c r="E119" i="6" s="1"/>
  <c r="F119" i="6" s="1"/>
  <c r="D96" i="6"/>
  <c r="E96" i="6" s="1"/>
  <c r="F96" i="6" s="1"/>
  <c r="D105" i="6"/>
  <c r="E105" i="6" s="1"/>
  <c r="F105" i="6" s="1"/>
  <c r="D112" i="6"/>
  <c r="E112" i="6" s="1"/>
  <c r="F112" i="6" s="1"/>
  <c r="D121" i="6"/>
  <c r="E121" i="6" s="1"/>
  <c r="F121" i="6" s="1"/>
  <c r="D128" i="6"/>
  <c r="E128" i="6" s="1"/>
  <c r="F128" i="6" s="1"/>
  <c r="D95" i="6"/>
  <c r="E95" i="6" s="1"/>
  <c r="F95" i="6" s="1"/>
  <c r="D100" i="6"/>
  <c r="E100" i="6" s="1"/>
  <c r="F100" i="6" s="1"/>
  <c r="D106" i="6"/>
  <c r="E106" i="6" s="1"/>
  <c r="F106" i="6" s="1"/>
  <c r="D109" i="6"/>
  <c r="E109" i="6" s="1"/>
  <c r="F109" i="6" s="1"/>
  <c r="D111" i="6"/>
  <c r="E111" i="6" s="1"/>
  <c r="F111" i="6" s="1"/>
  <c r="D116" i="6"/>
  <c r="E116" i="6" s="1"/>
  <c r="F116" i="6" s="1"/>
  <c r="D122" i="6"/>
  <c r="E122" i="6" s="1"/>
  <c r="F122" i="6" s="1"/>
  <c r="D125" i="6"/>
  <c r="E125" i="6" s="1"/>
  <c r="F125" i="6" s="1"/>
  <c r="D127" i="6"/>
  <c r="E127" i="6" s="1"/>
  <c r="F127" i="6" s="1"/>
  <c r="D97" i="6"/>
  <c r="E97" i="6" s="1"/>
  <c r="F97" i="6" s="1"/>
  <c r="D99" i="6"/>
  <c r="E99" i="6" s="1"/>
  <c r="F99" i="6" s="1"/>
  <c r="D104" i="6"/>
  <c r="E104" i="6" s="1"/>
  <c r="F104" i="6" s="1"/>
  <c r="D110" i="6"/>
  <c r="E110" i="6" s="1"/>
  <c r="F110" i="6" s="1"/>
  <c r="D113" i="6"/>
  <c r="E113" i="6" s="1"/>
  <c r="F113" i="6" s="1"/>
  <c r="D115" i="6"/>
  <c r="E115" i="6" s="1"/>
  <c r="F115" i="6" s="1"/>
  <c r="D120" i="6"/>
  <c r="E120" i="6" s="1"/>
  <c r="F120" i="6" s="1"/>
  <c r="D126" i="6"/>
  <c r="E126" i="6" s="1"/>
  <c r="F126" i="6" s="1"/>
  <c r="D98" i="6"/>
  <c r="E98" i="6" s="1"/>
  <c r="F98" i="6" s="1"/>
  <c r="D101" i="6"/>
  <c r="E101" i="6" s="1"/>
  <c r="F101" i="6" s="1"/>
  <c r="D103" i="6"/>
  <c r="E103" i="6" s="1"/>
  <c r="F103" i="6" s="1"/>
  <c r="D108" i="6"/>
  <c r="E108" i="6" s="1"/>
  <c r="F108" i="6" s="1"/>
  <c r="D114" i="6"/>
  <c r="E114" i="6" s="1"/>
  <c r="F114" i="6" s="1"/>
  <c r="D117" i="6"/>
  <c r="E117" i="6" s="1"/>
  <c r="F117" i="6" s="1"/>
  <c r="D124" i="6"/>
  <c r="E124" i="6" s="1"/>
  <c r="F124" i="6" s="1"/>
  <c r="D102" i="6"/>
  <c r="E102" i="6" s="1"/>
  <c r="F102" i="6" s="1"/>
  <c r="D107" i="6"/>
  <c r="E107" i="6" s="1"/>
  <c r="F107" i="6" s="1"/>
  <c r="D118" i="6"/>
  <c r="E118" i="6" s="1"/>
  <c r="F118" i="6" s="1"/>
  <c r="D123" i="6"/>
  <c r="E123" i="6" s="1"/>
  <c r="F123" i="6" s="1"/>
  <c r="H743" i="1"/>
  <c r="H746" i="1"/>
  <c r="H750" i="1"/>
  <c r="H753" i="1"/>
  <c r="H744" i="1"/>
  <c r="G525" i="1"/>
  <c r="H525" i="1" s="1"/>
  <c r="G632" i="1"/>
  <c r="G630" i="1"/>
  <c r="G633" i="1"/>
  <c r="G715" i="1"/>
  <c r="G807" i="1"/>
  <c r="G809" i="1"/>
  <c r="G810" i="1"/>
  <c r="D43" i="6"/>
  <c r="G262" i="6"/>
  <c r="D48" i="6"/>
  <c r="F209" i="6"/>
  <c r="H71" i="6"/>
  <c r="G194" i="6"/>
  <c r="E248" i="6"/>
  <c r="G248" i="6" s="1"/>
  <c r="G254" i="6"/>
  <c r="I254" i="6" s="1"/>
  <c r="D49" i="6"/>
  <c r="F68" i="6"/>
  <c r="G68" i="6" s="1"/>
  <c r="G133" i="6"/>
  <c r="E212" i="6"/>
  <c r="F211" i="6"/>
  <c r="G261" i="6"/>
  <c r="F207" i="6"/>
  <c r="E207" i="6"/>
  <c r="E211" i="6"/>
  <c r="H224" i="6"/>
  <c r="D45" i="6"/>
  <c r="D46" i="6"/>
  <c r="F205" i="6"/>
  <c r="F212" i="6"/>
  <c r="D44" i="6"/>
  <c r="E205" i="6"/>
  <c r="E209" i="6"/>
  <c r="H220" i="6"/>
  <c r="D47" i="6"/>
  <c r="F208" i="6"/>
  <c r="G295" i="6"/>
  <c r="E249" i="6"/>
  <c r="G249" i="6" s="1"/>
  <c r="G135" i="6"/>
  <c r="F204" i="6"/>
  <c r="F206" i="6"/>
  <c r="F210" i="6"/>
  <c r="G57" i="6"/>
  <c r="E184" i="6"/>
  <c r="E204" i="6"/>
  <c r="E206" i="6"/>
  <c r="E208" i="6"/>
  <c r="E210" i="6"/>
  <c r="G251" i="6"/>
  <c r="D5" i="6"/>
  <c r="E49" i="6"/>
  <c r="E48" i="6"/>
  <c r="E47" i="6"/>
  <c r="E46" i="6"/>
  <c r="E45" i="6"/>
  <c r="E44" i="6"/>
  <c r="E43" i="6"/>
  <c r="F13" i="6"/>
  <c r="G13" i="6" s="1"/>
  <c r="G14" i="6"/>
  <c r="G131" i="6"/>
  <c r="H133" i="6"/>
  <c r="H132" i="6" s="1"/>
  <c r="H58" i="6"/>
  <c r="G55" i="6"/>
  <c r="G36" i="6"/>
  <c r="E144" i="6"/>
  <c r="E146" i="6"/>
  <c r="E148" i="6"/>
  <c r="E150" i="6"/>
  <c r="E152" i="6"/>
  <c r="E154" i="6"/>
  <c r="E156" i="6"/>
  <c r="E158" i="6"/>
  <c r="E160" i="6"/>
  <c r="E162" i="6"/>
  <c r="E164" i="6"/>
  <c r="E166" i="6"/>
  <c r="E168" i="6"/>
  <c r="E170" i="6"/>
  <c r="E172" i="6"/>
  <c r="E174" i="6"/>
  <c r="E177" i="6"/>
  <c r="E179" i="6"/>
  <c r="E181" i="6"/>
  <c r="E183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F192" i="6"/>
  <c r="G192" i="6" s="1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G253" i="6"/>
  <c r="I253" i="6" s="1"/>
  <c r="G264" i="6"/>
  <c r="E143" i="6"/>
  <c r="E145" i="6"/>
  <c r="E147" i="6"/>
  <c r="E149" i="6"/>
  <c r="E151" i="6"/>
  <c r="E153" i="6"/>
  <c r="E155" i="6"/>
  <c r="E157" i="6"/>
  <c r="E159" i="6"/>
  <c r="E161" i="6"/>
  <c r="E163" i="6"/>
  <c r="E165" i="6"/>
  <c r="E167" i="6"/>
  <c r="E169" i="6"/>
  <c r="E171" i="6"/>
  <c r="E173" i="6"/>
  <c r="E175" i="6"/>
  <c r="E176" i="6"/>
  <c r="E178" i="6"/>
  <c r="E180" i="6"/>
  <c r="E182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E94" i="6" s="1"/>
  <c r="F94" i="6" s="1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H445" i="1" l="1"/>
  <c r="H447" i="1"/>
  <c r="G513" i="1"/>
  <c r="F791" i="1"/>
  <c r="G509" i="1"/>
  <c r="G508" i="1"/>
  <c r="G514" i="1"/>
  <c r="G512" i="1"/>
  <c r="F580" i="1"/>
  <c r="F611" i="1"/>
  <c r="G611" i="1" s="1"/>
  <c r="F595" i="1"/>
  <c r="G595" i="1" s="1"/>
  <c r="F620" i="1"/>
  <c r="G620" i="1" s="1"/>
  <c r="F604" i="1"/>
  <c r="G604" i="1" s="1"/>
  <c r="F588" i="1"/>
  <c r="G588" i="1" s="1"/>
  <c r="F617" i="1"/>
  <c r="G617" i="1" s="1"/>
  <c r="F601" i="1"/>
  <c r="G601" i="1" s="1"/>
  <c r="F585" i="1"/>
  <c r="G585" i="1" s="1"/>
  <c r="F618" i="1"/>
  <c r="G618" i="1" s="1"/>
  <c r="F602" i="1"/>
  <c r="G602" i="1" s="1"/>
  <c r="F586" i="1"/>
  <c r="G586" i="1" s="1"/>
  <c r="F603" i="1"/>
  <c r="G603" i="1" s="1"/>
  <c r="F612" i="1"/>
  <c r="G612" i="1" s="1"/>
  <c r="F625" i="1"/>
  <c r="G625" i="1" s="1"/>
  <c r="F593" i="1"/>
  <c r="G593" i="1" s="1"/>
  <c r="F626" i="1"/>
  <c r="G626" i="1" s="1"/>
  <c r="F594" i="1"/>
  <c r="G594" i="1" s="1"/>
  <c r="F600" i="1"/>
  <c r="G600" i="1" s="1"/>
  <c r="F597" i="1"/>
  <c r="G597" i="1" s="1"/>
  <c r="F614" i="1"/>
  <c r="G614" i="1" s="1"/>
  <c r="F582" i="1"/>
  <c r="F615" i="1"/>
  <c r="G615" i="1" s="1"/>
  <c r="F599" i="1"/>
  <c r="G599" i="1" s="1"/>
  <c r="F583" i="1"/>
  <c r="G583" i="1" s="1"/>
  <c r="F624" i="1"/>
  <c r="G624" i="1" s="1"/>
  <c r="F608" i="1"/>
  <c r="G608" i="1" s="1"/>
  <c r="F592" i="1"/>
  <c r="G592" i="1" s="1"/>
  <c r="F621" i="1"/>
  <c r="G621" i="1" s="1"/>
  <c r="F605" i="1"/>
  <c r="G605" i="1" s="1"/>
  <c r="F589" i="1"/>
  <c r="G589" i="1" s="1"/>
  <c r="F622" i="1"/>
  <c r="G622" i="1" s="1"/>
  <c r="F606" i="1"/>
  <c r="G606" i="1" s="1"/>
  <c r="F590" i="1"/>
  <c r="G590" i="1" s="1"/>
  <c r="F619" i="1"/>
  <c r="G619" i="1" s="1"/>
  <c r="F587" i="1"/>
  <c r="G587" i="1" s="1"/>
  <c r="F596" i="1"/>
  <c r="G596" i="1" s="1"/>
  <c r="F609" i="1"/>
  <c r="G609" i="1" s="1"/>
  <c r="F610" i="1"/>
  <c r="G610" i="1" s="1"/>
  <c r="F623" i="1"/>
  <c r="G623" i="1" s="1"/>
  <c r="F607" i="1"/>
  <c r="G607" i="1" s="1"/>
  <c r="F591" i="1"/>
  <c r="G591" i="1" s="1"/>
  <c r="F616" i="1"/>
  <c r="G616" i="1" s="1"/>
  <c r="F584" i="1"/>
  <c r="G584" i="1" s="1"/>
  <c r="F613" i="1"/>
  <c r="G613" i="1" s="1"/>
  <c r="F581" i="1"/>
  <c r="G581" i="1" s="1"/>
  <c r="F598" i="1"/>
  <c r="G598" i="1" s="1"/>
  <c r="F673" i="1"/>
  <c r="G673" i="1" s="1"/>
  <c r="F674" i="1"/>
  <c r="F699" i="1"/>
  <c r="G699" i="1" s="1"/>
  <c r="F683" i="1"/>
  <c r="G683" i="1" s="1"/>
  <c r="F667" i="1"/>
  <c r="G667" i="1" s="1"/>
  <c r="F681" i="1"/>
  <c r="G681" i="1" s="1"/>
  <c r="F678" i="1"/>
  <c r="G678" i="1" s="1"/>
  <c r="F692" i="1"/>
  <c r="G692" i="1" s="1"/>
  <c r="F676" i="1"/>
  <c r="G676" i="1" s="1"/>
  <c r="F691" i="1"/>
  <c r="G691" i="1" s="1"/>
  <c r="F697" i="1"/>
  <c r="G697" i="1" s="1"/>
  <c r="F690" i="1"/>
  <c r="G690" i="1" s="1"/>
  <c r="F700" i="1"/>
  <c r="G700" i="1" s="1"/>
  <c r="F668" i="1"/>
  <c r="G668" i="1" s="1"/>
  <c r="F664" i="1"/>
  <c r="G664" i="1" s="1"/>
  <c r="F701" i="1"/>
  <c r="G701" i="1" s="1"/>
  <c r="F665" i="1"/>
  <c r="G665" i="1" s="1"/>
  <c r="F702" i="1"/>
  <c r="G702" i="1" s="1"/>
  <c r="F695" i="1"/>
  <c r="G695" i="1" s="1"/>
  <c r="F663" i="1"/>
  <c r="G663" i="1" s="1"/>
  <c r="F677" i="1"/>
  <c r="G677" i="1" s="1"/>
  <c r="F698" i="1"/>
  <c r="G698" i="1" s="1"/>
  <c r="F704" i="1"/>
  <c r="G704" i="1" s="1"/>
  <c r="F685" i="1"/>
  <c r="G685" i="1" s="1"/>
  <c r="F682" i="1"/>
  <c r="G682" i="1" s="1"/>
  <c r="F703" i="1"/>
  <c r="G703" i="1" s="1"/>
  <c r="F687" i="1"/>
  <c r="G687" i="1" s="1"/>
  <c r="F671" i="1"/>
  <c r="G671" i="1" s="1"/>
  <c r="F689" i="1"/>
  <c r="G689" i="1" s="1"/>
  <c r="F686" i="1"/>
  <c r="G686" i="1" s="1"/>
  <c r="F696" i="1"/>
  <c r="G696" i="1" s="1"/>
  <c r="F680" i="1"/>
  <c r="G680" i="1" s="1"/>
  <c r="F693" i="1"/>
  <c r="G693" i="1" s="1"/>
  <c r="F694" i="1"/>
  <c r="G694" i="1" s="1"/>
  <c r="F675" i="1"/>
  <c r="G675" i="1" s="1"/>
  <c r="F669" i="1"/>
  <c r="G669" i="1" s="1"/>
  <c r="F666" i="1"/>
  <c r="G666" i="1" s="1"/>
  <c r="F684" i="1"/>
  <c r="G684" i="1" s="1"/>
  <c r="F679" i="1"/>
  <c r="G679" i="1" s="1"/>
  <c r="F662" i="1"/>
  <c r="F670" i="1"/>
  <c r="G670" i="1" s="1"/>
  <c r="F688" i="1"/>
  <c r="G688" i="1" s="1"/>
  <c r="F672" i="1"/>
  <c r="G672" i="1" s="1"/>
  <c r="G294" i="6"/>
  <c r="G71" i="6"/>
  <c r="G70" i="6"/>
  <c r="G73" i="6"/>
  <c r="G72" i="6"/>
  <c r="H223" i="6"/>
  <c r="H251" i="6"/>
  <c r="F232" i="6" s="1"/>
  <c r="G232" i="6" s="1"/>
  <c r="G134" i="6"/>
  <c r="H222" i="6"/>
  <c r="H221" i="6"/>
  <c r="G252" i="6"/>
  <c r="I252" i="6" s="1"/>
  <c r="G195" i="6"/>
  <c r="G193" i="6"/>
  <c r="G132" i="6"/>
  <c r="G196" i="6"/>
  <c r="H57" i="6"/>
  <c r="G46" i="6" s="1"/>
  <c r="G15" i="6"/>
  <c r="I221" i="6"/>
  <c r="I224" i="6" s="1"/>
  <c r="G60" i="6"/>
  <c r="G58" i="6"/>
  <c r="G59" i="6"/>
  <c r="G126" i="6"/>
  <c r="G293" i="6"/>
  <c r="G296" i="6"/>
  <c r="G128" i="6"/>
  <c r="G37" i="6"/>
  <c r="G35" i="6"/>
  <c r="G17" i="6"/>
  <c r="H15" i="6"/>
  <c r="F5" i="6"/>
  <c r="G5" i="6" s="1"/>
  <c r="G16" i="6"/>
  <c r="G125" i="6"/>
  <c r="G123" i="6"/>
  <c r="G121" i="6"/>
  <c r="G120" i="6"/>
  <c r="G118" i="6"/>
  <c r="G116" i="6"/>
  <c r="G114" i="6"/>
  <c r="G112" i="6"/>
  <c r="G110" i="6"/>
  <c r="G108" i="6"/>
  <c r="G106" i="6"/>
  <c r="G104" i="6"/>
  <c r="G102" i="6"/>
  <c r="G100" i="6"/>
  <c r="G98" i="6"/>
  <c r="G96" i="6"/>
  <c r="G94" i="6"/>
  <c r="F92" i="6"/>
  <c r="G92" i="6" s="1"/>
  <c r="F90" i="6"/>
  <c r="G90" i="6" s="1"/>
  <c r="F88" i="6"/>
  <c r="G88" i="6" s="1"/>
  <c r="F86" i="6"/>
  <c r="G86" i="6" s="1"/>
  <c r="F84" i="6"/>
  <c r="G84" i="6" s="1"/>
  <c r="F82" i="6"/>
  <c r="G82" i="6" s="1"/>
  <c r="F80" i="6"/>
  <c r="G80" i="6" s="1"/>
  <c r="G124" i="6"/>
  <c r="G122" i="6"/>
  <c r="G119" i="6"/>
  <c r="G117" i="6"/>
  <c r="G115" i="6"/>
  <c r="G113" i="6"/>
  <c r="G111" i="6"/>
  <c r="G109" i="6"/>
  <c r="G107" i="6"/>
  <c r="G105" i="6"/>
  <c r="G103" i="6"/>
  <c r="G101" i="6"/>
  <c r="G99" i="6"/>
  <c r="G97" i="6"/>
  <c r="G95" i="6"/>
  <c r="F93" i="6"/>
  <c r="G93" i="6" s="1"/>
  <c r="F91" i="6"/>
  <c r="G91" i="6" s="1"/>
  <c r="F89" i="6"/>
  <c r="G89" i="6" s="1"/>
  <c r="F87" i="6"/>
  <c r="G87" i="6" s="1"/>
  <c r="F85" i="6"/>
  <c r="G85" i="6" s="1"/>
  <c r="F83" i="6"/>
  <c r="G83" i="6" s="1"/>
  <c r="F81" i="6"/>
  <c r="G81" i="6" s="1"/>
  <c r="G127" i="6"/>
  <c r="G34" i="6"/>
  <c r="H194" i="6"/>
  <c r="H193" i="6" s="1"/>
  <c r="C14" i="1"/>
  <c r="G674" i="1" l="1"/>
  <c r="H1154" i="1"/>
  <c r="G580" i="1"/>
  <c r="H1070" i="1"/>
  <c r="H1251" i="1"/>
  <c r="G791" i="1"/>
  <c r="G662" i="1"/>
  <c r="G582" i="1"/>
  <c r="H252" i="6"/>
  <c r="F241" i="6"/>
  <c r="G241" i="6" s="1"/>
  <c r="F244" i="6"/>
  <c r="G244" i="6" s="1"/>
  <c r="F245" i="6"/>
  <c r="G245" i="6" s="1"/>
  <c r="F242" i="6"/>
  <c r="G242" i="6" s="1"/>
  <c r="G211" i="6"/>
  <c r="H211" i="6" s="1"/>
  <c r="G44" i="6"/>
  <c r="G49" i="6"/>
  <c r="G48" i="6"/>
  <c r="H254" i="6"/>
  <c r="G45" i="6"/>
  <c r="F246" i="6"/>
  <c r="G246" i="6" s="1"/>
  <c r="F234" i="6"/>
  <c r="G234" i="6" s="1"/>
  <c r="F247" i="6"/>
  <c r="G247" i="6" s="1"/>
  <c r="F240" i="6"/>
  <c r="G240" i="6" s="1"/>
  <c r="G43" i="6"/>
  <c r="G47" i="6"/>
  <c r="G207" i="6"/>
  <c r="H207" i="6" s="1"/>
  <c r="F233" i="6"/>
  <c r="G233" i="6" s="1"/>
  <c r="F243" i="6"/>
  <c r="G243" i="6" s="1"/>
  <c r="F239" i="6"/>
  <c r="G239" i="6" s="1"/>
  <c r="F237" i="6"/>
  <c r="G237" i="6" s="1"/>
  <c r="F238" i="6"/>
  <c r="G238" i="6" s="1"/>
  <c r="F236" i="6"/>
  <c r="G236" i="6" s="1"/>
  <c r="F235" i="6"/>
  <c r="G235" i="6" s="1"/>
  <c r="H253" i="6"/>
  <c r="I222" i="6"/>
  <c r="G206" i="6"/>
  <c r="H206" i="6" s="1"/>
  <c r="I223" i="6"/>
  <c r="G205" i="6"/>
  <c r="H205" i="6" s="1"/>
  <c r="G210" i="6"/>
  <c r="H210" i="6" s="1"/>
  <c r="G204" i="6"/>
  <c r="H204" i="6" s="1"/>
  <c r="G209" i="6"/>
  <c r="H209" i="6" s="1"/>
  <c r="G212" i="6"/>
  <c r="H212" i="6" s="1"/>
  <c r="G208" i="6"/>
  <c r="H208" i="6" s="1"/>
  <c r="I132" i="6"/>
  <c r="F179" i="6"/>
  <c r="G179" i="6" s="1"/>
  <c r="F176" i="6"/>
  <c r="G176" i="6" s="1"/>
  <c r="F174" i="6"/>
  <c r="G174" i="6" s="1"/>
  <c r="F172" i="6"/>
  <c r="G172" i="6" s="1"/>
  <c r="F170" i="6"/>
  <c r="G170" i="6" s="1"/>
  <c r="F168" i="6"/>
  <c r="G168" i="6" s="1"/>
  <c r="F166" i="6"/>
  <c r="G166" i="6" s="1"/>
  <c r="F164" i="6"/>
  <c r="G164" i="6" s="1"/>
  <c r="F162" i="6"/>
  <c r="G162" i="6" s="1"/>
  <c r="F160" i="6"/>
  <c r="G160" i="6" s="1"/>
  <c r="F158" i="6"/>
  <c r="G158" i="6" s="1"/>
  <c r="F157" i="6"/>
  <c r="G157" i="6" s="1"/>
  <c r="F155" i="6"/>
  <c r="G155" i="6" s="1"/>
  <c r="F154" i="6"/>
  <c r="G154" i="6" s="1"/>
  <c r="F152" i="6"/>
  <c r="G152" i="6" s="1"/>
  <c r="F150" i="6"/>
  <c r="G150" i="6" s="1"/>
  <c r="F149" i="6"/>
  <c r="G149" i="6" s="1"/>
  <c r="F147" i="6"/>
  <c r="G147" i="6" s="1"/>
  <c r="F146" i="6"/>
  <c r="G146" i="6" s="1"/>
  <c r="F144" i="6"/>
  <c r="G144" i="6" s="1"/>
  <c r="F180" i="6"/>
  <c r="G180" i="6" s="1"/>
  <c r="F178" i="6"/>
  <c r="G178" i="6" s="1"/>
  <c r="F177" i="6"/>
  <c r="G177" i="6" s="1"/>
  <c r="F175" i="6"/>
  <c r="G175" i="6" s="1"/>
  <c r="F173" i="6"/>
  <c r="G173" i="6" s="1"/>
  <c r="F171" i="6"/>
  <c r="G171" i="6" s="1"/>
  <c r="F169" i="6"/>
  <c r="G169" i="6" s="1"/>
  <c r="F167" i="6"/>
  <c r="G167" i="6" s="1"/>
  <c r="F165" i="6"/>
  <c r="G165" i="6" s="1"/>
  <c r="F163" i="6"/>
  <c r="G163" i="6" s="1"/>
  <c r="F161" i="6"/>
  <c r="G161" i="6" s="1"/>
  <c r="F159" i="6"/>
  <c r="G159" i="6" s="1"/>
  <c r="F156" i="6"/>
  <c r="G156" i="6" s="1"/>
  <c r="F153" i="6"/>
  <c r="G153" i="6" s="1"/>
  <c r="F151" i="6"/>
  <c r="G151" i="6" s="1"/>
  <c r="F148" i="6"/>
  <c r="G148" i="6" s="1"/>
  <c r="F145" i="6"/>
  <c r="G145" i="6" s="1"/>
  <c r="F143" i="6"/>
  <c r="F183" i="6"/>
  <c r="G183" i="6" s="1"/>
  <c r="F181" i="6"/>
  <c r="G181" i="6" s="1"/>
  <c r="F182" i="6"/>
  <c r="G182" i="6" s="1"/>
  <c r="F184" i="6"/>
  <c r="G184" i="6" s="1"/>
  <c r="C81" i="1"/>
  <c r="D39" i="4"/>
  <c r="E39" i="4"/>
  <c r="F39" i="4"/>
  <c r="C39" i="4"/>
  <c r="F20" i="4"/>
  <c r="E20" i="4"/>
  <c r="D20" i="4"/>
  <c r="C20" i="4"/>
  <c r="F419" i="1"/>
  <c r="F418" i="1"/>
  <c r="F417" i="1"/>
  <c r="E416" i="1"/>
  <c r="D416" i="1"/>
  <c r="F384" i="1"/>
  <c r="G385" i="1" s="1"/>
  <c r="G383" i="1"/>
  <c r="F363" i="1"/>
  <c r="F362" i="1"/>
  <c r="F361" i="1"/>
  <c r="E360" i="1"/>
  <c r="D360" i="1"/>
  <c r="G316" i="1"/>
  <c r="G315" i="1"/>
  <c r="G314" i="1"/>
  <c r="G312" i="1" s="1"/>
  <c r="H312" i="1" s="1"/>
  <c r="F313" i="1"/>
  <c r="E313" i="1"/>
  <c r="F269" i="1"/>
  <c r="H269" i="1" s="1"/>
  <c r="F268" i="1"/>
  <c r="H268" i="1" s="1"/>
  <c r="F267" i="1"/>
  <c r="E266" i="1"/>
  <c r="D266" i="1"/>
  <c r="F189" i="1"/>
  <c r="H189" i="1" s="1"/>
  <c r="F188" i="1"/>
  <c r="H188" i="1" s="1"/>
  <c r="F187" i="1"/>
  <c r="E186" i="1"/>
  <c r="D186" i="1"/>
  <c r="F114" i="1"/>
  <c r="F113" i="1"/>
  <c r="F112" i="1"/>
  <c r="F110" i="1" s="1"/>
  <c r="G110" i="1" s="1"/>
  <c r="E111" i="1"/>
  <c r="E109" i="1" s="1"/>
  <c r="D111" i="1"/>
  <c r="D109" i="1" s="1"/>
  <c r="F79" i="1"/>
  <c r="G79" i="1" s="1"/>
  <c r="F83" i="1"/>
  <c r="H83" i="1" s="1"/>
  <c r="F84" i="1"/>
  <c r="H84" i="1" s="1"/>
  <c r="E81" i="1"/>
  <c r="D81" i="1"/>
  <c r="G46" i="1"/>
  <c r="F51" i="1"/>
  <c r="F50" i="1"/>
  <c r="F49" i="1"/>
  <c r="E48" i="1"/>
  <c r="D48" i="1"/>
  <c r="F17" i="1"/>
  <c r="H17" i="1" s="1"/>
  <c r="F16" i="1"/>
  <c r="H16" i="1" s="1"/>
  <c r="F15" i="1"/>
  <c r="E14" i="1"/>
  <c r="E5" i="1" s="1"/>
  <c r="D14" i="1"/>
  <c r="D5" i="1" s="1"/>
  <c r="H1157" i="1" l="1"/>
  <c r="H1155" i="1"/>
  <c r="H1156" i="1"/>
  <c r="H1073" i="1"/>
  <c r="H1071" i="1"/>
  <c r="H1072" i="1"/>
  <c r="H1254" i="1"/>
  <c r="H1253" i="1"/>
  <c r="H1252" i="1"/>
  <c r="G384" i="1"/>
  <c r="F416" i="1"/>
  <c r="G418" i="1" s="1"/>
  <c r="D156" i="1"/>
  <c r="D140" i="1"/>
  <c r="D173" i="1"/>
  <c r="D157" i="1"/>
  <c r="D141" i="1"/>
  <c r="D182" i="1"/>
  <c r="D166" i="1"/>
  <c r="D150" i="1"/>
  <c r="D164" i="1"/>
  <c r="D171" i="1"/>
  <c r="D155" i="1"/>
  <c r="D139" i="1"/>
  <c r="D160" i="1"/>
  <c r="D144" i="1"/>
  <c r="D177" i="1"/>
  <c r="D161" i="1"/>
  <c r="D145" i="1"/>
  <c r="D181" i="1"/>
  <c r="D170" i="1"/>
  <c r="D154" i="1"/>
  <c r="D138" i="1"/>
  <c r="D175" i="1"/>
  <c r="D159" i="1"/>
  <c r="D143" i="1"/>
  <c r="D168" i="1"/>
  <c r="D148" i="1"/>
  <c r="D172" i="1"/>
  <c r="D165" i="1"/>
  <c r="D149" i="1"/>
  <c r="D176" i="1"/>
  <c r="D174" i="1"/>
  <c r="D158" i="1"/>
  <c r="D142" i="1"/>
  <c r="D179" i="1"/>
  <c r="D163" i="1"/>
  <c r="D147" i="1"/>
  <c r="D180" i="1"/>
  <c r="D152" i="1"/>
  <c r="D136" i="1"/>
  <c r="D169" i="1"/>
  <c r="D153" i="1"/>
  <c r="D137" i="1"/>
  <c r="D178" i="1"/>
  <c r="D162" i="1"/>
  <c r="D146" i="1"/>
  <c r="D134" i="1"/>
  <c r="D167" i="1"/>
  <c r="D151" i="1"/>
  <c r="D135" i="1"/>
  <c r="D344" i="1"/>
  <c r="D345" i="1"/>
  <c r="D354" i="1"/>
  <c r="D347" i="1"/>
  <c r="D348" i="1"/>
  <c r="D349" i="1"/>
  <c r="D342" i="1"/>
  <c r="D351" i="1"/>
  <c r="D352" i="1"/>
  <c r="D353" i="1"/>
  <c r="D346" i="1"/>
  <c r="D355" i="1"/>
  <c r="D356" i="1"/>
  <c r="D341" i="1"/>
  <c r="D350" i="1"/>
  <c r="D343" i="1"/>
  <c r="H112" i="1"/>
  <c r="D72" i="1"/>
  <c r="D68" i="1"/>
  <c r="E71" i="1"/>
  <c r="F265" i="1"/>
  <c r="G265" i="1" s="1"/>
  <c r="F299" i="1"/>
  <c r="F303" i="1"/>
  <c r="F300" i="1"/>
  <c r="F297" i="1"/>
  <c r="F298" i="1"/>
  <c r="F304" i="1"/>
  <c r="F301" i="1"/>
  <c r="F296" i="1"/>
  <c r="F302" i="1"/>
  <c r="G313" i="1"/>
  <c r="I313" i="1" s="1"/>
  <c r="D73" i="1"/>
  <c r="D69" i="1"/>
  <c r="E72" i="1"/>
  <c r="E68" i="1"/>
  <c r="E225" i="1"/>
  <c r="E254" i="1"/>
  <c r="E238" i="1"/>
  <c r="E222" i="1"/>
  <c r="E221" i="1"/>
  <c r="E255" i="1"/>
  <c r="E239" i="1"/>
  <c r="E223" i="1"/>
  <c r="E229" i="1"/>
  <c r="E244" i="1"/>
  <c r="E228" i="1"/>
  <c r="E241" i="1"/>
  <c r="E216" i="1"/>
  <c r="E242" i="1"/>
  <c r="E226" i="1"/>
  <c r="E237" i="1"/>
  <c r="E243" i="1"/>
  <c r="E227" i="1"/>
  <c r="E233" i="1"/>
  <c r="E248" i="1"/>
  <c r="E232" i="1"/>
  <c r="E220" i="1"/>
  <c r="E249" i="1"/>
  <c r="E246" i="1"/>
  <c r="E230" i="1"/>
  <c r="E253" i="1"/>
  <c r="E247" i="1"/>
  <c r="E231" i="1"/>
  <c r="E245" i="1"/>
  <c r="E252" i="1"/>
  <c r="E236" i="1"/>
  <c r="E250" i="1"/>
  <c r="E234" i="1"/>
  <c r="E218" i="1"/>
  <c r="E251" i="1"/>
  <c r="E235" i="1"/>
  <c r="E219" i="1"/>
  <c r="E257" i="1"/>
  <c r="E217" i="1"/>
  <c r="E256" i="1"/>
  <c r="E240" i="1"/>
  <c r="E224" i="1"/>
  <c r="E296" i="1"/>
  <c r="E302" i="1"/>
  <c r="E299" i="1"/>
  <c r="E300" i="1"/>
  <c r="E297" i="1"/>
  <c r="E303" i="1"/>
  <c r="E304" i="1"/>
  <c r="E301" i="1"/>
  <c r="E298" i="1"/>
  <c r="F360" i="1"/>
  <c r="F359" i="1"/>
  <c r="G359" i="1" s="1"/>
  <c r="D67" i="1"/>
  <c r="D70" i="1"/>
  <c r="E73" i="1"/>
  <c r="E69" i="1"/>
  <c r="E173" i="1"/>
  <c r="E157" i="1"/>
  <c r="E141" i="1"/>
  <c r="E174" i="1"/>
  <c r="E158" i="1"/>
  <c r="E142" i="1"/>
  <c r="E134" i="1"/>
  <c r="E167" i="1"/>
  <c r="E151" i="1"/>
  <c r="E135" i="1"/>
  <c r="E172" i="1"/>
  <c r="E156" i="1"/>
  <c r="E140" i="1"/>
  <c r="E136" i="1"/>
  <c r="E177" i="1"/>
  <c r="E161" i="1"/>
  <c r="E145" i="1"/>
  <c r="E178" i="1"/>
  <c r="E162" i="1"/>
  <c r="E146" i="1"/>
  <c r="E171" i="1"/>
  <c r="E155" i="1"/>
  <c r="E139" i="1"/>
  <c r="E176" i="1"/>
  <c r="E160" i="1"/>
  <c r="E144" i="1"/>
  <c r="E181" i="1"/>
  <c r="E165" i="1"/>
  <c r="E149" i="1"/>
  <c r="E182" i="1"/>
  <c r="E166" i="1"/>
  <c r="E150" i="1"/>
  <c r="E175" i="1"/>
  <c r="E159" i="1"/>
  <c r="E143" i="1"/>
  <c r="E180" i="1"/>
  <c r="E164" i="1"/>
  <c r="E148" i="1"/>
  <c r="E169" i="1"/>
  <c r="E153" i="1"/>
  <c r="E137" i="1"/>
  <c r="E170" i="1"/>
  <c r="E154" i="1"/>
  <c r="E138" i="1"/>
  <c r="E179" i="1"/>
  <c r="E163" i="1"/>
  <c r="E147" i="1"/>
  <c r="E168" i="1"/>
  <c r="E152" i="1"/>
  <c r="D235" i="1"/>
  <c r="D244" i="1"/>
  <c r="D228" i="1"/>
  <c r="D231" i="1"/>
  <c r="D245" i="1"/>
  <c r="D229" i="1"/>
  <c r="D227" i="1"/>
  <c r="D250" i="1"/>
  <c r="D234" i="1"/>
  <c r="D218" i="1"/>
  <c r="D251" i="1"/>
  <c r="D248" i="1"/>
  <c r="D232" i="1"/>
  <c r="D243" i="1"/>
  <c r="D249" i="1"/>
  <c r="D233" i="1"/>
  <c r="D217" i="1"/>
  <c r="D239" i="1"/>
  <c r="D254" i="1"/>
  <c r="D238" i="1"/>
  <c r="D222" i="1"/>
  <c r="D252" i="1"/>
  <c r="D236" i="1"/>
  <c r="D220" i="1"/>
  <c r="D255" i="1"/>
  <c r="D253" i="1"/>
  <c r="D237" i="1"/>
  <c r="D221" i="1"/>
  <c r="D247" i="1"/>
  <c r="D216" i="1"/>
  <c r="D242" i="1"/>
  <c r="D226" i="1"/>
  <c r="D223" i="1"/>
  <c r="D256" i="1"/>
  <c r="D240" i="1"/>
  <c r="D224" i="1"/>
  <c r="D219" i="1"/>
  <c r="D257" i="1"/>
  <c r="D241" i="1"/>
  <c r="D225" i="1"/>
  <c r="D246" i="1"/>
  <c r="D230" i="1"/>
  <c r="E346" i="1"/>
  <c r="E347" i="1"/>
  <c r="E356" i="1"/>
  <c r="E349" i="1"/>
  <c r="E350" i="1"/>
  <c r="E351" i="1"/>
  <c r="E344" i="1"/>
  <c r="E353" i="1"/>
  <c r="E354" i="1"/>
  <c r="E355" i="1"/>
  <c r="E348" i="1"/>
  <c r="E357" i="1"/>
  <c r="G357" i="1" s="1"/>
  <c r="E358" i="1"/>
  <c r="G358" i="1" s="1"/>
  <c r="E342" i="1"/>
  <c r="E341" i="1"/>
  <c r="E343" i="1"/>
  <c r="E352" i="1"/>
  <c r="E345" i="1"/>
  <c r="D71" i="1"/>
  <c r="E67" i="1"/>
  <c r="E70" i="1"/>
  <c r="H82" i="1"/>
  <c r="J221" i="6"/>
  <c r="J222" i="6" s="1"/>
  <c r="I193" i="6"/>
  <c r="G143" i="6"/>
  <c r="I135" i="6"/>
  <c r="I133" i="6"/>
  <c r="I134" i="6"/>
  <c r="F266" i="1"/>
  <c r="G266" i="1" s="1"/>
  <c r="F13" i="1"/>
  <c r="G13" i="1" s="1"/>
  <c r="F81" i="1"/>
  <c r="F186" i="1"/>
  <c r="G186" i="1" s="1"/>
  <c r="F185" i="1"/>
  <c r="G185" i="1" s="1"/>
  <c r="F111" i="1"/>
  <c r="F48" i="1"/>
  <c r="G48" i="1" s="1"/>
  <c r="F14" i="1"/>
  <c r="N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20" i="3" s="1"/>
  <c r="F7" i="3" s="1"/>
  <c r="G7" i="3" s="1"/>
  <c r="E27" i="5"/>
  <c r="F22" i="5" s="1"/>
  <c r="G22" i="5" s="1"/>
  <c r="J22" i="5" s="1"/>
  <c r="B27" i="5"/>
  <c r="C6" i="5" s="1"/>
  <c r="D6" i="5" s="1"/>
  <c r="J6" i="5" s="1"/>
  <c r="J27" i="5"/>
  <c r="K20" i="3"/>
  <c r="L7" i="3" s="1"/>
  <c r="M7" i="3" s="1"/>
  <c r="H20" i="3"/>
  <c r="I8" i="3" s="1"/>
  <c r="J8" i="3" s="1"/>
  <c r="B9" i="3"/>
  <c r="B20" i="3" s="1"/>
  <c r="C14" i="3" s="1"/>
  <c r="D14" i="3" s="1"/>
  <c r="C7" i="2"/>
  <c r="C17" i="2"/>
  <c r="C4" i="2"/>
  <c r="C3" i="2"/>
  <c r="C23" i="2" s="1"/>
  <c r="B7" i="2"/>
  <c r="B17" i="2"/>
  <c r="B3" i="2"/>
  <c r="B23" i="2" s="1"/>
  <c r="C18" i="5" l="1"/>
  <c r="D18" i="5" s="1"/>
  <c r="J18" i="5" s="1"/>
  <c r="C7" i="5"/>
  <c r="D7" i="5" s="1"/>
  <c r="J7" i="5" s="1"/>
  <c r="C26" i="5"/>
  <c r="D26" i="5" s="1"/>
  <c r="J26" i="5" s="1"/>
  <c r="C20" i="5"/>
  <c r="D20" i="5" s="1"/>
  <c r="J20" i="5" s="1"/>
  <c r="F16" i="5"/>
  <c r="G16" i="5" s="1"/>
  <c r="J16" i="5" s="1"/>
  <c r="F27" i="5"/>
  <c r="C19" i="5"/>
  <c r="D19" i="5" s="1"/>
  <c r="J19" i="5" s="1"/>
  <c r="C27" i="5"/>
  <c r="F21" i="5"/>
  <c r="G21" i="5" s="1"/>
  <c r="J21" i="5" s="1"/>
  <c r="G417" i="1"/>
  <c r="G416" i="1"/>
  <c r="G419" i="1"/>
  <c r="H313" i="1"/>
  <c r="H267" i="1"/>
  <c r="H266" i="1" s="1"/>
  <c r="G111" i="1"/>
  <c r="F109" i="1"/>
  <c r="G109" i="1" s="1"/>
  <c r="G81" i="1"/>
  <c r="H81" i="1"/>
  <c r="H187" i="1"/>
  <c r="H186" i="1" s="1"/>
  <c r="G14" i="1"/>
  <c r="H15" i="1"/>
  <c r="F5" i="1"/>
  <c r="G5" i="1" s="1"/>
  <c r="G360" i="1"/>
  <c r="H360" i="1"/>
  <c r="G298" i="1"/>
  <c r="H298" i="1" s="1"/>
  <c r="G299" i="1"/>
  <c r="H299" i="1" s="1"/>
  <c r="G296" i="1"/>
  <c r="G302" i="1"/>
  <c r="H302" i="1" s="1"/>
  <c r="G303" i="1"/>
  <c r="H303" i="1" s="1"/>
  <c r="G300" i="1"/>
  <c r="H300" i="1" s="1"/>
  <c r="G304" i="1"/>
  <c r="G297" i="1"/>
  <c r="H297" i="1" s="1"/>
  <c r="G301" i="1"/>
  <c r="H301" i="1" s="1"/>
  <c r="F9" i="3"/>
  <c r="G9" i="3" s="1"/>
  <c r="F13" i="3"/>
  <c r="G13" i="3" s="1"/>
  <c r="F17" i="3"/>
  <c r="G17" i="3" s="1"/>
  <c r="F4" i="3"/>
  <c r="G4" i="3" s="1"/>
  <c r="F5" i="3"/>
  <c r="G5" i="3" s="1"/>
  <c r="N5" i="3" s="1"/>
  <c r="J224" i="6"/>
  <c r="J223" i="6"/>
  <c r="I196" i="6"/>
  <c r="I194" i="6"/>
  <c r="L11" i="3"/>
  <c r="M11" i="3" s="1"/>
  <c r="I11" i="3"/>
  <c r="J11" i="3" s="1"/>
  <c r="I18" i="3"/>
  <c r="J18" i="3" s="1"/>
  <c r="I10" i="3"/>
  <c r="J10" i="3" s="1"/>
  <c r="I6" i="3"/>
  <c r="J6" i="3" s="1"/>
  <c r="C16" i="3"/>
  <c r="D16" i="3" s="1"/>
  <c r="C4" i="3"/>
  <c r="D4" i="3" s="1"/>
  <c r="C17" i="3"/>
  <c r="D17" i="3" s="1"/>
  <c r="C9" i="3"/>
  <c r="D9" i="3" s="1"/>
  <c r="C20" i="3"/>
  <c r="C8" i="3"/>
  <c r="D8" i="3" s="1"/>
  <c r="L20" i="3"/>
  <c r="L8" i="3"/>
  <c r="M8" i="3" s="1"/>
  <c r="F18" i="3"/>
  <c r="G18" i="3" s="1"/>
  <c r="F6" i="3"/>
  <c r="G6" i="3" s="1"/>
  <c r="C11" i="3"/>
  <c r="D11" i="3" s="1"/>
  <c r="C7" i="3"/>
  <c r="D7" i="3" s="1"/>
  <c r="N7" i="3" s="1"/>
  <c r="C19" i="3"/>
  <c r="D19" i="3" s="1"/>
  <c r="C15" i="3"/>
  <c r="D15" i="3" s="1"/>
  <c r="I4" i="3"/>
  <c r="J4" i="3" s="1"/>
  <c r="I9" i="3"/>
  <c r="J9" i="3" s="1"/>
  <c r="L10" i="3"/>
  <c r="M10" i="3" s="1"/>
  <c r="L6" i="3"/>
  <c r="M6" i="3" s="1"/>
  <c r="F20" i="3"/>
  <c r="F16" i="3"/>
  <c r="G16" i="3" s="1"/>
  <c r="F12" i="3"/>
  <c r="G12" i="3" s="1"/>
  <c r="F8" i="3"/>
  <c r="G8" i="3" s="1"/>
  <c r="F14" i="3"/>
  <c r="G14" i="3" s="1"/>
  <c r="F10" i="3"/>
  <c r="G10" i="3" s="1"/>
  <c r="C10" i="3"/>
  <c r="D10" i="3" s="1"/>
  <c r="C6" i="3"/>
  <c r="D6" i="3" s="1"/>
  <c r="C18" i="3"/>
  <c r="D18" i="3" s="1"/>
  <c r="I20" i="3"/>
  <c r="L4" i="3"/>
  <c r="M4" i="3" s="1"/>
  <c r="L17" i="3"/>
  <c r="M17" i="3" s="1"/>
  <c r="L9" i="3"/>
  <c r="M9" i="3" s="1"/>
  <c r="F19" i="3"/>
  <c r="G19" i="3" s="1"/>
  <c r="F15" i="3"/>
  <c r="G15" i="3" s="1"/>
  <c r="F11" i="3"/>
  <c r="G11" i="3" s="1"/>
  <c r="G387" i="1"/>
  <c r="G386" i="1"/>
  <c r="G362" i="1"/>
  <c r="I362" i="1" s="1"/>
  <c r="H316" i="1"/>
  <c r="G269" i="1"/>
  <c r="G113" i="1"/>
  <c r="G50" i="1"/>
  <c r="G15" i="1"/>
  <c r="N15" i="3" l="1"/>
  <c r="H304" i="1"/>
  <c r="I760" i="1"/>
  <c r="J313" i="1"/>
  <c r="J316" i="1" s="1"/>
  <c r="F71" i="1"/>
  <c r="G71" i="1" s="1"/>
  <c r="F68" i="1"/>
  <c r="G68" i="1" s="1"/>
  <c r="F73" i="1"/>
  <c r="G73" i="1" s="1"/>
  <c r="F72" i="1"/>
  <c r="G72" i="1" s="1"/>
  <c r="F67" i="1"/>
  <c r="G67" i="1" s="1"/>
  <c r="F70" i="1"/>
  <c r="G70" i="1" s="1"/>
  <c r="F69" i="1"/>
  <c r="G69" i="1" s="1"/>
  <c r="I316" i="1"/>
  <c r="H296" i="1"/>
  <c r="F138" i="1"/>
  <c r="G138" i="1" s="1"/>
  <c r="F151" i="1"/>
  <c r="F171" i="1"/>
  <c r="G171" i="1" s="1"/>
  <c r="F175" i="1"/>
  <c r="G175" i="1" s="1"/>
  <c r="F176" i="1"/>
  <c r="G176" i="1" s="1"/>
  <c r="F160" i="1"/>
  <c r="G160" i="1" s="1"/>
  <c r="F144" i="1"/>
  <c r="G144" i="1" s="1"/>
  <c r="F177" i="1"/>
  <c r="G177" i="1" s="1"/>
  <c r="F161" i="1"/>
  <c r="G161" i="1" s="1"/>
  <c r="F145" i="1"/>
  <c r="G145" i="1" s="1"/>
  <c r="F178" i="1"/>
  <c r="G178" i="1" s="1"/>
  <c r="F162" i="1"/>
  <c r="G162" i="1" s="1"/>
  <c r="F146" i="1"/>
  <c r="G146" i="1" s="1"/>
  <c r="F158" i="1"/>
  <c r="G158" i="1" s="1"/>
  <c r="F167" i="1"/>
  <c r="G167" i="1" s="1"/>
  <c r="F163" i="1"/>
  <c r="G163" i="1" s="1"/>
  <c r="F147" i="1"/>
  <c r="G147" i="1" s="1"/>
  <c r="F180" i="1"/>
  <c r="G180" i="1" s="1"/>
  <c r="F164" i="1"/>
  <c r="G164" i="1" s="1"/>
  <c r="F148" i="1"/>
  <c r="F181" i="1"/>
  <c r="G181" i="1" s="1"/>
  <c r="F165" i="1"/>
  <c r="G165" i="1" s="1"/>
  <c r="F149" i="1"/>
  <c r="G149" i="1" s="1"/>
  <c r="F182" i="1"/>
  <c r="G182" i="1" s="1"/>
  <c r="F166" i="1"/>
  <c r="G166" i="1" s="1"/>
  <c r="F150" i="1"/>
  <c r="G150" i="1" s="1"/>
  <c r="F154" i="1"/>
  <c r="G154" i="1" s="1"/>
  <c r="F134" i="1"/>
  <c r="G134" i="1" s="1"/>
  <c r="F179" i="1"/>
  <c r="G179" i="1" s="1"/>
  <c r="F139" i="1"/>
  <c r="G139" i="1" s="1"/>
  <c r="F143" i="1"/>
  <c r="G143" i="1" s="1"/>
  <c r="F168" i="1"/>
  <c r="G168" i="1" s="1"/>
  <c r="F152" i="1"/>
  <c r="G152" i="1" s="1"/>
  <c r="F136" i="1"/>
  <c r="G136" i="1" s="1"/>
  <c r="F169" i="1"/>
  <c r="G169" i="1" s="1"/>
  <c r="F153" i="1"/>
  <c r="G153" i="1" s="1"/>
  <c r="F137" i="1"/>
  <c r="G137" i="1" s="1"/>
  <c r="F170" i="1"/>
  <c r="G170" i="1" s="1"/>
  <c r="F135" i="1"/>
  <c r="G135" i="1" s="1"/>
  <c r="F155" i="1"/>
  <c r="G155" i="1" s="1"/>
  <c r="F159" i="1"/>
  <c r="G159" i="1" s="1"/>
  <c r="F172" i="1"/>
  <c r="G172" i="1" s="1"/>
  <c r="F156" i="1"/>
  <c r="G156" i="1" s="1"/>
  <c r="F140" i="1"/>
  <c r="G140" i="1" s="1"/>
  <c r="F173" i="1"/>
  <c r="G173" i="1" s="1"/>
  <c r="F157" i="1"/>
  <c r="G157" i="1" s="1"/>
  <c r="F141" i="1"/>
  <c r="G141" i="1" s="1"/>
  <c r="F174" i="1"/>
  <c r="G174" i="1" s="1"/>
  <c r="F142" i="1"/>
  <c r="G142" i="1" s="1"/>
  <c r="F342" i="1"/>
  <c r="G342" i="1" s="1"/>
  <c r="F347" i="1"/>
  <c r="G347" i="1" s="1"/>
  <c r="F348" i="1"/>
  <c r="G348" i="1" s="1"/>
  <c r="F341" i="1"/>
  <c r="G341" i="1" s="1"/>
  <c r="F346" i="1"/>
  <c r="G346" i="1" s="1"/>
  <c r="F351" i="1"/>
  <c r="G351" i="1" s="1"/>
  <c r="F352" i="1"/>
  <c r="G352" i="1" s="1"/>
  <c r="F345" i="1"/>
  <c r="G345" i="1" s="1"/>
  <c r="F350" i="1"/>
  <c r="G350" i="1" s="1"/>
  <c r="F355" i="1"/>
  <c r="G355" i="1" s="1"/>
  <c r="F356" i="1"/>
  <c r="G356" i="1" s="1"/>
  <c r="F349" i="1"/>
  <c r="G349" i="1" s="1"/>
  <c r="F354" i="1"/>
  <c r="G354" i="1" s="1"/>
  <c r="F343" i="1"/>
  <c r="G343" i="1" s="1"/>
  <c r="F344" i="1"/>
  <c r="G344" i="1" s="1"/>
  <c r="F353" i="1"/>
  <c r="G353" i="1" s="1"/>
  <c r="H362" i="1"/>
  <c r="N17" i="3"/>
  <c r="N19" i="3"/>
  <c r="N11" i="3"/>
  <c r="N13" i="3"/>
  <c r="N18" i="3"/>
  <c r="N10" i="3"/>
  <c r="N6" i="3"/>
  <c r="N12" i="3"/>
  <c r="N9" i="3"/>
  <c r="N16" i="3"/>
  <c r="N8" i="3"/>
  <c r="N4" i="3"/>
  <c r="N14" i="3"/>
  <c r="G114" i="1"/>
  <c r="G51" i="1"/>
  <c r="G49" i="1"/>
  <c r="G82" i="1"/>
  <c r="G83" i="1"/>
  <c r="G84" i="1"/>
  <c r="G189" i="1"/>
  <c r="G187" i="1"/>
  <c r="G188" i="1"/>
  <c r="G112" i="1"/>
  <c r="G17" i="1"/>
  <c r="H314" i="1"/>
  <c r="G363" i="1"/>
  <c r="G16" i="1"/>
  <c r="G268" i="1"/>
  <c r="H315" i="1"/>
  <c r="G361" i="1"/>
  <c r="G267" i="1"/>
  <c r="I761" i="1" l="1"/>
  <c r="I763" i="1"/>
  <c r="I762" i="1"/>
  <c r="G148" i="1"/>
  <c r="I630" i="1"/>
  <c r="I361" i="1"/>
  <c r="H361" i="1"/>
  <c r="G151" i="1"/>
  <c r="I186" i="1"/>
  <c r="I189" i="1" s="1"/>
  <c r="H363" i="1"/>
  <c r="I363" i="1"/>
  <c r="J315" i="1"/>
  <c r="I315" i="1"/>
  <c r="J314" i="1"/>
  <c r="I314" i="1"/>
  <c r="F224" i="1"/>
  <c r="G224" i="1" s="1"/>
  <c r="F217" i="1"/>
  <c r="G217" i="1" s="1"/>
  <c r="F244" i="1"/>
  <c r="G244" i="1" s="1"/>
  <c r="F240" i="1"/>
  <c r="G240" i="1" s="1"/>
  <c r="F250" i="1"/>
  <c r="G250" i="1" s="1"/>
  <c r="F235" i="1"/>
  <c r="G235" i="1" s="1"/>
  <c r="F234" i="1"/>
  <c r="G234" i="1" s="1"/>
  <c r="F253" i="1"/>
  <c r="G253" i="1" s="1"/>
  <c r="F227" i="1"/>
  <c r="G227" i="1" s="1"/>
  <c r="F252" i="1"/>
  <c r="G252" i="1" s="1"/>
  <c r="F231" i="1"/>
  <c r="G231" i="1" s="1"/>
  <c r="F225" i="1"/>
  <c r="G225" i="1" s="1"/>
  <c r="F245" i="1"/>
  <c r="G245" i="1" s="1"/>
  <c r="F255" i="1"/>
  <c r="G255" i="1" s="1"/>
  <c r="F251" i="1"/>
  <c r="G251" i="1" s="1"/>
  <c r="F239" i="1"/>
  <c r="G239" i="1" s="1"/>
  <c r="F249" i="1"/>
  <c r="G249" i="1" s="1"/>
  <c r="F218" i="1"/>
  <c r="G218" i="1" s="1"/>
  <c r="F243" i="1"/>
  <c r="G243" i="1" s="1"/>
  <c r="F242" i="1"/>
  <c r="G242" i="1" s="1"/>
  <c r="F247" i="1"/>
  <c r="G247" i="1" s="1"/>
  <c r="F221" i="1"/>
  <c r="F223" i="1"/>
  <c r="G223" i="1" s="1"/>
  <c r="F229" i="1"/>
  <c r="G229" i="1" s="1"/>
  <c r="F248" i="1"/>
  <c r="G248" i="1" s="1"/>
  <c r="F232" i="1"/>
  <c r="G232" i="1" s="1"/>
  <c r="F220" i="1"/>
  <c r="G220" i="1" s="1"/>
  <c r="F230" i="1"/>
  <c r="G230" i="1" s="1"/>
  <c r="F233" i="1"/>
  <c r="G233" i="1" s="1"/>
  <c r="F241" i="1"/>
  <c r="G241" i="1" s="1"/>
  <c r="F257" i="1"/>
  <c r="G257" i="1" s="1"/>
  <c r="F256" i="1"/>
  <c r="G256" i="1" s="1"/>
  <c r="F222" i="1"/>
  <c r="G222" i="1" s="1"/>
  <c r="F246" i="1"/>
  <c r="G246" i="1" s="1"/>
  <c r="F238" i="1"/>
  <c r="G238" i="1" s="1"/>
  <c r="F254" i="1"/>
  <c r="G254" i="1" s="1"/>
  <c r="F219" i="1"/>
  <c r="G219" i="1" s="1"/>
  <c r="F237" i="1"/>
  <c r="G237" i="1" s="1"/>
  <c r="F226" i="1"/>
  <c r="G226" i="1" s="1"/>
  <c r="F236" i="1"/>
  <c r="G236" i="1" s="1"/>
  <c r="F216" i="1"/>
  <c r="F228" i="1"/>
  <c r="G228" i="1" s="1"/>
  <c r="G221" i="1" l="1"/>
  <c r="I713" i="1"/>
  <c r="I633" i="1"/>
  <c r="I632" i="1"/>
  <c r="I631" i="1"/>
  <c r="I187" i="1"/>
  <c r="I266" i="1"/>
  <c r="I188" i="1"/>
  <c r="G216" i="1"/>
  <c r="I716" i="1" l="1"/>
  <c r="I714" i="1"/>
  <c r="I715" i="1"/>
  <c r="I269" i="1"/>
  <c r="I267" i="1"/>
  <c r="D52" i="3"/>
  <c r="N52" i="3" s="1"/>
</calcChain>
</file>

<file path=xl/sharedStrings.xml><?xml version="1.0" encoding="utf-8"?>
<sst xmlns="http://schemas.openxmlformats.org/spreadsheetml/2006/main" count="2615" uniqueCount="430">
  <si>
    <t>P12</t>
  </si>
  <si>
    <t>药品研发部</t>
  </si>
  <si>
    <t>综合管理部</t>
  </si>
  <si>
    <t>RD03</t>
    <phoneticPr fontId="2" type="noConversion"/>
  </si>
  <si>
    <r>
      <rPr>
        <sz val="10"/>
        <rFont val="宋体"/>
        <family val="3"/>
        <charset val="134"/>
      </rPr>
      <t>本月入库品名</t>
    </r>
  </si>
  <si>
    <r>
      <rPr>
        <sz val="10"/>
        <rFont val="宋体"/>
        <family val="3"/>
        <charset val="134"/>
      </rPr>
      <t>生产工时</t>
    </r>
  </si>
  <si>
    <r>
      <rPr>
        <sz val="10"/>
        <rFont val="宋体"/>
        <family val="3"/>
        <charset val="134"/>
      </rPr>
      <t>应摊能源费用</t>
    </r>
    <phoneticPr fontId="2" type="noConversion"/>
  </si>
  <si>
    <r>
      <rPr>
        <sz val="10"/>
        <rFont val="宋体"/>
        <family val="3"/>
        <charset val="134"/>
      </rPr>
      <t>应摊工资费用</t>
    </r>
  </si>
  <si>
    <r>
      <rPr>
        <sz val="10"/>
        <rFont val="宋体"/>
        <family val="3"/>
        <charset val="134"/>
      </rPr>
      <t>应摊制造费用</t>
    </r>
    <r>
      <rPr>
        <sz val="10"/>
        <rFont val="Microsoft Sans Serif"/>
        <family val="2"/>
      </rPr>
      <t xml:space="preserve"> </t>
    </r>
  </si>
  <si>
    <r>
      <rPr>
        <sz val="10"/>
        <rFont val="宋体"/>
        <family val="3"/>
        <charset val="134"/>
      </rPr>
      <t>合计分摊</t>
    </r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</si>
  <si>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 </t>
    </r>
    <r>
      <rPr>
        <b/>
        <sz val="10"/>
        <rFont val="宋体"/>
        <family val="3"/>
        <charset val="134"/>
      </rPr>
      <t>计</t>
    </r>
  </si>
  <si>
    <r>
      <rPr>
        <sz val="10"/>
        <rFont val="宋体"/>
        <family val="3"/>
        <charset val="134"/>
      </rPr>
      <t>工时</t>
    </r>
  </si>
  <si>
    <r>
      <rPr>
        <sz val="10"/>
        <color theme="1"/>
        <rFont val="宋体"/>
        <family val="2"/>
        <charset val="134"/>
      </rPr>
      <t>本月入库品名</t>
    </r>
  </si>
  <si>
    <r>
      <rPr>
        <sz val="10"/>
        <color theme="1"/>
        <rFont val="宋体"/>
        <family val="2"/>
        <charset val="134"/>
      </rPr>
      <t>应摊能源费用</t>
    </r>
    <phoneticPr fontId="2" type="noConversion"/>
  </si>
  <si>
    <r>
      <rPr>
        <sz val="10"/>
        <color theme="1"/>
        <rFont val="宋体"/>
        <family val="2"/>
        <charset val="134"/>
      </rPr>
      <t>应摊工资费用</t>
    </r>
  </si>
  <si>
    <r>
      <rPr>
        <sz val="10"/>
        <color theme="1"/>
        <rFont val="宋体"/>
        <family val="2"/>
        <charset val="134"/>
      </rPr>
      <t>应摊制造费用</t>
    </r>
    <r>
      <rPr>
        <sz val="10"/>
        <color theme="1"/>
        <rFont val="Microsoft Sans Serif"/>
        <family val="2"/>
      </rPr>
      <t xml:space="preserve"> </t>
    </r>
  </si>
  <si>
    <r>
      <rPr>
        <sz val="10"/>
        <color theme="1"/>
        <rFont val="宋体"/>
        <family val="2"/>
        <charset val="134"/>
      </rPr>
      <t>合计分摊</t>
    </r>
  </si>
  <si>
    <r>
      <t>P12</t>
    </r>
    <r>
      <rPr>
        <sz val="10"/>
        <color theme="1"/>
        <rFont val="宋体"/>
        <family val="2"/>
        <charset val="134"/>
      </rPr>
      <t>（加缓冲剂）</t>
    </r>
    <phoneticPr fontId="4" type="noConversion"/>
  </si>
  <si>
    <r>
      <t>102</t>
    </r>
    <r>
      <rPr>
        <sz val="10"/>
        <color theme="1"/>
        <rFont val="宋体"/>
        <family val="2"/>
        <charset val="134"/>
      </rPr>
      <t>车间转入合计</t>
    </r>
    <phoneticPr fontId="4" type="noConversion"/>
  </si>
  <si>
    <r>
      <t>101</t>
    </r>
    <r>
      <rPr>
        <sz val="10"/>
        <color theme="1"/>
        <rFont val="宋体"/>
        <family val="2"/>
        <charset val="134"/>
      </rPr>
      <t>车间发生合计</t>
    </r>
    <phoneticPr fontId="4" type="noConversion"/>
  </si>
  <si>
    <r>
      <rPr>
        <b/>
        <sz val="10"/>
        <rFont val="宋体"/>
        <family val="3"/>
        <charset val="134"/>
      </rPr>
      <t>总计</t>
    </r>
    <phoneticPr fontId="4" type="noConversion"/>
  </si>
  <si>
    <r>
      <rPr>
        <sz val="10"/>
        <rFont val="宋体"/>
        <family val="3"/>
        <charset val="134"/>
      </rPr>
      <t>阿洛西林钠</t>
    </r>
    <phoneticPr fontId="4" type="noConversion"/>
  </si>
  <si>
    <r>
      <rPr>
        <sz val="10"/>
        <rFont val="宋体"/>
        <family val="3"/>
        <charset val="134"/>
      </rPr>
      <t>磺苄西林钠</t>
    </r>
    <phoneticPr fontId="4" type="noConversion"/>
  </si>
  <si>
    <r>
      <t>P12</t>
    </r>
    <r>
      <rPr>
        <sz val="10"/>
        <rFont val="宋体"/>
        <family val="3"/>
        <charset val="134"/>
      </rPr>
      <t>（加缓冲剂）</t>
    </r>
  </si>
  <si>
    <r>
      <rPr>
        <sz val="10"/>
        <rFont val="宋体"/>
        <family val="3"/>
        <charset val="134"/>
      </rPr>
      <t>无菌磷酸氢二钠</t>
    </r>
    <phoneticPr fontId="2" type="noConversion"/>
  </si>
  <si>
    <r>
      <rPr>
        <sz val="10"/>
        <rFont val="宋体"/>
        <family val="3"/>
        <charset val="134"/>
      </rPr>
      <t>他唑巴坦钠</t>
    </r>
    <phoneticPr fontId="4" type="noConversion"/>
  </si>
  <si>
    <r>
      <rPr>
        <sz val="10"/>
        <rFont val="宋体"/>
        <family val="3"/>
        <charset val="134"/>
      </rPr>
      <t>产成品分摊合计：</t>
    </r>
    <phoneticPr fontId="4" type="noConversion"/>
  </si>
  <si>
    <r>
      <rPr>
        <sz val="10"/>
        <color theme="1"/>
        <rFont val="宋体"/>
        <family val="2"/>
        <charset val="134"/>
      </rPr>
      <t>阿洛西林酸</t>
    </r>
    <phoneticPr fontId="4" type="noConversion"/>
  </si>
  <si>
    <r>
      <rPr>
        <sz val="10"/>
        <color theme="1"/>
        <rFont val="宋体"/>
        <family val="2"/>
        <charset val="134"/>
      </rPr>
      <t>磺苄粗品</t>
    </r>
    <r>
      <rPr>
        <sz val="10"/>
        <color theme="1"/>
        <rFont val="Microsoft Sans Serif"/>
        <family val="2"/>
      </rPr>
      <t>1</t>
    </r>
    <phoneticPr fontId="4" type="noConversion"/>
  </si>
  <si>
    <r>
      <rPr>
        <sz val="10"/>
        <color theme="1"/>
        <rFont val="宋体"/>
        <family val="2"/>
        <charset val="134"/>
      </rPr>
      <t>磺苄粗品</t>
    </r>
    <r>
      <rPr>
        <sz val="10"/>
        <color theme="1"/>
        <rFont val="Microsoft Sans Serif"/>
        <family val="2"/>
      </rPr>
      <t>2</t>
    </r>
    <phoneticPr fontId="4" type="noConversion"/>
  </si>
  <si>
    <r>
      <rPr>
        <sz val="10"/>
        <color theme="1"/>
        <rFont val="宋体"/>
        <family val="2"/>
        <charset val="134"/>
      </rPr>
      <t>呋布水溶液</t>
    </r>
    <phoneticPr fontId="4" type="noConversion"/>
  </si>
  <si>
    <r>
      <rPr>
        <sz val="10"/>
        <color theme="1"/>
        <rFont val="宋体"/>
        <family val="2"/>
        <charset val="134"/>
      </rPr>
      <t>回收醋酸丁酯</t>
    </r>
    <phoneticPr fontId="4" type="noConversion"/>
  </si>
  <si>
    <r>
      <rPr>
        <sz val="10"/>
        <color theme="1"/>
        <rFont val="宋体"/>
        <family val="2"/>
        <charset val="134"/>
      </rPr>
      <t>回收正丁醇</t>
    </r>
    <phoneticPr fontId="4" type="noConversion"/>
  </si>
  <si>
    <r>
      <rPr>
        <sz val="10"/>
        <color theme="1"/>
        <rFont val="宋体"/>
        <family val="2"/>
        <charset val="134"/>
      </rPr>
      <t>回收醋酸乙酯</t>
    </r>
    <phoneticPr fontId="4" type="noConversion"/>
  </si>
  <si>
    <r>
      <rPr>
        <sz val="10"/>
        <color theme="1"/>
        <rFont val="宋体"/>
        <family val="2"/>
        <charset val="134"/>
      </rPr>
      <t>回收甲苯</t>
    </r>
    <phoneticPr fontId="4" type="noConversion"/>
  </si>
  <si>
    <r>
      <rPr>
        <sz val="10"/>
        <color theme="1"/>
        <rFont val="宋体"/>
        <family val="2"/>
        <charset val="134"/>
      </rPr>
      <t>回收丙酮</t>
    </r>
    <phoneticPr fontId="4" type="noConversion"/>
  </si>
  <si>
    <r>
      <rPr>
        <sz val="10"/>
        <color theme="1"/>
        <rFont val="宋体"/>
        <family val="2"/>
        <charset val="134"/>
      </rPr>
      <t>回收乙醇</t>
    </r>
    <phoneticPr fontId="4" type="noConversion"/>
  </si>
  <si>
    <t>部门</t>
    <phoneticPr fontId="2" type="noConversion"/>
  </si>
  <si>
    <t>费用去向</t>
    <phoneticPr fontId="2" type="noConversion"/>
  </si>
  <si>
    <t>工资</t>
    <phoneticPr fontId="2" type="noConversion"/>
  </si>
  <si>
    <t>制造</t>
    <phoneticPr fontId="2" type="noConversion"/>
  </si>
  <si>
    <t>合计</t>
    <phoneticPr fontId="2" type="noConversion"/>
  </si>
  <si>
    <t>RD01</t>
    <phoneticPr fontId="2" type="noConversion"/>
  </si>
  <si>
    <t>RD07</t>
    <phoneticPr fontId="2" type="noConversion"/>
  </si>
  <si>
    <r>
      <rPr>
        <b/>
        <sz val="10"/>
        <rFont val="宋体"/>
        <family val="3"/>
        <charset val="134"/>
      </rPr>
      <t>小计</t>
    </r>
  </si>
  <si>
    <t>产量</t>
    <phoneticPr fontId="2" type="noConversion"/>
  </si>
  <si>
    <t>生产工时</t>
  </si>
  <si>
    <t>应摊能源费用</t>
  </si>
  <si>
    <t>应摊工资费用</t>
  </si>
  <si>
    <t>应摊制造费用</t>
  </si>
  <si>
    <t>合计分摊</t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</si>
  <si>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 </t>
    </r>
    <r>
      <rPr>
        <b/>
        <sz val="10"/>
        <rFont val="宋体"/>
        <family val="3"/>
        <charset val="134"/>
      </rPr>
      <t>计</t>
    </r>
    <phoneticPr fontId="2" type="noConversion"/>
  </si>
  <si>
    <r>
      <rPr>
        <sz val="10"/>
        <rFont val="宋体"/>
        <family val="3"/>
        <charset val="134"/>
      </rPr>
      <t>本月入库品名</t>
    </r>
    <phoneticPr fontId="2" type="noConversion"/>
  </si>
  <si>
    <r>
      <rPr>
        <sz val="10"/>
        <rFont val="宋体"/>
        <family val="3"/>
        <charset val="134"/>
      </rPr>
      <t>生产工时</t>
    </r>
    <phoneticPr fontId="2" type="noConversion"/>
  </si>
  <si>
    <r>
      <rPr>
        <sz val="10"/>
        <rFont val="宋体"/>
        <family val="3"/>
        <charset val="134"/>
      </rPr>
      <t>冻干工时</t>
    </r>
    <phoneticPr fontId="2" type="noConversion"/>
  </si>
  <si>
    <r>
      <rPr>
        <sz val="10"/>
        <rFont val="宋体"/>
        <family val="3"/>
        <charset val="134"/>
      </rPr>
      <t>应摊工资费用</t>
    </r>
    <phoneticPr fontId="2" type="noConversion"/>
  </si>
  <si>
    <r>
      <rPr>
        <sz val="10"/>
        <rFont val="宋体"/>
        <family val="3"/>
        <charset val="134"/>
      </rPr>
      <t>应摊制造费用</t>
    </r>
    <r>
      <rPr>
        <sz val="10"/>
        <rFont val="Microsoft Sans Serif"/>
        <family val="2"/>
      </rPr>
      <t xml:space="preserve"> </t>
    </r>
    <phoneticPr fontId="2" type="noConversion"/>
  </si>
  <si>
    <t>RD11</t>
    <phoneticPr fontId="2" type="noConversion"/>
  </si>
  <si>
    <t>呋布西林钠</t>
    <phoneticPr fontId="4" type="noConversion"/>
  </si>
  <si>
    <t>美洛西林钠</t>
    <phoneticPr fontId="4" type="noConversion"/>
  </si>
  <si>
    <t>712002     1.0g注射用头孢噻肟钠</t>
  </si>
  <si>
    <r>
      <t>712053     3.0g</t>
    </r>
    <r>
      <rPr>
        <sz val="10"/>
        <rFont val="宋体"/>
        <family val="3"/>
        <charset val="134"/>
      </rPr>
      <t>二叶仙</t>
    </r>
    <phoneticPr fontId="2" type="noConversion"/>
  </si>
  <si>
    <r>
      <t>712111     0.5g</t>
    </r>
    <r>
      <rPr>
        <sz val="10"/>
        <rFont val="宋体"/>
        <family val="3"/>
        <charset val="134"/>
      </rPr>
      <t>二叶罗</t>
    </r>
    <phoneticPr fontId="2" type="noConversion"/>
  </si>
  <si>
    <r>
      <t>712136     1.0g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 xml:space="preserve"> 1/400</t>
    </r>
    <phoneticPr fontId="2" type="noConversion"/>
  </si>
  <si>
    <r>
      <t>712162     1.0g</t>
    </r>
    <r>
      <rPr>
        <sz val="10"/>
        <rFont val="宋体"/>
        <family val="3"/>
        <charset val="134"/>
      </rPr>
      <t>二叶甘</t>
    </r>
    <phoneticPr fontId="2" type="noConversion"/>
  </si>
  <si>
    <r>
      <t>712163     1.0g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 xml:space="preserve"> 1/300</t>
    </r>
    <phoneticPr fontId="2" type="noConversion"/>
  </si>
  <si>
    <t>产成品合计分摊</t>
    <phoneticPr fontId="2" type="noConversion"/>
  </si>
  <si>
    <t>停工</t>
    <phoneticPr fontId="4" type="noConversion"/>
  </si>
  <si>
    <t>产品分摊合计</t>
    <phoneticPr fontId="2" type="noConversion"/>
  </si>
  <si>
    <t>研发RD06</t>
    <phoneticPr fontId="2" type="noConversion"/>
  </si>
  <si>
    <t>折旧</t>
    <phoneticPr fontId="2" type="noConversion"/>
  </si>
  <si>
    <t>机物料</t>
    <phoneticPr fontId="2" type="noConversion"/>
  </si>
  <si>
    <t>修理</t>
    <phoneticPr fontId="2" type="noConversion"/>
  </si>
  <si>
    <r>
      <rPr>
        <sz val="10"/>
        <color theme="1"/>
        <rFont val="宋体"/>
        <family val="3"/>
        <charset val="134"/>
      </rPr>
      <t>研发</t>
    </r>
    <r>
      <rPr>
        <sz val="10"/>
        <color theme="1"/>
        <rFont val="Microsoft Sans Serif"/>
        <family val="2"/>
      </rPr>
      <t>RD01</t>
    </r>
    <phoneticPr fontId="2" type="noConversion"/>
  </si>
  <si>
    <t>依诺肝素钠</t>
    <phoneticPr fontId="2" type="noConversion"/>
  </si>
  <si>
    <r>
      <t>711056   1.2g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>)10</t>
    </r>
    <phoneticPr fontId="2" type="noConversion"/>
  </si>
  <si>
    <r>
      <t>711132   2.5g</t>
    </r>
    <r>
      <rPr>
        <sz val="10"/>
        <rFont val="宋体"/>
        <family val="3"/>
        <charset val="134"/>
      </rPr>
      <t>注射用美洛西林钠舒巴坦钠</t>
    </r>
    <phoneticPr fontId="2" type="noConversion"/>
  </si>
  <si>
    <t>阿德福韦酯</t>
    <phoneticPr fontId="2" type="noConversion"/>
  </si>
  <si>
    <r>
      <t>711007   1.0g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)600</t>
    </r>
    <phoneticPr fontId="2" type="noConversion"/>
  </si>
  <si>
    <r>
      <t>711062   2.0g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  <phoneticPr fontId="2" type="noConversion"/>
  </si>
  <si>
    <r>
      <t>711079   1.0g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2" type="noConversion"/>
  </si>
  <si>
    <r>
      <t>711080   2.0g</t>
    </r>
    <r>
      <rPr>
        <sz val="10"/>
        <rFont val="宋体"/>
        <family val="3"/>
        <charset val="134"/>
      </rPr>
      <t>（二叶达）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支</t>
    </r>
    <phoneticPr fontId="2" type="noConversion"/>
  </si>
  <si>
    <r>
      <t>711121   1.125g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  <phoneticPr fontId="2" type="noConversion"/>
  </si>
  <si>
    <r>
      <t>711123   2.25g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  <phoneticPr fontId="2" type="noConversion"/>
  </si>
  <si>
    <r>
      <t>711146   1.5g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</t>
    </r>
    <phoneticPr fontId="2" type="noConversion"/>
  </si>
  <si>
    <r>
      <t>711147   0.75g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二叶嗪</t>
    </r>
    <r>
      <rPr>
        <sz val="10"/>
        <rFont val="Microsoft Sans Serif"/>
        <family val="2"/>
      </rPr>
      <t>)10/600</t>
    </r>
    <phoneticPr fontId="2" type="noConversion"/>
  </si>
  <si>
    <r>
      <t>0.75</t>
    </r>
    <r>
      <rPr>
        <b/>
        <sz val="10"/>
        <rFont val="宋体"/>
        <family val="3"/>
        <charset val="134"/>
      </rPr>
      <t>二叶强</t>
    </r>
    <phoneticPr fontId="2" type="noConversion"/>
  </si>
  <si>
    <r>
      <t>1.5</t>
    </r>
    <r>
      <rPr>
        <b/>
        <sz val="10"/>
        <rFont val="宋体"/>
        <family val="3"/>
        <charset val="134"/>
      </rPr>
      <t>二叶强</t>
    </r>
    <phoneticPr fontId="2" type="noConversion"/>
  </si>
  <si>
    <r>
      <t>1.25</t>
    </r>
    <r>
      <rPr>
        <b/>
        <sz val="10"/>
        <rFont val="宋体"/>
        <family val="3"/>
        <charset val="134"/>
      </rPr>
      <t>二叶佳</t>
    </r>
    <phoneticPr fontId="2" type="noConversion"/>
  </si>
  <si>
    <r>
      <t>711147   0.75g(</t>
    </r>
    <r>
      <rPr>
        <b/>
        <sz val="10"/>
        <rFont val="宋体"/>
        <family val="3"/>
        <charset val="134"/>
      </rPr>
      <t>二叶嗪</t>
    </r>
    <r>
      <rPr>
        <b/>
        <sz val="10"/>
        <rFont val="Microsoft Sans Serif"/>
        <family val="2"/>
      </rPr>
      <t>)10/600</t>
    </r>
    <phoneticPr fontId="2" type="noConversion"/>
  </si>
  <si>
    <r>
      <t>2.0</t>
    </r>
    <r>
      <rPr>
        <b/>
        <sz val="10"/>
        <rFont val="宋体"/>
        <family val="3"/>
        <charset val="134"/>
      </rPr>
      <t>阿莫</t>
    </r>
    <phoneticPr fontId="2" type="noConversion"/>
  </si>
  <si>
    <r>
      <t>713004   0.4g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)10</t>
    </r>
    <phoneticPr fontId="2" type="noConversion"/>
  </si>
  <si>
    <r>
      <t>713005   0.6g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)10</t>
    </r>
    <phoneticPr fontId="2" type="noConversion"/>
  </si>
  <si>
    <r>
      <t>713016   100mg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)10/1000</t>
    </r>
    <phoneticPr fontId="2" type="noConversion"/>
  </si>
  <si>
    <r>
      <t>713071   40mg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</t>
    </r>
    <phoneticPr fontId="2" type="noConversion"/>
  </si>
  <si>
    <r>
      <t>713073   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</t>
    </r>
    <phoneticPr fontId="2" type="noConversion"/>
  </si>
  <si>
    <r>
      <t>713082   1.0g</t>
    </r>
    <r>
      <rPr>
        <sz val="10"/>
        <rFont val="宋体"/>
        <family val="3"/>
        <charset val="134"/>
      </rPr>
      <t>注射用左卡尼汀</t>
    </r>
    <r>
      <rPr>
        <sz val="10"/>
        <rFont val="Microsoft Sans Serif"/>
        <family val="2"/>
      </rPr>
      <t>400</t>
    </r>
    <phoneticPr fontId="2" type="noConversion"/>
  </si>
  <si>
    <r>
      <t>713106  20mg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)1000</t>
    </r>
    <phoneticPr fontId="2" type="noConversion"/>
  </si>
  <si>
    <t>713161  40mg注射用依诺肝素钠（二叶诺）1000支</t>
    <phoneticPr fontId="2" type="noConversion"/>
  </si>
  <si>
    <t>713162  100mg注射用依诺肝素钠（二叶诺）600支</t>
    <phoneticPr fontId="2" type="noConversion"/>
  </si>
  <si>
    <r>
      <t>714007   40mg</t>
    </r>
    <r>
      <rPr>
        <sz val="10"/>
        <rFont val="宋体"/>
        <family val="3"/>
        <charset val="134"/>
      </rPr>
      <t>甲磺酸酚妥拉明胶囊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哥达</t>
    </r>
    <r>
      <rPr>
        <sz val="10"/>
        <rFont val="Microsoft Sans Serif"/>
        <family val="2"/>
      </rPr>
      <t>)640</t>
    </r>
    <r>
      <rPr>
        <sz val="10"/>
        <rFont val="宋体"/>
        <family val="3"/>
        <charset val="134"/>
      </rPr>
      <t>粒</t>
    </r>
    <phoneticPr fontId="2" type="noConversion"/>
  </si>
  <si>
    <r>
      <t>714013  40mg</t>
    </r>
    <r>
      <rPr>
        <sz val="10"/>
        <rFont val="宋体"/>
        <family val="3"/>
        <charset val="134"/>
      </rPr>
      <t>甲磺酸酚妥拉明胶囊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)4</t>
    </r>
    <r>
      <rPr>
        <sz val="10"/>
        <rFont val="宋体"/>
        <family val="3"/>
        <charset val="134"/>
      </rPr>
      <t>粒</t>
    </r>
    <r>
      <rPr>
        <sz val="10"/>
        <rFont val="Microsoft Sans Serif"/>
        <family val="2"/>
      </rPr>
      <t>/320</t>
    </r>
    <r>
      <rPr>
        <sz val="10"/>
        <rFont val="宋体"/>
        <family val="3"/>
        <charset val="134"/>
      </rPr>
      <t>盒</t>
    </r>
    <phoneticPr fontId="2" type="noConversion"/>
  </si>
  <si>
    <r>
      <t>714025   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)12×400</t>
    </r>
    <phoneticPr fontId="2" type="noConversion"/>
  </si>
  <si>
    <r>
      <t>71402A   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)10</t>
    </r>
    <r>
      <rPr>
        <sz val="10"/>
        <rFont val="宋体"/>
        <family val="3"/>
        <charset val="134"/>
      </rPr>
      <t>粒</t>
    </r>
    <r>
      <rPr>
        <sz val="10"/>
        <rFont val="Microsoft Sans Serif"/>
        <family val="2"/>
      </rPr>
      <t>/600</t>
    </r>
    <r>
      <rPr>
        <sz val="10"/>
        <rFont val="宋体"/>
        <family val="3"/>
        <charset val="134"/>
      </rPr>
      <t>盒</t>
    </r>
    <phoneticPr fontId="2" type="noConversion"/>
  </si>
  <si>
    <r>
      <t xml:space="preserve">714031  </t>
    </r>
    <r>
      <rPr>
        <sz val="10"/>
        <rFont val="宋体"/>
        <family val="3"/>
        <charset val="134"/>
      </rPr>
      <t>二甲双胍格列本脲胶囊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二叶双平</t>
    </r>
    <r>
      <rPr>
        <sz val="10"/>
        <rFont val="Microsoft Sans Serif"/>
        <family val="2"/>
      </rPr>
      <t>)</t>
    </r>
    <phoneticPr fontId="2" type="noConversion"/>
  </si>
  <si>
    <r>
      <t>714083  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  <phoneticPr fontId="2" type="noConversion"/>
  </si>
  <si>
    <r>
      <t>714085  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)12/400</t>
    </r>
    <phoneticPr fontId="2" type="noConversion"/>
  </si>
  <si>
    <t>714102  20mg奥美拉唑肠溶胶囊(中大)14/300</t>
    <phoneticPr fontId="2" type="noConversion"/>
  </si>
  <si>
    <t>714103  20mg奥美拉唑肠溶胶囊(乐奥苏)28/300</t>
    <phoneticPr fontId="2" type="noConversion"/>
  </si>
  <si>
    <r>
      <t xml:space="preserve">714043  </t>
    </r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</t>
    </r>
    <r>
      <rPr>
        <sz val="10"/>
        <rFont val="宋体"/>
        <family val="3"/>
        <charset val="134"/>
      </rPr>
      <t>粒</t>
    </r>
    <r>
      <rPr>
        <sz val="10"/>
        <rFont val="Microsoft Sans Serif"/>
        <family val="2"/>
      </rPr>
      <t>/200</t>
    </r>
    <phoneticPr fontId="2" type="noConversion"/>
  </si>
  <si>
    <r>
      <t>714024   75mg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)24×400</t>
    </r>
    <phoneticPr fontId="2" type="noConversion"/>
  </si>
  <si>
    <t>小计</t>
    <phoneticPr fontId="4" type="noConversion"/>
  </si>
  <si>
    <r>
      <t xml:space="preserve">714042   </t>
    </r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7*2/200</t>
    </r>
    <phoneticPr fontId="2" type="noConversion"/>
  </si>
  <si>
    <r>
      <t>711003   160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r>
      <rPr>
        <sz val="10"/>
        <rFont val="Microsoft Sans Serif"/>
        <family val="2"/>
      </rPr>
      <t xml:space="preserve">    </t>
    </r>
    <phoneticPr fontId="2" type="noConversion"/>
  </si>
  <si>
    <r>
      <t>711004   0.5g</t>
    </r>
    <r>
      <rPr>
        <sz val="10"/>
        <rFont val="宋体"/>
        <family val="3"/>
        <charset val="134"/>
      </rPr>
      <t>注射用苯唑西林钠</t>
    </r>
    <phoneticPr fontId="2" type="noConversion"/>
  </si>
  <si>
    <r>
      <t>711006   2.0g</t>
    </r>
    <r>
      <rPr>
        <sz val="10"/>
        <rFont val="宋体"/>
        <family val="3"/>
        <charset val="134"/>
      </rPr>
      <t>注射用哌拉西林钠</t>
    </r>
    <r>
      <rPr>
        <sz val="10"/>
        <rFont val="Microsoft Sans Serif"/>
        <family val="2"/>
      </rPr>
      <t>600</t>
    </r>
    <phoneticPr fontId="2" type="noConversion"/>
  </si>
  <si>
    <r>
      <t>711009   400</t>
    </r>
    <r>
      <rPr>
        <sz val="10"/>
        <rFont val="宋体"/>
        <family val="3"/>
        <charset val="134"/>
      </rPr>
      <t>万注射用青霉素钠</t>
    </r>
    <phoneticPr fontId="2" type="noConversion"/>
  </si>
  <si>
    <r>
      <t>711031   0.75g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</t>
    </r>
    <phoneticPr fontId="2" type="noConversion"/>
  </si>
  <si>
    <r>
      <t>711037   3.0g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  <phoneticPr fontId="2" type="noConversion"/>
  </si>
  <si>
    <r>
      <t>711038   1.5g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  <phoneticPr fontId="2" type="noConversion"/>
  </si>
  <si>
    <r>
      <t>711079  1.0g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2" type="noConversion"/>
  </si>
  <si>
    <r>
      <t>711125   3.375g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  <phoneticPr fontId="2" type="noConversion"/>
  </si>
  <si>
    <r>
      <t>711126   4.5g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  <phoneticPr fontId="2" type="noConversion"/>
  </si>
  <si>
    <r>
      <t xml:space="preserve">   712040   1.0g</t>
    </r>
    <r>
      <rPr>
        <sz val="10"/>
        <rFont val="宋体"/>
        <family val="3"/>
        <charset val="134"/>
      </rPr>
      <t>注射用头孢他啶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)10/600</t>
    </r>
    <phoneticPr fontId="2" type="noConversion"/>
  </si>
  <si>
    <r>
      <t>712058   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)600</t>
    </r>
    <phoneticPr fontId="2" type="noConversion"/>
  </si>
  <si>
    <r>
      <t>712082   1.0g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)10/600</t>
    </r>
    <phoneticPr fontId="2" type="noConversion"/>
  </si>
  <si>
    <r>
      <t>712104   2.0g</t>
    </r>
    <r>
      <rPr>
        <sz val="10"/>
        <rFont val="宋体"/>
        <family val="3"/>
        <charset val="134"/>
      </rPr>
      <t>注射用头孢西丁钠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>)300</t>
    </r>
    <phoneticPr fontId="2" type="noConversion"/>
  </si>
  <si>
    <r>
      <t>712107   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10/600</t>
    </r>
    <phoneticPr fontId="2" type="noConversion"/>
  </si>
  <si>
    <r>
      <t>712121   0.75g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  <phoneticPr fontId="2" type="noConversion"/>
  </si>
  <si>
    <r>
      <t>712131   0.5g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</t>
    </r>
    <phoneticPr fontId="2" type="noConversion"/>
  </si>
  <si>
    <r>
      <t>712134   1.0g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)600</t>
    </r>
    <phoneticPr fontId="2" type="noConversion"/>
  </si>
  <si>
    <r>
      <t>712141   0.5g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  <phoneticPr fontId="2" type="noConversion"/>
  </si>
  <si>
    <r>
      <t>712144   1.0g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)10/600</t>
    </r>
    <phoneticPr fontId="2" type="noConversion"/>
  </si>
  <si>
    <r>
      <t>712164   0.5g</t>
    </r>
    <r>
      <rPr>
        <sz val="10"/>
        <rFont val="宋体"/>
        <family val="3"/>
        <charset val="134"/>
      </rPr>
      <t>注射用头孢米诺钠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)1/400</t>
    </r>
    <phoneticPr fontId="2" type="noConversion"/>
  </si>
  <si>
    <r>
      <t>712161   0.5g</t>
    </r>
    <r>
      <rPr>
        <sz val="10"/>
        <rFont val="宋体"/>
        <family val="3"/>
        <charset val="134"/>
      </rPr>
      <t>注射用头孢米诺钠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</t>
    </r>
    <phoneticPr fontId="2" type="noConversion"/>
  </si>
  <si>
    <r>
      <t>713105   80mg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</t>
    </r>
    <phoneticPr fontId="2" type="noConversion"/>
  </si>
  <si>
    <r>
      <t>713107   40mg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)1000</t>
    </r>
    <phoneticPr fontId="2" type="noConversion"/>
  </si>
  <si>
    <r>
      <t xml:space="preserve">714104   </t>
    </r>
    <r>
      <rPr>
        <sz val="10"/>
        <rFont val="宋体"/>
        <family val="3"/>
        <charset val="134"/>
      </rPr>
      <t>乙酰螺旋霉素胶囊</t>
    </r>
    <r>
      <rPr>
        <sz val="10"/>
        <rFont val="Microsoft Sans Serif"/>
        <family val="2"/>
      </rPr>
      <t>24/400</t>
    </r>
    <phoneticPr fontId="2" type="noConversion"/>
  </si>
  <si>
    <r>
      <t>712047   1.0g</t>
    </r>
    <r>
      <rPr>
        <sz val="10"/>
        <rFont val="宋体"/>
        <family val="3"/>
        <charset val="134"/>
      </rPr>
      <t>注射用头孢哌酮钠</t>
    </r>
    <phoneticPr fontId="2" type="noConversion"/>
  </si>
  <si>
    <r>
      <t>712059   2.0g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  <phoneticPr fontId="2" type="noConversion"/>
  </si>
  <si>
    <r>
      <t>712085   2.0g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</t>
    </r>
    <phoneticPr fontId="2" type="noConversion"/>
  </si>
  <si>
    <r>
      <t>712090   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)1/400</t>
    </r>
    <phoneticPr fontId="2" type="noConversion"/>
  </si>
  <si>
    <r>
      <t>712097   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)1/300</t>
    </r>
    <phoneticPr fontId="2" type="noConversion"/>
  </si>
  <si>
    <r>
      <t>712108   0.5g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10/600</t>
    </r>
    <phoneticPr fontId="2" type="noConversion"/>
  </si>
  <si>
    <r>
      <t>712122   1.5g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  <phoneticPr fontId="2" type="noConversion"/>
  </si>
  <si>
    <r>
      <t>712123   1.0g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  <phoneticPr fontId="2" type="noConversion"/>
  </si>
  <si>
    <r>
      <t>712234   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)600</t>
    </r>
    <phoneticPr fontId="2" type="noConversion"/>
  </si>
  <si>
    <r>
      <t>x12021   0.75g</t>
    </r>
    <r>
      <rPr>
        <sz val="10"/>
        <rFont val="宋体"/>
        <family val="3"/>
        <charset val="134"/>
      </rPr>
      <t>注射用头孢噻肟钠舒巴坦钠</t>
    </r>
    <phoneticPr fontId="2" type="noConversion"/>
  </si>
  <si>
    <r>
      <t>x12022   1.5g</t>
    </r>
    <r>
      <rPr>
        <sz val="10"/>
        <rFont val="宋体"/>
        <family val="3"/>
        <charset val="134"/>
      </rPr>
      <t>注射用头孢噻肟钠舒巴坦钠</t>
    </r>
    <phoneticPr fontId="2" type="noConversion"/>
  </si>
  <si>
    <r>
      <t>x12023   2.25g</t>
    </r>
    <r>
      <rPr>
        <sz val="10"/>
        <rFont val="宋体"/>
        <family val="3"/>
        <charset val="134"/>
      </rPr>
      <t>注射用注射用头孢噻肟钠舒巴坦钠</t>
    </r>
    <phoneticPr fontId="2" type="noConversion"/>
  </si>
  <si>
    <r>
      <t>x12024   3.0g</t>
    </r>
    <r>
      <rPr>
        <sz val="10"/>
        <rFont val="宋体"/>
        <family val="3"/>
        <charset val="134"/>
      </rPr>
      <t>注射用头孢噻肟钠舒巴坦钠</t>
    </r>
    <phoneticPr fontId="2" type="noConversion"/>
  </si>
  <si>
    <r>
      <t>712022   1.0g</t>
    </r>
    <r>
      <rPr>
        <sz val="10"/>
        <rFont val="宋体"/>
        <family val="3"/>
        <charset val="134"/>
      </rPr>
      <t>注射用头孢拉定</t>
    </r>
    <phoneticPr fontId="2" type="noConversion"/>
  </si>
  <si>
    <r>
      <t>711039   2.25g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  <phoneticPr fontId="2" type="noConversion"/>
  </si>
  <si>
    <r>
      <t>711043   3.0g(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  <phoneticPr fontId="2" type="noConversion"/>
  </si>
  <si>
    <r>
      <t>711045   1.5g(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)10</t>
    </r>
    <phoneticPr fontId="2" type="noConversion"/>
  </si>
  <si>
    <r>
      <t>711054   0.6</t>
    </r>
    <r>
      <rPr>
        <sz val="10"/>
        <rFont val="宋体"/>
        <family val="3"/>
        <charset val="134"/>
      </rPr>
      <t>二叶克</t>
    </r>
    <phoneticPr fontId="2" type="noConversion"/>
  </si>
  <si>
    <r>
      <t>711056   1.2g(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>)10</t>
    </r>
    <phoneticPr fontId="2" type="noConversion"/>
  </si>
  <si>
    <r>
      <t>711076   3.0g(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)10</t>
    </r>
    <phoneticPr fontId="2" type="noConversion"/>
  </si>
  <si>
    <r>
      <t>711092   2.0g(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  <phoneticPr fontId="2" type="noConversion"/>
  </si>
  <si>
    <r>
      <t>711094   3.0g(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</t>
    </r>
    <phoneticPr fontId="2" type="noConversion"/>
  </si>
  <si>
    <r>
      <t>711096   2.5g(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)10/600</t>
    </r>
    <phoneticPr fontId="2" type="noConversion"/>
  </si>
  <si>
    <r>
      <t>711102   1.0g(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  <phoneticPr fontId="2" type="noConversion"/>
  </si>
  <si>
    <r>
      <t>711112   3.2g(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>)</t>
    </r>
    <phoneticPr fontId="2" type="noConversion"/>
  </si>
  <si>
    <r>
      <t>711144   3.0g(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)10/400</t>
    </r>
    <phoneticPr fontId="2" type="noConversion"/>
  </si>
  <si>
    <r>
      <t>711131  1.25</t>
    </r>
    <r>
      <rPr>
        <sz val="10"/>
        <rFont val="宋体"/>
        <family val="3"/>
        <charset val="134"/>
      </rPr>
      <t>二叶佳</t>
    </r>
    <phoneticPr fontId="2" type="noConversion"/>
  </si>
  <si>
    <r>
      <t>711061   1.0g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  <phoneticPr fontId="2" type="noConversion"/>
  </si>
  <si>
    <r>
      <t>711077   1.5g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2" type="noConversion"/>
  </si>
  <si>
    <t>苯唑西林钠工艺优化研究RD14相关</t>
    <phoneticPr fontId="2" type="noConversion"/>
  </si>
  <si>
    <r>
      <rPr>
        <sz val="10"/>
        <rFont val="Microsoft Sans Serif"/>
        <family val="2"/>
      </rPr>
      <t xml:space="preserve">714012   </t>
    </r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粒</t>
    </r>
    <phoneticPr fontId="2" type="noConversion"/>
  </si>
  <si>
    <r>
      <t>714091   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24/200</t>
    </r>
    <phoneticPr fontId="2" type="noConversion"/>
  </si>
  <si>
    <r>
      <t>713112   220mg</t>
    </r>
    <r>
      <rPr>
        <sz val="10"/>
        <rFont val="宋体"/>
        <family val="3"/>
        <charset val="134"/>
      </rPr>
      <t>注射用甲硫氨酸维生素</t>
    </r>
    <r>
      <rPr>
        <sz val="10"/>
        <rFont val="Microsoft Sans Serif"/>
        <family val="2"/>
      </rPr>
      <t>B1(</t>
    </r>
    <r>
      <rPr>
        <sz val="10"/>
        <rFont val="宋体"/>
        <family val="3"/>
        <charset val="134"/>
      </rPr>
      <t>二叶梦</t>
    </r>
    <r>
      <rPr>
        <sz val="10"/>
        <rFont val="Microsoft Sans Serif"/>
        <family val="2"/>
      </rPr>
      <t>)</t>
    </r>
    <phoneticPr fontId="2" type="noConversion"/>
  </si>
  <si>
    <r>
      <t>712073   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)600</t>
    </r>
    <phoneticPr fontId="2" type="noConversion"/>
  </si>
  <si>
    <r>
      <t>712106   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1/400</t>
    </r>
    <phoneticPr fontId="2" type="noConversion"/>
  </si>
  <si>
    <r>
      <t>711002   80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2" type="noConversion"/>
  </si>
  <si>
    <r>
      <t>711101   0.5g</t>
    </r>
    <r>
      <rPr>
        <sz val="10"/>
        <rFont val="宋体"/>
        <family val="3"/>
        <charset val="134"/>
      </rPr>
      <t>注射用呋布西林钠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  <phoneticPr fontId="2" type="noConversion"/>
  </si>
  <si>
    <r>
      <t>711121   1.125g</t>
    </r>
    <r>
      <rPr>
        <sz val="10"/>
        <rFont val="宋体"/>
        <family val="3"/>
        <charset val="134"/>
      </rPr>
      <t>注射用哌拉西林钠他唑巴坦钠</t>
    </r>
    <phoneticPr fontId="2" type="noConversion"/>
  </si>
  <si>
    <r>
      <t>711123   2.25g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  <phoneticPr fontId="2" type="noConversion"/>
  </si>
  <si>
    <r>
      <t>711146   1.5g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</t>
    </r>
    <phoneticPr fontId="2" type="noConversion"/>
  </si>
  <si>
    <r>
      <t>711147   0.75g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二叶嗪</t>
    </r>
    <r>
      <rPr>
        <sz val="10"/>
        <rFont val="Microsoft Sans Serif"/>
        <family val="2"/>
      </rPr>
      <t>)10/600</t>
    </r>
    <phoneticPr fontId="2" type="noConversion"/>
  </si>
  <si>
    <t>RD08</t>
    <phoneticPr fontId="2" type="noConversion"/>
  </si>
  <si>
    <t>RD04</t>
    <phoneticPr fontId="2" type="noConversion"/>
  </si>
  <si>
    <r>
      <t>711010    1.0g</t>
    </r>
    <r>
      <rPr>
        <sz val="10"/>
        <rFont val="宋体"/>
        <family val="3"/>
        <charset val="134"/>
      </rPr>
      <t>注射用苯唑西林钠</t>
    </r>
    <phoneticPr fontId="2" type="noConversion"/>
  </si>
  <si>
    <r>
      <t>711021   0.5g</t>
    </r>
    <r>
      <rPr>
        <sz val="10"/>
        <rFont val="宋体"/>
        <family val="3"/>
        <charset val="134"/>
      </rPr>
      <t>注射用阿莫西林钠</t>
    </r>
    <phoneticPr fontId="2" type="noConversion"/>
  </si>
  <si>
    <r>
      <t>711023   2.0g</t>
    </r>
    <r>
      <rPr>
        <sz val="10"/>
        <rFont val="宋体"/>
        <family val="3"/>
        <charset val="134"/>
      </rPr>
      <t>注射用阿莫西林钠</t>
    </r>
    <r>
      <rPr>
        <sz val="10"/>
        <rFont val="Microsoft Sans Serif"/>
        <family val="2"/>
      </rPr>
      <t xml:space="preserve"> 600</t>
    </r>
    <r>
      <rPr>
        <sz val="10"/>
        <rFont val="宋体"/>
        <family val="3"/>
        <charset val="134"/>
      </rPr>
      <t>支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箱</t>
    </r>
    <phoneticPr fontId="2" type="noConversion"/>
  </si>
  <si>
    <r>
      <t>712075    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+</t>
    </r>
    <r>
      <rPr>
        <sz val="10"/>
        <rFont val="宋体"/>
        <family val="3"/>
        <charset val="134"/>
      </rPr>
      <t>注射用水</t>
    </r>
    <r>
      <rPr>
        <sz val="10"/>
        <rFont val="Microsoft Sans Serif"/>
        <family val="2"/>
      </rPr>
      <t xml:space="preserve"> 1/360</t>
    </r>
    <phoneticPr fontId="2" type="noConversion"/>
  </si>
  <si>
    <r>
      <t>712113     0.5g</t>
    </r>
    <r>
      <rPr>
        <sz val="10"/>
        <rFont val="宋体"/>
        <family val="3"/>
        <charset val="134"/>
      </rPr>
      <t>注射用硫酸头孢匹罗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二叶罗</t>
    </r>
    <r>
      <rPr>
        <sz val="10"/>
        <rFont val="Microsoft Sans Serif"/>
        <family val="2"/>
      </rPr>
      <t>)10/400</t>
    </r>
    <phoneticPr fontId="2" type="noConversion"/>
  </si>
  <si>
    <r>
      <t>711007    1.0g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  <phoneticPr fontId="2" type="noConversion"/>
  </si>
  <si>
    <r>
      <t>711042    0.75g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  <phoneticPr fontId="2" type="noConversion"/>
  </si>
  <si>
    <r>
      <t>711002    80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2" type="noConversion"/>
  </si>
  <si>
    <r>
      <t>711003    160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2" type="noConversion"/>
  </si>
  <si>
    <r>
      <t>711131  1.25g</t>
    </r>
    <r>
      <rPr>
        <sz val="10"/>
        <rFont val="宋体"/>
        <family val="3"/>
        <charset val="134"/>
      </rPr>
      <t>注射用美洛西林钠舒巴坦钠</t>
    </r>
    <phoneticPr fontId="2" type="noConversion"/>
  </si>
  <si>
    <t>711076   3.0g(二叶达)10</t>
  </si>
  <si>
    <r>
      <t>711080   2.0g</t>
    </r>
    <r>
      <rPr>
        <sz val="10"/>
        <rFont val="宋体"/>
        <family val="3"/>
        <charset val="134"/>
      </rPr>
      <t>注射用阿洛西林钠（二叶达）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支</t>
    </r>
    <phoneticPr fontId="2" type="noConversion"/>
  </si>
  <si>
    <t>711092   2.0g(二叶美)</t>
  </si>
  <si>
    <r>
      <t>711113   1.6g</t>
    </r>
    <r>
      <rPr>
        <sz val="10"/>
        <rFont val="宋体"/>
        <family val="3"/>
        <charset val="134"/>
      </rPr>
      <t>注射用替卡西林钠克拉维酸钾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>)/600</t>
    </r>
    <phoneticPr fontId="2" type="noConversion"/>
  </si>
  <si>
    <t>711125   3.375g注射用哌拉西林钠他唑巴坦钠(哌舒西林)10/400</t>
  </si>
  <si>
    <t>711126   4.5g注射用哌拉西林钠他唑巴坦钠(哌舒西林)10/400</t>
  </si>
  <si>
    <r>
      <t>712050   4.0g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  <phoneticPr fontId="2" type="noConversion"/>
  </si>
  <si>
    <r>
      <t>712135   2.0g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)400</t>
    </r>
    <phoneticPr fontId="2" type="noConversion"/>
  </si>
  <si>
    <r>
      <rPr>
        <sz val="10"/>
        <color theme="1"/>
        <rFont val="宋体"/>
        <family val="3"/>
        <charset val="134"/>
      </rPr>
      <t>替卡西林钠工艺研究</t>
    </r>
    <r>
      <rPr>
        <sz val="10"/>
        <color theme="1"/>
        <rFont val="Microsoft Sans Serif"/>
        <family val="2"/>
      </rPr>
      <t>RD12</t>
    </r>
    <phoneticPr fontId="2" type="noConversion"/>
  </si>
  <si>
    <t>替卡水溶液</t>
    <phoneticPr fontId="2" type="noConversion"/>
  </si>
  <si>
    <t>替卡西林钠</t>
    <phoneticPr fontId="2" type="noConversion"/>
  </si>
  <si>
    <t>GMP</t>
    <phoneticPr fontId="2" type="noConversion"/>
  </si>
  <si>
    <t>氯唑西林钠</t>
    <phoneticPr fontId="2" type="noConversion"/>
  </si>
  <si>
    <r>
      <rPr>
        <sz val="10"/>
        <rFont val="宋体"/>
        <family val="3"/>
        <charset val="134"/>
      </rPr>
      <t>青霉素类制剂工艺改善研究</t>
    </r>
    <r>
      <rPr>
        <sz val="10"/>
        <rFont val="Microsoft Sans Serif"/>
        <family val="2"/>
      </rPr>
      <t>RD01</t>
    </r>
    <phoneticPr fontId="2" type="noConversion"/>
  </si>
  <si>
    <t>附件生产部各生产车间工作安排说明与研发部情况说明，请领导予以批准！</t>
    <phoneticPr fontId="2" type="noConversion"/>
  </si>
  <si>
    <t>GMP认证</t>
    <phoneticPr fontId="2" type="noConversion"/>
  </si>
  <si>
    <t>GMP认证</t>
    <phoneticPr fontId="2" type="noConversion"/>
  </si>
  <si>
    <t>711121   1.125g注射用哌拉西林钠他唑巴坦钠</t>
  </si>
  <si>
    <t>711147   0.75g注射用哌拉西林钠舒巴坦钠(二叶嗪)10/600</t>
  </si>
  <si>
    <r>
      <t>711062   2.0g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  <phoneticPr fontId="2" type="noConversion"/>
  </si>
  <si>
    <t>712097   0.5g注射用头孢尼西钠(二叶希)1/300</t>
  </si>
  <si>
    <t>712108   0.5g注射用头孢西丁钠（二叶赛）10/600</t>
  </si>
  <si>
    <r>
      <t>712143   2.0g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  <phoneticPr fontId="2" type="noConversion"/>
  </si>
  <si>
    <t>712234   1.0g注射用头孢尼西钠(二叶希)600</t>
  </si>
  <si>
    <r>
      <t>713017   50mg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)10/1000</t>
    </r>
    <phoneticPr fontId="2" type="noConversion"/>
  </si>
  <si>
    <r>
      <t>713122   0.6g</t>
    </r>
    <r>
      <rPr>
        <sz val="10"/>
        <rFont val="宋体"/>
        <family val="3"/>
        <charset val="134"/>
      </rPr>
      <t>克林霉素磷酸酯</t>
    </r>
    <phoneticPr fontId="2" type="noConversion"/>
  </si>
  <si>
    <t>苄星青霉素</t>
    <phoneticPr fontId="2" type="noConversion"/>
  </si>
  <si>
    <r>
      <t>2017.1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</si>
  <si>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</si>
  <si>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</si>
  <si>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2017.1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</si>
  <si>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2017.1</t>
    </r>
    <r>
      <rPr>
        <b/>
        <sz val="10"/>
        <rFont val="宋体"/>
        <family val="3"/>
        <charset val="134"/>
      </rPr>
      <t>月份霉素粉针剂车间三项费用分配表</t>
    </r>
    <phoneticPr fontId="6" type="noConversion"/>
  </si>
  <si>
    <r>
      <t>2017.1</t>
    </r>
    <r>
      <rPr>
        <b/>
        <sz val="10"/>
        <rFont val="宋体"/>
        <family val="3"/>
        <charset val="134"/>
      </rPr>
      <t>月份头孢粉针剂车间三项费用分配表</t>
    </r>
    <phoneticPr fontId="6" type="noConversion"/>
  </si>
  <si>
    <r>
      <t>2017.1</t>
    </r>
    <r>
      <rPr>
        <b/>
        <sz val="10"/>
        <rFont val="宋体"/>
        <family val="3"/>
        <charset val="134"/>
      </rPr>
      <t>月份冻干粉针剂车间三项费用分配表</t>
    </r>
    <phoneticPr fontId="2" type="noConversion"/>
  </si>
  <si>
    <r>
      <t>2017.1</t>
    </r>
    <r>
      <rPr>
        <b/>
        <sz val="10"/>
        <rFont val="宋体"/>
        <family val="3"/>
        <charset val="134"/>
      </rPr>
      <t>月份胶囊剂车间三项费用分配表</t>
    </r>
    <phoneticPr fontId="6" type="noConversion"/>
  </si>
  <si>
    <r>
      <t>2017.1</t>
    </r>
    <r>
      <rPr>
        <b/>
        <sz val="10"/>
        <rFont val="宋体"/>
        <family val="3"/>
        <charset val="134"/>
      </rPr>
      <t>月份冻干抗肿瘤车间三项费用分配表</t>
    </r>
    <phoneticPr fontId="6" type="noConversion"/>
  </si>
  <si>
    <r>
      <t>2017.1</t>
    </r>
    <r>
      <rPr>
        <b/>
        <sz val="10"/>
        <rFont val="宋体"/>
        <family val="3"/>
        <charset val="134"/>
      </rPr>
      <t>月份青霉素粉针剂二期车间三项费用分配表</t>
    </r>
    <phoneticPr fontId="6" type="noConversion"/>
  </si>
  <si>
    <r>
      <rPr>
        <sz val="12"/>
        <color theme="1"/>
        <rFont val="宋体"/>
        <family val="3"/>
        <charset val="134"/>
      </rPr>
      <t>人数</t>
    </r>
  </si>
  <si>
    <r>
      <t xml:space="preserve"> </t>
    </r>
    <r>
      <rPr>
        <sz val="12"/>
        <color theme="1"/>
        <rFont val="宋体"/>
        <family val="3"/>
        <charset val="134"/>
      </rPr>
      <t>应发工资</t>
    </r>
    <r>
      <rPr>
        <sz val="12"/>
        <color theme="1"/>
        <rFont val="Microsoft Sans Serif"/>
        <family val="2"/>
      </rPr>
      <t xml:space="preserve"> </t>
    </r>
  </si>
  <si>
    <r>
      <rPr>
        <sz val="12"/>
        <color theme="1"/>
        <rFont val="宋体"/>
        <family val="3"/>
        <charset val="134"/>
      </rPr>
      <t>管理部</t>
    </r>
  </si>
  <si>
    <r>
      <rPr>
        <sz val="12"/>
        <color theme="1"/>
        <rFont val="宋体"/>
        <family val="3"/>
        <charset val="134"/>
      </rPr>
      <t>研发部</t>
    </r>
    <phoneticPr fontId="2" type="noConversion"/>
  </si>
  <si>
    <r>
      <rPr>
        <sz val="12"/>
        <color theme="1"/>
        <rFont val="宋体"/>
        <family val="3"/>
        <charset val="134"/>
      </rPr>
      <t>知识产权部</t>
    </r>
  </si>
  <si>
    <r>
      <rPr>
        <sz val="12"/>
        <color theme="1"/>
        <rFont val="宋体"/>
        <family val="3"/>
        <charset val="134"/>
      </rPr>
      <t>销售部</t>
    </r>
  </si>
  <si>
    <r>
      <rPr>
        <sz val="12"/>
        <color theme="1"/>
        <rFont val="宋体"/>
        <family val="3"/>
        <charset val="134"/>
      </rPr>
      <t>供电</t>
    </r>
  </si>
  <si>
    <r>
      <rPr>
        <sz val="12"/>
        <color theme="1"/>
        <rFont val="宋体"/>
        <family val="3"/>
        <charset val="134"/>
      </rPr>
      <t>供汽</t>
    </r>
  </si>
  <si>
    <r>
      <rPr>
        <sz val="12"/>
        <color theme="1"/>
        <rFont val="宋体"/>
        <family val="3"/>
        <charset val="134"/>
      </rPr>
      <t>空压与冷冻</t>
    </r>
  </si>
  <si>
    <r>
      <rPr>
        <sz val="12"/>
        <color theme="1"/>
        <rFont val="宋体"/>
        <family val="3"/>
        <charset val="134"/>
      </rPr>
      <t>车间机修</t>
    </r>
  </si>
  <si>
    <r>
      <rPr>
        <sz val="12"/>
        <color theme="1"/>
        <rFont val="宋体"/>
        <family val="3"/>
        <charset val="134"/>
      </rPr>
      <t>仪表</t>
    </r>
  </si>
  <si>
    <r>
      <t>2017</t>
    </r>
    <r>
      <rPr>
        <sz val="12"/>
        <color theme="1"/>
        <rFont val="宋体"/>
        <family val="3"/>
        <charset val="134"/>
      </rPr>
      <t>年起市区相城整合</t>
    </r>
    <phoneticPr fontId="2" type="noConversion"/>
  </si>
  <si>
    <r>
      <t>101</t>
    </r>
    <r>
      <rPr>
        <sz val="12"/>
        <rFont val="宋体"/>
        <family val="3"/>
        <charset val="134"/>
      </rPr>
      <t>苯唑西林钠原药车间</t>
    </r>
    <r>
      <rPr>
        <sz val="12"/>
        <rFont val="Microsoft Sans Serif"/>
        <family val="2"/>
      </rPr>
      <t>(</t>
    </r>
    <r>
      <rPr>
        <sz val="12"/>
        <rFont val="宋体"/>
        <family val="3"/>
        <charset val="134"/>
      </rPr>
      <t>新厂）</t>
    </r>
    <phoneticPr fontId="8" type="noConversion"/>
  </si>
  <si>
    <r>
      <t>102</t>
    </r>
    <r>
      <rPr>
        <sz val="12"/>
        <rFont val="宋体"/>
        <family val="3"/>
        <charset val="134"/>
      </rPr>
      <t>冻干原料药车间（新厂）</t>
    </r>
    <phoneticPr fontId="8" type="noConversion"/>
  </si>
  <si>
    <r>
      <t>103</t>
    </r>
    <r>
      <rPr>
        <sz val="12"/>
        <rFont val="宋体"/>
        <family val="3"/>
        <charset val="134"/>
      </rPr>
      <t>合成车间、溶媒回收车间（新厂）</t>
    </r>
    <phoneticPr fontId="8" type="noConversion"/>
  </si>
  <si>
    <r>
      <t>104</t>
    </r>
    <r>
      <rPr>
        <sz val="12"/>
        <rFont val="宋体"/>
        <family val="3"/>
        <charset val="134"/>
      </rPr>
      <t>普通原料药车间（新厂）</t>
    </r>
    <phoneticPr fontId="8" type="noConversion"/>
  </si>
  <si>
    <r>
      <t>201</t>
    </r>
    <r>
      <rPr>
        <sz val="12"/>
        <rFont val="宋体"/>
        <family val="3"/>
        <charset val="134"/>
      </rPr>
      <t>青霉素粉针车间（新厂）</t>
    </r>
    <phoneticPr fontId="8" type="noConversion"/>
  </si>
  <si>
    <r>
      <t>202</t>
    </r>
    <r>
      <rPr>
        <sz val="12"/>
        <rFont val="宋体"/>
        <family val="3"/>
        <charset val="134"/>
      </rPr>
      <t>头孢粉针车间（新厂）</t>
    </r>
    <phoneticPr fontId="8" type="noConversion"/>
  </si>
  <si>
    <r>
      <t>203</t>
    </r>
    <r>
      <rPr>
        <sz val="12"/>
        <rFont val="宋体"/>
        <family val="3"/>
        <charset val="134"/>
      </rPr>
      <t>冻干粉针车间（新厂）</t>
    </r>
    <phoneticPr fontId="8" type="noConversion"/>
  </si>
  <si>
    <r>
      <t>204</t>
    </r>
    <r>
      <rPr>
        <sz val="12"/>
        <rFont val="宋体"/>
        <family val="3"/>
        <charset val="134"/>
      </rPr>
      <t>胶囊剂车间（新厂）</t>
    </r>
    <phoneticPr fontId="8" type="noConversion"/>
  </si>
  <si>
    <r>
      <t>206</t>
    </r>
    <r>
      <rPr>
        <sz val="12"/>
        <rFont val="宋体"/>
        <family val="3"/>
        <charset val="134"/>
      </rPr>
      <t>青霉素粉针二期（新厂）</t>
    </r>
    <phoneticPr fontId="8" type="noConversion"/>
  </si>
  <si>
    <r>
      <rPr>
        <sz val="12"/>
        <color theme="1"/>
        <rFont val="宋体"/>
        <family val="3"/>
        <charset val="134"/>
      </rPr>
      <t>分配部门</t>
    </r>
  </si>
  <si>
    <r>
      <rPr>
        <sz val="12"/>
        <color theme="1"/>
        <rFont val="宋体"/>
        <family val="3"/>
        <charset val="134"/>
      </rPr>
      <t>基本生产车间</t>
    </r>
  </si>
  <si>
    <r>
      <rPr>
        <sz val="12"/>
        <color theme="1"/>
        <rFont val="宋体"/>
        <family val="3"/>
        <charset val="134"/>
      </rPr>
      <t>辅助生产车间</t>
    </r>
  </si>
  <si>
    <r>
      <rPr>
        <sz val="12"/>
        <color theme="1"/>
        <rFont val="宋体"/>
        <family val="3"/>
        <charset val="134"/>
      </rPr>
      <t>合计</t>
    </r>
  </si>
  <si>
    <t>工资分配表　　　　　　</t>
    <phoneticPr fontId="2" type="noConversion"/>
  </si>
  <si>
    <r>
      <rPr>
        <sz val="12"/>
        <color theme="1"/>
        <rFont val="宋体"/>
        <family val="2"/>
        <charset val="134"/>
      </rPr>
      <t>机</t>
    </r>
    <r>
      <rPr>
        <sz val="12"/>
        <color theme="1"/>
        <rFont val="Microsoft Sans Serif"/>
        <family val="2"/>
      </rPr>
      <t xml:space="preserve">     </t>
    </r>
    <r>
      <rPr>
        <sz val="12"/>
        <color theme="1"/>
        <rFont val="宋体"/>
        <family val="2"/>
        <charset val="134"/>
      </rPr>
      <t>修</t>
    </r>
  </si>
  <si>
    <r>
      <rPr>
        <sz val="12"/>
        <color theme="1"/>
        <rFont val="宋体"/>
        <family val="2"/>
        <charset val="134"/>
      </rPr>
      <t>仪</t>
    </r>
    <r>
      <rPr>
        <sz val="12"/>
        <color theme="1"/>
        <rFont val="Microsoft Sans Serif"/>
        <family val="2"/>
      </rPr>
      <t xml:space="preserve">     </t>
    </r>
    <r>
      <rPr>
        <sz val="12"/>
        <color theme="1"/>
        <rFont val="宋体"/>
        <family val="2"/>
        <charset val="134"/>
      </rPr>
      <t>表</t>
    </r>
  </si>
  <si>
    <r>
      <t xml:space="preserve">   </t>
    </r>
    <r>
      <rPr>
        <sz val="12"/>
        <color theme="1"/>
        <rFont val="宋体"/>
        <family val="2"/>
        <charset val="134"/>
      </rPr>
      <t>环</t>
    </r>
    <r>
      <rPr>
        <sz val="12"/>
        <color theme="1"/>
        <rFont val="Microsoft Sans Serif"/>
        <family val="2"/>
      </rPr>
      <t xml:space="preserve">  </t>
    </r>
    <r>
      <rPr>
        <sz val="12"/>
        <color theme="1"/>
        <rFont val="宋体"/>
        <family val="2"/>
        <charset val="134"/>
      </rPr>
      <t>保</t>
    </r>
    <r>
      <rPr>
        <sz val="12"/>
        <color theme="1"/>
        <rFont val="Microsoft Sans Serif"/>
        <family val="2"/>
      </rPr>
      <t>550225</t>
    </r>
  </si>
  <si>
    <r>
      <rPr>
        <sz val="12"/>
        <color theme="1"/>
        <rFont val="宋体"/>
        <family val="2"/>
        <charset val="134"/>
      </rPr>
      <t>工时</t>
    </r>
  </si>
  <si>
    <r>
      <rPr>
        <sz val="12"/>
        <color theme="1"/>
        <rFont val="宋体"/>
        <family val="2"/>
        <charset val="134"/>
      </rPr>
      <t>分配率</t>
    </r>
  </si>
  <si>
    <r>
      <rPr>
        <sz val="12"/>
        <color theme="1"/>
        <rFont val="宋体"/>
        <family val="2"/>
        <charset val="134"/>
      </rPr>
      <t>金额</t>
    </r>
  </si>
  <si>
    <r>
      <t>101</t>
    </r>
    <r>
      <rPr>
        <sz val="12"/>
        <color theme="1"/>
        <rFont val="宋体"/>
        <family val="2"/>
        <charset val="134"/>
      </rPr>
      <t>苯唑西林钠车间</t>
    </r>
    <phoneticPr fontId="2" type="noConversion"/>
  </si>
  <si>
    <r>
      <t>102</t>
    </r>
    <r>
      <rPr>
        <sz val="12"/>
        <color theme="1"/>
        <rFont val="宋体"/>
        <family val="2"/>
        <charset val="134"/>
      </rPr>
      <t>冻干原料药车间</t>
    </r>
    <phoneticPr fontId="2" type="noConversion"/>
  </si>
  <si>
    <r>
      <rPr>
        <sz val="12"/>
        <color theme="1"/>
        <rFont val="宋体"/>
        <family val="2"/>
        <charset val="134"/>
      </rPr>
      <t>生产部</t>
    </r>
  </si>
  <si>
    <r>
      <rPr>
        <sz val="12"/>
        <color theme="1"/>
        <rFont val="宋体"/>
        <family val="2"/>
        <charset val="134"/>
      </rPr>
      <t>中心仓库</t>
    </r>
  </si>
  <si>
    <r>
      <rPr>
        <sz val="12"/>
        <color theme="1"/>
        <rFont val="宋体"/>
        <family val="2"/>
        <charset val="134"/>
      </rPr>
      <t>综合管理部</t>
    </r>
  </si>
  <si>
    <r>
      <rPr>
        <sz val="12"/>
        <color theme="1"/>
        <rFont val="宋体"/>
        <family val="2"/>
        <charset val="134"/>
      </rPr>
      <t>质量保证部</t>
    </r>
  </si>
  <si>
    <r>
      <rPr>
        <sz val="12"/>
        <color theme="1"/>
        <rFont val="宋体"/>
        <family val="2"/>
        <charset val="134"/>
      </rPr>
      <t>供水与水处理</t>
    </r>
  </si>
  <si>
    <r>
      <rPr>
        <sz val="12"/>
        <color theme="1"/>
        <rFont val="宋体"/>
        <family val="2"/>
        <charset val="134"/>
      </rPr>
      <t>空压与冷冻</t>
    </r>
  </si>
  <si>
    <r>
      <rPr>
        <sz val="12"/>
        <color theme="1"/>
        <rFont val="宋体"/>
        <family val="2"/>
        <charset val="134"/>
      </rPr>
      <t>仪表</t>
    </r>
  </si>
  <si>
    <r>
      <rPr>
        <sz val="12"/>
        <color theme="1"/>
        <rFont val="宋体"/>
        <family val="2"/>
        <charset val="134"/>
      </rPr>
      <t>环保</t>
    </r>
  </si>
  <si>
    <r>
      <rPr>
        <sz val="12"/>
        <color theme="1"/>
        <rFont val="宋体"/>
        <family val="2"/>
        <charset val="134"/>
      </rPr>
      <t>合</t>
    </r>
    <r>
      <rPr>
        <sz val="12"/>
        <color theme="1"/>
        <rFont val="Microsoft Sans Serif"/>
        <family val="2"/>
      </rPr>
      <t xml:space="preserve">  </t>
    </r>
    <r>
      <rPr>
        <sz val="12"/>
        <color theme="1"/>
        <rFont val="宋体"/>
        <family val="2"/>
        <charset val="134"/>
      </rPr>
      <t>计</t>
    </r>
  </si>
  <si>
    <r>
      <rPr>
        <b/>
        <sz val="12"/>
        <color theme="1"/>
        <rFont val="宋体"/>
        <family val="3"/>
        <charset val="134"/>
      </rPr>
      <t>辅助费用分配</t>
    </r>
    <r>
      <rPr>
        <b/>
        <sz val="12"/>
        <color theme="1"/>
        <rFont val="Microsoft Sans Serif"/>
        <family val="2"/>
      </rPr>
      <t xml:space="preserve">                                    </t>
    </r>
    <phoneticPr fontId="4" type="noConversion"/>
  </si>
  <si>
    <r>
      <rPr>
        <sz val="12"/>
        <color theme="1"/>
        <rFont val="宋体"/>
        <family val="2"/>
        <charset val="134"/>
      </rPr>
      <t>部</t>
    </r>
    <r>
      <rPr>
        <sz val="12"/>
        <color theme="1"/>
        <rFont val="Microsoft Sans Serif"/>
        <family val="2"/>
      </rPr>
      <t xml:space="preserve">   </t>
    </r>
    <r>
      <rPr>
        <sz val="12"/>
        <color theme="1"/>
        <rFont val="宋体"/>
        <family val="2"/>
        <charset val="134"/>
      </rPr>
      <t>门</t>
    </r>
    <phoneticPr fontId="2" type="noConversion"/>
  </si>
  <si>
    <r>
      <rPr>
        <sz val="12"/>
        <color theme="1"/>
        <rFont val="宋体"/>
        <family val="2"/>
        <charset val="134"/>
      </rPr>
      <t>合</t>
    </r>
    <r>
      <rPr>
        <sz val="12"/>
        <color theme="1"/>
        <rFont val="Microsoft Sans Serif"/>
        <family val="2"/>
      </rPr>
      <t xml:space="preserve"> </t>
    </r>
    <r>
      <rPr>
        <sz val="12"/>
        <color theme="1"/>
        <rFont val="宋体"/>
        <family val="2"/>
        <charset val="134"/>
      </rPr>
      <t>计</t>
    </r>
    <phoneticPr fontId="2" type="noConversion"/>
  </si>
  <si>
    <r>
      <t>103</t>
    </r>
    <r>
      <rPr>
        <sz val="12"/>
        <color theme="1"/>
        <rFont val="宋体"/>
        <family val="2"/>
        <charset val="134"/>
      </rPr>
      <t>合成车间、溶媒回收车间</t>
    </r>
    <phoneticPr fontId="2" type="noConversion"/>
  </si>
  <si>
    <r>
      <t>104</t>
    </r>
    <r>
      <rPr>
        <sz val="12"/>
        <color theme="1"/>
        <rFont val="宋体"/>
        <family val="2"/>
        <charset val="134"/>
      </rPr>
      <t>普通原料药车间</t>
    </r>
    <phoneticPr fontId="2" type="noConversion"/>
  </si>
  <si>
    <r>
      <t>105</t>
    </r>
    <r>
      <rPr>
        <sz val="12"/>
        <color theme="1"/>
        <rFont val="宋体"/>
        <family val="2"/>
        <charset val="134"/>
      </rPr>
      <t>头孢原料药车间</t>
    </r>
    <phoneticPr fontId="2" type="noConversion"/>
  </si>
  <si>
    <r>
      <t>106</t>
    </r>
    <r>
      <rPr>
        <sz val="12"/>
        <color theme="1"/>
        <rFont val="宋体"/>
        <family val="2"/>
        <charset val="134"/>
      </rPr>
      <t>车间</t>
    </r>
    <r>
      <rPr>
        <sz val="12"/>
        <color theme="1"/>
        <rFont val="Microsoft Sans Serif"/>
        <family val="2"/>
      </rPr>
      <t>(</t>
    </r>
    <r>
      <rPr>
        <sz val="12"/>
        <color theme="1"/>
        <rFont val="宋体"/>
        <family val="2"/>
        <charset val="134"/>
      </rPr>
      <t>新建）</t>
    </r>
    <phoneticPr fontId="2" type="noConversion"/>
  </si>
  <si>
    <r>
      <t>201</t>
    </r>
    <r>
      <rPr>
        <sz val="12"/>
        <color theme="1"/>
        <rFont val="宋体"/>
        <family val="2"/>
        <charset val="134"/>
      </rPr>
      <t>青霉素粉针车间</t>
    </r>
    <phoneticPr fontId="2" type="noConversion"/>
  </si>
  <si>
    <r>
      <t>202</t>
    </r>
    <r>
      <rPr>
        <sz val="12"/>
        <color theme="1"/>
        <rFont val="宋体"/>
        <family val="2"/>
        <charset val="134"/>
      </rPr>
      <t>头孢粉针车间</t>
    </r>
    <phoneticPr fontId="2" type="noConversion"/>
  </si>
  <si>
    <r>
      <t>203</t>
    </r>
    <r>
      <rPr>
        <sz val="12"/>
        <color theme="1"/>
        <rFont val="宋体"/>
        <family val="2"/>
        <charset val="134"/>
      </rPr>
      <t>冻干粉针车间</t>
    </r>
    <phoneticPr fontId="2" type="noConversion"/>
  </si>
  <si>
    <r>
      <t>204</t>
    </r>
    <r>
      <rPr>
        <sz val="12"/>
        <color theme="1"/>
        <rFont val="宋体"/>
        <family val="2"/>
        <charset val="134"/>
      </rPr>
      <t>胶囊车间</t>
    </r>
    <phoneticPr fontId="2" type="noConversion"/>
  </si>
  <si>
    <r>
      <t>205</t>
    </r>
    <r>
      <rPr>
        <sz val="12"/>
        <color theme="1"/>
        <rFont val="宋体"/>
        <family val="2"/>
        <charset val="134"/>
      </rPr>
      <t>冻干粉针</t>
    </r>
    <r>
      <rPr>
        <sz val="12"/>
        <color theme="1"/>
        <rFont val="Microsoft Sans Serif"/>
        <family val="2"/>
      </rPr>
      <t>(</t>
    </r>
    <r>
      <rPr>
        <sz val="12"/>
        <color theme="1"/>
        <rFont val="宋体"/>
        <family val="2"/>
        <charset val="134"/>
      </rPr>
      <t>肿瘤</t>
    </r>
    <r>
      <rPr>
        <sz val="12"/>
        <color theme="1"/>
        <rFont val="Microsoft Sans Serif"/>
        <family val="2"/>
      </rPr>
      <t>)</t>
    </r>
    <r>
      <rPr>
        <sz val="12"/>
        <color theme="1"/>
        <rFont val="宋体"/>
        <family val="2"/>
        <charset val="134"/>
      </rPr>
      <t>车间</t>
    </r>
    <phoneticPr fontId="2" type="noConversion"/>
  </si>
  <si>
    <r>
      <t>206</t>
    </r>
    <r>
      <rPr>
        <sz val="12"/>
        <color theme="1"/>
        <rFont val="宋体"/>
        <family val="2"/>
        <charset val="134"/>
      </rPr>
      <t>青霉素粉针二期车间</t>
    </r>
    <phoneticPr fontId="2" type="noConversion"/>
  </si>
  <si>
    <r>
      <rPr>
        <sz val="12"/>
        <color theme="1"/>
        <rFont val="宋体"/>
        <family val="2"/>
        <charset val="134"/>
      </rPr>
      <t>食堂</t>
    </r>
    <phoneticPr fontId="4" type="noConversion"/>
  </si>
  <si>
    <r>
      <rPr>
        <sz val="12"/>
        <color theme="1"/>
        <rFont val="宋体"/>
        <family val="2"/>
        <charset val="134"/>
      </rPr>
      <t>工程部</t>
    </r>
    <phoneticPr fontId="4" type="noConversion"/>
  </si>
  <si>
    <t>开利机组冷水机组</t>
    <phoneticPr fontId="6" type="noConversion"/>
  </si>
  <si>
    <t>中心仓库</t>
    <phoneticPr fontId="6" type="noConversion"/>
  </si>
  <si>
    <r>
      <rPr>
        <sz val="12"/>
        <rFont val="Times New Roman"/>
        <family val="1"/>
      </rPr>
      <t>部门</t>
    </r>
  </si>
  <si>
    <r>
      <rPr>
        <sz val="12"/>
        <rFont val="Times New Roman"/>
        <family val="1"/>
      </rPr>
      <t>供</t>
    </r>
    <r>
      <rPr>
        <sz val="12"/>
        <rFont val="Microsoft Sans Serif"/>
        <family val="2"/>
      </rPr>
      <t xml:space="preserve">   </t>
    </r>
    <r>
      <rPr>
        <sz val="12"/>
        <rFont val="Times New Roman"/>
        <family val="1"/>
      </rPr>
      <t>水</t>
    </r>
  </si>
  <si>
    <r>
      <rPr>
        <sz val="12"/>
        <rFont val="Times New Roman"/>
        <family val="1"/>
      </rPr>
      <t>供</t>
    </r>
    <r>
      <rPr>
        <sz val="12"/>
        <rFont val="Microsoft Sans Serif"/>
        <family val="2"/>
      </rPr>
      <t xml:space="preserve">   </t>
    </r>
    <r>
      <rPr>
        <sz val="12"/>
        <rFont val="Times New Roman"/>
        <family val="1"/>
      </rPr>
      <t>电</t>
    </r>
  </si>
  <si>
    <r>
      <rPr>
        <sz val="12"/>
        <rFont val="Times New Roman"/>
        <family val="1"/>
      </rPr>
      <t>供</t>
    </r>
    <r>
      <rPr>
        <sz val="12"/>
        <rFont val="Microsoft Sans Serif"/>
        <family val="2"/>
      </rPr>
      <t xml:space="preserve">   </t>
    </r>
    <r>
      <rPr>
        <sz val="12"/>
        <rFont val="Times New Roman"/>
        <family val="1"/>
      </rPr>
      <t>汽</t>
    </r>
  </si>
  <si>
    <r>
      <rPr>
        <sz val="12"/>
        <rFont val="Times New Roman"/>
        <family val="1"/>
      </rPr>
      <t>合</t>
    </r>
    <r>
      <rPr>
        <sz val="12"/>
        <rFont val="Microsoft Sans Serif"/>
        <family val="2"/>
      </rPr>
      <t xml:space="preserve">   </t>
    </r>
    <r>
      <rPr>
        <sz val="12"/>
        <rFont val="Times New Roman"/>
        <family val="1"/>
      </rPr>
      <t>计</t>
    </r>
  </si>
  <si>
    <r>
      <rPr>
        <sz val="12"/>
        <rFont val="宋体"/>
        <family val="3"/>
        <charset val="134"/>
      </rPr>
      <t>分配数</t>
    </r>
    <phoneticPr fontId="6" type="noConversion"/>
  </si>
  <si>
    <r>
      <rPr>
        <sz val="12"/>
        <rFont val="Times New Roman"/>
        <family val="1"/>
      </rPr>
      <t>分配率</t>
    </r>
  </si>
  <si>
    <r>
      <rPr>
        <sz val="12"/>
        <rFont val="Times New Roman"/>
        <family val="1"/>
      </rPr>
      <t>金额</t>
    </r>
  </si>
  <si>
    <r>
      <rPr>
        <sz val="12"/>
        <rFont val="Times New Roman"/>
        <family val="1"/>
      </rPr>
      <t>（元）</t>
    </r>
  </si>
  <si>
    <r>
      <t>101</t>
    </r>
    <r>
      <rPr>
        <sz val="12"/>
        <color theme="1"/>
        <rFont val="宋体"/>
        <family val="3"/>
        <charset val="134"/>
      </rPr>
      <t>苯唑西林钠车间</t>
    </r>
    <phoneticPr fontId="2" type="noConversion"/>
  </si>
  <si>
    <r>
      <t>102</t>
    </r>
    <r>
      <rPr>
        <sz val="12"/>
        <color theme="1"/>
        <rFont val="宋体"/>
        <family val="3"/>
        <charset val="134"/>
      </rPr>
      <t>冻干原料药车间</t>
    </r>
    <phoneticPr fontId="2" type="noConversion"/>
  </si>
  <si>
    <r>
      <t>103</t>
    </r>
    <r>
      <rPr>
        <sz val="12"/>
        <color theme="1"/>
        <rFont val="宋体"/>
        <family val="3"/>
        <charset val="134"/>
      </rPr>
      <t>合成车间、溶媒回收车间</t>
    </r>
    <phoneticPr fontId="2" type="noConversion"/>
  </si>
  <si>
    <r>
      <t>104</t>
    </r>
    <r>
      <rPr>
        <sz val="12"/>
        <color theme="1"/>
        <rFont val="宋体"/>
        <family val="3"/>
        <charset val="134"/>
      </rPr>
      <t>普通原料药车间</t>
    </r>
    <phoneticPr fontId="2" type="noConversion"/>
  </si>
  <si>
    <r>
      <t>201</t>
    </r>
    <r>
      <rPr>
        <sz val="12"/>
        <color theme="1"/>
        <rFont val="宋体"/>
        <family val="3"/>
        <charset val="134"/>
      </rPr>
      <t>青霉素粉针车间</t>
    </r>
    <phoneticPr fontId="2" type="noConversion"/>
  </si>
  <si>
    <r>
      <t>202</t>
    </r>
    <r>
      <rPr>
        <sz val="12"/>
        <color theme="1"/>
        <rFont val="宋体"/>
        <family val="3"/>
        <charset val="134"/>
      </rPr>
      <t>头孢粉针车间</t>
    </r>
    <phoneticPr fontId="2" type="noConversion"/>
  </si>
  <si>
    <r>
      <t>203</t>
    </r>
    <r>
      <rPr>
        <sz val="12"/>
        <color theme="1"/>
        <rFont val="宋体"/>
        <family val="3"/>
        <charset val="134"/>
      </rPr>
      <t>冻干粉针车间</t>
    </r>
    <phoneticPr fontId="2" type="noConversion"/>
  </si>
  <si>
    <r>
      <t>204</t>
    </r>
    <r>
      <rPr>
        <sz val="12"/>
        <color theme="1"/>
        <rFont val="宋体"/>
        <family val="3"/>
        <charset val="134"/>
      </rPr>
      <t>胶囊车间</t>
    </r>
    <phoneticPr fontId="2" type="noConversion"/>
  </si>
  <si>
    <r>
      <t>205</t>
    </r>
    <r>
      <rPr>
        <sz val="12"/>
        <color theme="1"/>
        <rFont val="宋体"/>
        <family val="3"/>
        <charset val="134"/>
      </rPr>
      <t>冻干粉针</t>
    </r>
    <r>
      <rPr>
        <sz val="12"/>
        <color theme="1"/>
        <rFont val="Microsoft Sans Serif"/>
        <family val="2"/>
      </rPr>
      <t>(</t>
    </r>
    <r>
      <rPr>
        <sz val="12"/>
        <color theme="1"/>
        <rFont val="宋体"/>
        <family val="3"/>
        <charset val="134"/>
      </rPr>
      <t>肿瘤</t>
    </r>
    <r>
      <rPr>
        <sz val="12"/>
        <color theme="1"/>
        <rFont val="Microsoft Sans Serif"/>
        <family val="2"/>
      </rPr>
      <t>)</t>
    </r>
    <r>
      <rPr>
        <sz val="12"/>
        <color theme="1"/>
        <rFont val="宋体"/>
        <family val="3"/>
        <charset val="134"/>
      </rPr>
      <t>车间</t>
    </r>
    <phoneticPr fontId="2" type="noConversion"/>
  </si>
  <si>
    <r>
      <t>206</t>
    </r>
    <r>
      <rPr>
        <sz val="12"/>
        <color theme="1"/>
        <rFont val="宋体"/>
        <family val="3"/>
        <charset val="134"/>
      </rPr>
      <t>青霉素粉针二期车间</t>
    </r>
    <phoneticPr fontId="2" type="noConversion"/>
  </si>
  <si>
    <r>
      <rPr>
        <sz val="12"/>
        <rFont val="宋体"/>
        <family val="3"/>
        <charset val="134"/>
      </rPr>
      <t>质量保证部</t>
    </r>
    <r>
      <rPr>
        <sz val="12"/>
        <rFont val="Microsoft Sans Serif"/>
        <family val="2"/>
      </rPr>
      <t>(</t>
    </r>
    <r>
      <rPr>
        <sz val="12"/>
        <rFont val="宋体"/>
        <family val="3"/>
        <charset val="134"/>
      </rPr>
      <t>质检与动物房</t>
    </r>
    <r>
      <rPr>
        <sz val="12"/>
        <rFont val="Microsoft Sans Serif"/>
        <family val="2"/>
      </rPr>
      <t>)</t>
    </r>
    <phoneticPr fontId="2" type="noConversion"/>
  </si>
  <si>
    <r>
      <rPr>
        <sz val="12"/>
        <rFont val="宋体"/>
        <family val="3"/>
        <charset val="134"/>
      </rPr>
      <t>生活后勤</t>
    </r>
    <r>
      <rPr>
        <sz val="12"/>
        <rFont val="Microsoft Sans Serif"/>
        <family val="2"/>
      </rPr>
      <t>(</t>
    </r>
    <r>
      <rPr>
        <sz val="12"/>
        <rFont val="宋体"/>
        <family val="3"/>
        <charset val="134"/>
      </rPr>
      <t>食堂与宿舍</t>
    </r>
    <r>
      <rPr>
        <sz val="12"/>
        <rFont val="Microsoft Sans Serif"/>
        <family val="2"/>
      </rPr>
      <t>)</t>
    </r>
    <phoneticPr fontId="6" type="noConversion"/>
  </si>
  <si>
    <r>
      <rPr>
        <sz val="12"/>
        <rFont val="Times New Roman"/>
        <family val="1"/>
      </rPr>
      <t>环保</t>
    </r>
  </si>
  <si>
    <r>
      <rPr>
        <sz val="12"/>
        <rFont val="Times New Roman"/>
        <family val="1"/>
      </rPr>
      <t>合</t>
    </r>
    <r>
      <rPr>
        <sz val="12"/>
        <rFont val="Microsoft Sans Serif"/>
        <family val="2"/>
      </rPr>
      <t xml:space="preserve">        </t>
    </r>
    <r>
      <rPr>
        <sz val="12"/>
        <rFont val="Times New Roman"/>
        <family val="1"/>
      </rPr>
      <t>计</t>
    </r>
  </si>
  <si>
    <r>
      <rPr>
        <sz val="12"/>
        <rFont val="宋体"/>
        <family val="3"/>
        <charset val="134"/>
      </rPr>
      <t>备注一：分配率数据来源</t>
    </r>
    <r>
      <rPr>
        <sz val="12"/>
        <rFont val="Microsoft Sans Serif"/>
        <family val="2"/>
      </rPr>
      <t>--</t>
    </r>
    <r>
      <rPr>
        <sz val="12"/>
        <rFont val="宋体"/>
        <family val="3"/>
        <charset val="134"/>
      </rPr>
      <t>综合管理部（能源分配计算表）本月为暂估数据</t>
    </r>
    <phoneticPr fontId="6" type="noConversion"/>
  </si>
  <si>
    <r>
      <rPr>
        <sz val="12"/>
        <rFont val="宋体"/>
        <family val="3"/>
        <charset val="134"/>
      </rPr>
      <t>备注二：合计金额数据来源</t>
    </r>
    <r>
      <rPr>
        <sz val="12"/>
        <rFont val="Microsoft Sans Serif"/>
        <family val="2"/>
      </rPr>
      <t>--</t>
    </r>
    <r>
      <rPr>
        <sz val="12"/>
        <rFont val="宋体"/>
        <family val="3"/>
        <charset val="134"/>
      </rPr>
      <t>用友财务软件</t>
    </r>
    <r>
      <rPr>
        <sz val="12"/>
        <rFont val="Microsoft Sans Serif"/>
        <family val="2"/>
      </rPr>
      <t>--</t>
    </r>
    <r>
      <rPr>
        <sz val="12"/>
        <rFont val="宋体"/>
        <family val="3"/>
        <charset val="134"/>
      </rPr>
      <t>部门总账</t>
    </r>
    <r>
      <rPr>
        <sz val="12"/>
        <rFont val="Microsoft Sans Serif"/>
        <family val="2"/>
      </rPr>
      <t>--</t>
    </r>
    <r>
      <rPr>
        <sz val="12"/>
        <rFont val="宋体"/>
        <family val="3"/>
        <charset val="134"/>
      </rPr>
      <t>科目：生产成本</t>
    </r>
    <r>
      <rPr>
        <sz val="12"/>
        <rFont val="Microsoft Sans Serif"/>
        <family val="2"/>
      </rPr>
      <t>/</t>
    </r>
    <r>
      <rPr>
        <sz val="12"/>
        <rFont val="宋体"/>
        <family val="3"/>
        <charset val="134"/>
      </rPr>
      <t>辅助生产成本（</t>
    </r>
    <r>
      <rPr>
        <sz val="12"/>
        <rFont val="Microsoft Sans Serif"/>
        <family val="2"/>
      </rPr>
      <t>410102</t>
    </r>
    <r>
      <rPr>
        <sz val="12"/>
        <rFont val="宋体"/>
        <family val="3"/>
        <charset val="134"/>
      </rPr>
      <t>）</t>
    </r>
    <phoneticPr fontId="6" type="noConversion"/>
  </si>
  <si>
    <t>2017.1</t>
    <phoneticPr fontId="6" type="noConversion"/>
  </si>
  <si>
    <r>
      <rPr>
        <b/>
        <sz val="12"/>
        <rFont val="黑体"/>
        <family val="3"/>
        <charset val="134"/>
      </rPr>
      <t>能源分配</t>
    </r>
    <r>
      <rPr>
        <b/>
        <sz val="12"/>
        <rFont val="Microsoft Sans Serif"/>
        <family val="2"/>
      </rPr>
      <t xml:space="preserve">                                               </t>
    </r>
    <phoneticPr fontId="6" type="noConversion"/>
  </si>
  <si>
    <t>春节放假</t>
    <phoneticPr fontId="2" type="noConversion"/>
  </si>
  <si>
    <t>春节放假</t>
    <phoneticPr fontId="2" type="noConversion"/>
  </si>
  <si>
    <r>
      <rPr>
        <b/>
        <sz val="10"/>
        <color theme="1"/>
        <rFont val="宋体"/>
        <family val="3"/>
        <charset val="134"/>
      </rPr>
      <t>本月</t>
    </r>
    <r>
      <rPr>
        <b/>
        <sz val="10"/>
        <color theme="1"/>
        <rFont val="Microsoft Sans Serif"/>
        <family val="2"/>
      </rPr>
      <t>24</t>
    </r>
    <r>
      <rPr>
        <b/>
        <sz val="10"/>
        <color theme="1"/>
        <rFont val="宋体"/>
        <family val="3"/>
        <charset val="134"/>
      </rPr>
      <t>号起开始春节放假共计</t>
    </r>
    <r>
      <rPr>
        <b/>
        <sz val="10"/>
        <color theme="1"/>
        <rFont val="Microsoft Sans Serif"/>
        <family val="2"/>
      </rPr>
      <t>8</t>
    </r>
    <r>
      <rPr>
        <b/>
        <sz val="10"/>
        <color theme="1"/>
        <rFont val="宋体"/>
        <family val="3"/>
        <charset val="134"/>
      </rPr>
      <t>天</t>
    </r>
    <phoneticPr fontId="2" type="noConversion"/>
  </si>
  <si>
    <t>制造费用下折旧费用8/31计停工损失，其余不受影响</t>
    <phoneticPr fontId="2" type="noConversion"/>
  </si>
  <si>
    <t>全月停产 其中24号起开始春节放假</t>
    <phoneticPr fontId="2" type="noConversion"/>
  </si>
  <si>
    <t>停工损失</t>
    <phoneticPr fontId="4" type="noConversion"/>
  </si>
  <si>
    <t>配合研发试生产RD03项目</t>
    <phoneticPr fontId="2" type="noConversion"/>
  </si>
  <si>
    <t>研发RD04项目相关</t>
    <phoneticPr fontId="2" type="noConversion"/>
  </si>
  <si>
    <t>停工损失</t>
    <phoneticPr fontId="2" type="noConversion"/>
  </si>
  <si>
    <r>
      <rPr>
        <sz val="12"/>
        <color theme="1"/>
        <rFont val="宋体"/>
        <family val="2"/>
        <charset val="134"/>
      </rPr>
      <t>事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项：关于</t>
    </r>
    <r>
      <rPr>
        <sz val="12"/>
        <rFont val="Microsoft Sans Serif"/>
        <family val="2"/>
      </rPr>
      <t>2017</t>
    </r>
    <r>
      <rPr>
        <sz val="12"/>
        <rFont val="宋体"/>
        <family val="3"/>
        <charset val="134"/>
      </rPr>
      <t>年</t>
    </r>
    <r>
      <rPr>
        <sz val="12"/>
        <rFont val="Microsoft Sans Serif"/>
        <family val="2"/>
      </rPr>
      <t>1</t>
    </r>
    <r>
      <rPr>
        <sz val="12"/>
        <rFont val="宋体"/>
        <family val="3"/>
        <charset val="134"/>
      </rPr>
      <t>月各生产车间工作安排的说明及财务账务处理</t>
    </r>
    <phoneticPr fontId="4" type="noConversion"/>
  </si>
  <si>
    <r>
      <rPr>
        <sz val="12"/>
        <color theme="1"/>
        <rFont val="宋体"/>
        <family val="2"/>
        <charset val="134"/>
      </rPr>
      <t>日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期：</t>
    </r>
    <r>
      <rPr>
        <sz val="12"/>
        <rFont val="Microsoft Sans Serif"/>
        <family val="2"/>
      </rPr>
      <t>2017-1-23</t>
    </r>
    <phoneticPr fontId="4" type="noConversion"/>
  </si>
  <si>
    <t>101苯唑西林钠车间</t>
  </si>
  <si>
    <t>104普通原料药车间</t>
  </si>
  <si>
    <t>205冻干粉针(肿瘤)车间</t>
  </si>
  <si>
    <t>206青霉素粉针二期车间</t>
  </si>
  <si>
    <t>2017.1.23</t>
    <phoneticPr fontId="2" type="noConversion"/>
  </si>
  <si>
    <t>RD04</t>
    <phoneticPr fontId="2" type="noConversion"/>
  </si>
  <si>
    <r>
      <rPr>
        <sz val="12"/>
        <rFont val="宋体"/>
        <family val="3"/>
        <charset val="134"/>
      </rPr>
      <t>经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由：财务部</t>
    </r>
    <phoneticPr fontId="2" type="noConversion"/>
  </si>
  <si>
    <t>财务部</t>
    <phoneticPr fontId="2" type="noConversion"/>
  </si>
  <si>
    <r>
      <rPr>
        <sz val="12"/>
        <rFont val="宋体"/>
        <family val="3"/>
        <charset val="134"/>
      </rPr>
      <t>送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至：总经理、财务总监</t>
    </r>
    <phoneticPr fontId="2" type="noConversion"/>
  </si>
  <si>
    <t>产品分摊制造费用</t>
    <phoneticPr fontId="2" type="noConversion"/>
  </si>
  <si>
    <r>
      <rPr>
        <sz val="10"/>
        <color theme="1"/>
        <rFont val="宋体"/>
        <family val="3"/>
        <charset val="134"/>
      </rPr>
      <t>研发</t>
    </r>
    <phoneticPr fontId="2" type="noConversion"/>
  </si>
  <si>
    <r>
      <rPr>
        <sz val="10"/>
        <color theme="1"/>
        <rFont val="宋体"/>
        <family val="3"/>
        <charset val="134"/>
      </rPr>
      <t>合计分摊</t>
    </r>
    <phoneticPr fontId="2" type="noConversion"/>
  </si>
  <si>
    <r>
      <rPr>
        <b/>
        <sz val="10"/>
        <color theme="1"/>
        <rFont val="宋体"/>
        <family val="3"/>
        <charset val="134"/>
      </rPr>
      <t>本月</t>
    </r>
    <r>
      <rPr>
        <b/>
        <sz val="10"/>
        <color theme="1"/>
        <rFont val="Microsoft Sans Serif"/>
        <family val="2"/>
      </rPr>
      <t>16</t>
    </r>
    <r>
      <rPr>
        <b/>
        <sz val="10"/>
        <color theme="1"/>
        <rFont val="宋体"/>
        <family val="3"/>
        <charset val="134"/>
      </rPr>
      <t>号车间证件到期开始停产</t>
    </r>
    <phoneticPr fontId="2" type="noConversion"/>
  </si>
  <si>
    <t>制造费用下折旧费用16/31计停工损失，其余不受影响</t>
    <phoneticPr fontId="2" type="noConversion"/>
  </si>
  <si>
    <t>本月入库及上月结存</t>
    <phoneticPr fontId="2" type="noConversion"/>
  </si>
  <si>
    <r>
      <rPr>
        <b/>
        <sz val="10"/>
        <rFont val="宋体"/>
        <family val="3"/>
        <charset val="134"/>
      </rPr>
      <t>生产工时比例分摊工资费用</t>
    </r>
    <r>
      <rPr>
        <b/>
        <sz val="10"/>
        <rFont val="Microsoft Sans Serif"/>
        <family val="2"/>
      </rPr>
      <t xml:space="preserve"> </t>
    </r>
    <r>
      <rPr>
        <b/>
        <sz val="10"/>
        <rFont val="宋体"/>
        <family val="3"/>
        <charset val="134"/>
      </rPr>
      <t>冻干工时比例分摊能源费用与制造费用</t>
    </r>
    <phoneticPr fontId="2" type="noConversion"/>
  </si>
  <si>
    <t>本月入库</t>
    <phoneticPr fontId="2" type="noConversion"/>
  </si>
  <si>
    <t>药品研发部</t>
    <phoneticPr fontId="2" type="noConversion"/>
  </si>
  <si>
    <t>水</t>
    <phoneticPr fontId="2" type="noConversion"/>
  </si>
  <si>
    <t>电</t>
    <phoneticPr fontId="2" type="noConversion"/>
  </si>
  <si>
    <t>汽</t>
    <phoneticPr fontId="2" type="noConversion"/>
  </si>
  <si>
    <r>
      <t>2017.2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</si>
  <si>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</si>
  <si>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</si>
  <si>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2017.2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</si>
  <si>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2017.2</t>
    </r>
    <r>
      <rPr>
        <b/>
        <sz val="10"/>
        <rFont val="宋体"/>
        <family val="3"/>
        <charset val="134"/>
      </rPr>
      <t>月份霉素粉针剂车间三项费用分配表</t>
    </r>
    <phoneticPr fontId="6" type="noConversion"/>
  </si>
  <si>
    <r>
      <t>2017.2</t>
    </r>
    <r>
      <rPr>
        <b/>
        <sz val="10"/>
        <rFont val="宋体"/>
        <family val="3"/>
        <charset val="134"/>
      </rPr>
      <t>月份头孢粉针剂车间三项费用分配表</t>
    </r>
    <phoneticPr fontId="6" type="noConversion"/>
  </si>
  <si>
    <r>
      <t>2017.2</t>
    </r>
    <r>
      <rPr>
        <b/>
        <sz val="10"/>
        <rFont val="宋体"/>
        <family val="3"/>
        <charset val="134"/>
      </rPr>
      <t>月份冻干粉针剂车间三项费用分配表</t>
    </r>
    <phoneticPr fontId="2" type="noConversion"/>
  </si>
  <si>
    <r>
      <t>2017.2</t>
    </r>
    <r>
      <rPr>
        <b/>
        <sz val="10"/>
        <rFont val="宋体"/>
        <family val="3"/>
        <charset val="134"/>
      </rPr>
      <t>月份胶囊剂车间三项费用分配表</t>
    </r>
    <phoneticPr fontId="6" type="noConversion"/>
  </si>
  <si>
    <r>
      <t>2017.2</t>
    </r>
    <r>
      <rPr>
        <b/>
        <sz val="10"/>
        <rFont val="宋体"/>
        <family val="3"/>
        <charset val="134"/>
      </rPr>
      <t>月份冻干抗肿瘤车间三项费用分配表</t>
    </r>
    <phoneticPr fontId="6" type="noConversion"/>
  </si>
  <si>
    <t>2017.2</t>
    <phoneticPr fontId="6" type="noConversion"/>
  </si>
  <si>
    <t>RD02</t>
    <phoneticPr fontId="2" type="noConversion"/>
  </si>
  <si>
    <t>RD06</t>
    <phoneticPr fontId="2" type="noConversion"/>
  </si>
  <si>
    <t>RD08-4</t>
    <phoneticPr fontId="2" type="noConversion"/>
  </si>
  <si>
    <t>RD08-11</t>
    <phoneticPr fontId="2" type="noConversion"/>
  </si>
  <si>
    <t>RD09</t>
    <phoneticPr fontId="2" type="noConversion"/>
  </si>
  <si>
    <t>RD10</t>
    <phoneticPr fontId="2" type="noConversion"/>
  </si>
  <si>
    <t>RD11</t>
    <phoneticPr fontId="2" type="noConversion"/>
  </si>
  <si>
    <t>RD12</t>
    <phoneticPr fontId="2" type="noConversion"/>
  </si>
  <si>
    <t>RD13-7</t>
    <phoneticPr fontId="2" type="noConversion"/>
  </si>
  <si>
    <t>RD13-8</t>
    <phoneticPr fontId="2" type="noConversion"/>
  </si>
  <si>
    <t>RD13-9</t>
    <phoneticPr fontId="2" type="noConversion"/>
  </si>
  <si>
    <t>RD13-10</t>
    <phoneticPr fontId="2" type="noConversion"/>
  </si>
  <si>
    <t>RD14</t>
    <phoneticPr fontId="2" type="noConversion"/>
  </si>
  <si>
    <t>工时数</t>
    <phoneticPr fontId="2" type="noConversion"/>
  </si>
  <si>
    <t>一月</t>
    <phoneticPr fontId="2" type="noConversion"/>
  </si>
  <si>
    <t>二月</t>
    <phoneticPr fontId="2" type="noConversion"/>
  </si>
  <si>
    <r>
      <rPr>
        <sz val="12"/>
        <color theme="1"/>
        <rFont val="宋体"/>
        <family val="2"/>
        <charset val="134"/>
      </rPr>
      <t>事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项：关于</t>
    </r>
    <r>
      <rPr>
        <sz val="12"/>
        <rFont val="Microsoft Sans Serif"/>
        <family val="2"/>
      </rPr>
      <t>2017</t>
    </r>
    <r>
      <rPr>
        <sz val="12"/>
        <rFont val="宋体"/>
        <family val="3"/>
        <charset val="134"/>
      </rPr>
      <t>年</t>
    </r>
    <r>
      <rPr>
        <sz val="12"/>
        <rFont val="Microsoft Sans Serif"/>
        <family val="2"/>
      </rPr>
      <t>2</t>
    </r>
    <r>
      <rPr>
        <sz val="12"/>
        <rFont val="宋体"/>
        <family val="3"/>
        <charset val="134"/>
      </rPr>
      <t>月各生产车间工作安排的说明及财务账务处理</t>
    </r>
    <phoneticPr fontId="4" type="noConversion"/>
  </si>
  <si>
    <r>
      <rPr>
        <sz val="12"/>
        <color theme="1"/>
        <rFont val="宋体"/>
        <family val="2"/>
        <charset val="134"/>
      </rPr>
      <t>日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期：</t>
    </r>
    <r>
      <rPr>
        <sz val="12"/>
        <rFont val="Microsoft Sans Serif"/>
        <family val="2"/>
      </rPr>
      <t>2017-2-27</t>
    </r>
    <phoneticPr fontId="4" type="noConversion"/>
  </si>
  <si>
    <t>材料</t>
    <phoneticPr fontId="2" type="noConversion"/>
  </si>
  <si>
    <t>停工</t>
    <phoneticPr fontId="2" type="noConversion"/>
  </si>
  <si>
    <r>
      <t>2017.2</t>
    </r>
    <r>
      <rPr>
        <b/>
        <sz val="10"/>
        <rFont val="宋体"/>
        <family val="3"/>
        <charset val="134"/>
      </rPr>
      <t>月份青霉素粉针剂二期车间三项费用分配表</t>
    </r>
    <phoneticPr fontId="6" type="noConversion"/>
  </si>
  <si>
    <r>
      <t>月初延续春节放假</t>
    </r>
    <r>
      <rPr>
        <b/>
        <sz val="10"/>
        <color theme="1"/>
        <rFont val="Microsoft Sans Serif"/>
        <family val="2"/>
      </rPr>
      <t>5</t>
    </r>
    <r>
      <rPr>
        <b/>
        <sz val="10"/>
        <color theme="1"/>
        <rFont val="宋体"/>
        <family val="3"/>
        <charset val="134"/>
      </rPr>
      <t>天，折旧</t>
    </r>
    <r>
      <rPr>
        <b/>
        <sz val="10"/>
        <color theme="1"/>
        <rFont val="Microsoft Sans Serif"/>
        <family val="2"/>
      </rPr>
      <t>5/28</t>
    </r>
    <r>
      <rPr>
        <b/>
        <sz val="10"/>
        <color theme="1"/>
        <rFont val="宋体"/>
        <family val="3"/>
        <charset val="134"/>
      </rPr>
      <t>停工损失</t>
    </r>
    <phoneticPr fontId="2" type="noConversion"/>
  </si>
  <si>
    <t>月初延续春节放假5天，全月停产，核算停工损失</t>
    <phoneticPr fontId="2" type="noConversion"/>
  </si>
  <si>
    <t>停工损失</t>
    <phoneticPr fontId="2" type="noConversion"/>
  </si>
  <si>
    <r>
      <rPr>
        <b/>
        <sz val="10"/>
        <color theme="1"/>
        <rFont val="宋体"/>
        <family val="3"/>
        <charset val="134"/>
      </rPr>
      <t>月初延续春节放假</t>
    </r>
    <r>
      <rPr>
        <b/>
        <sz val="10"/>
        <color theme="1"/>
        <rFont val="Microsoft Sans Serif"/>
        <family val="2"/>
      </rPr>
      <t>5</t>
    </r>
    <r>
      <rPr>
        <b/>
        <sz val="10"/>
        <color theme="1"/>
        <rFont val="宋体"/>
        <family val="3"/>
        <charset val="134"/>
      </rPr>
      <t>天，月末生产</t>
    </r>
    <r>
      <rPr>
        <b/>
        <sz val="10"/>
        <color theme="1"/>
        <rFont val="Microsoft Sans Serif"/>
        <family val="2"/>
      </rPr>
      <t>4</t>
    </r>
    <r>
      <rPr>
        <b/>
        <sz val="10"/>
        <color theme="1"/>
        <rFont val="宋体"/>
        <family val="3"/>
        <charset val="134"/>
      </rPr>
      <t>天，折旧</t>
    </r>
    <r>
      <rPr>
        <b/>
        <sz val="10"/>
        <color theme="1"/>
        <rFont val="Microsoft Sans Serif"/>
        <family val="2"/>
      </rPr>
      <t>24/28</t>
    </r>
    <r>
      <rPr>
        <b/>
        <sz val="10"/>
        <color theme="1"/>
        <rFont val="宋体"/>
        <family val="3"/>
        <charset val="134"/>
      </rPr>
      <t>停工损失</t>
    </r>
    <phoneticPr fontId="2" type="noConversion"/>
  </si>
  <si>
    <t>配合研发</t>
    <phoneticPr fontId="2" type="noConversion"/>
  </si>
  <si>
    <r>
      <t>月初延续春节放假</t>
    </r>
    <r>
      <rPr>
        <b/>
        <sz val="10"/>
        <color theme="1"/>
        <rFont val="Microsoft Sans Serif"/>
        <family val="2"/>
      </rPr>
      <t>5</t>
    </r>
    <r>
      <rPr>
        <b/>
        <sz val="10"/>
        <color theme="1"/>
        <rFont val="宋体"/>
        <family val="3"/>
        <charset val="134"/>
      </rPr>
      <t>天，折旧</t>
    </r>
    <r>
      <rPr>
        <b/>
        <sz val="10"/>
        <color theme="1"/>
        <rFont val="Microsoft Sans Serif"/>
        <family val="2"/>
      </rPr>
      <t>5/28</t>
    </r>
    <r>
      <rPr>
        <b/>
        <sz val="10"/>
        <color theme="1"/>
        <rFont val="宋体"/>
        <family val="3"/>
        <charset val="134"/>
      </rPr>
      <t>停工损失，其余配合研发项目，核算研发费</t>
    </r>
    <phoneticPr fontId="2" type="noConversion"/>
  </si>
  <si>
    <t>2017.2.27</t>
    <phoneticPr fontId="2" type="noConversion"/>
  </si>
  <si>
    <t>三项费用结余</t>
    <phoneticPr fontId="2" type="noConversion"/>
  </si>
  <si>
    <r>
      <t>201</t>
    </r>
    <r>
      <rPr>
        <sz val="12"/>
        <color theme="1"/>
        <rFont val="宋体"/>
        <family val="2"/>
        <charset val="134"/>
      </rPr>
      <t>青霉素粉针车间</t>
    </r>
    <phoneticPr fontId="2" type="noConversion"/>
  </si>
  <si>
    <t>电</t>
    <phoneticPr fontId="2" type="noConversion"/>
  </si>
  <si>
    <t>汽</t>
    <phoneticPr fontId="2" type="noConversion"/>
  </si>
  <si>
    <r>
      <t>2017.3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101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</si>
  <si>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102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</si>
  <si>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103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</si>
  <si>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2017.3</t>
    </r>
    <r>
      <rPr>
        <b/>
        <sz val="10"/>
        <rFont val="宋体"/>
        <family val="3"/>
        <charset val="134"/>
      </rPr>
      <t>月份</t>
    </r>
    <r>
      <rPr>
        <b/>
        <sz val="10"/>
        <rFont val="Microsoft Sans Serif"/>
        <family val="2"/>
      </rPr>
      <t>104</t>
    </r>
    <r>
      <rPr>
        <b/>
        <sz val="10"/>
        <rFont val="宋体"/>
        <family val="3"/>
        <charset val="134"/>
      </rPr>
      <t>车间三项费用分配表</t>
    </r>
    <phoneticPr fontId="4" type="noConversion"/>
  </si>
  <si>
    <r>
      <t>2017.3</t>
    </r>
    <r>
      <rPr>
        <b/>
        <sz val="10"/>
        <rFont val="宋体"/>
        <family val="3"/>
        <charset val="134"/>
      </rPr>
      <t>月份霉素粉针剂车间三项费用分配表</t>
    </r>
    <phoneticPr fontId="6" type="noConversion"/>
  </si>
  <si>
    <r>
      <t>2017.3</t>
    </r>
    <r>
      <rPr>
        <b/>
        <sz val="10"/>
        <rFont val="宋体"/>
        <family val="3"/>
        <charset val="134"/>
      </rPr>
      <t>月份头孢粉针剂车间三项费用分配表</t>
    </r>
    <phoneticPr fontId="6" type="noConversion"/>
  </si>
  <si>
    <r>
      <t>2017.3</t>
    </r>
    <r>
      <rPr>
        <b/>
        <sz val="10"/>
        <rFont val="宋体"/>
        <family val="3"/>
        <charset val="134"/>
      </rPr>
      <t>月份冻干粉针剂车间三项费用分配表</t>
    </r>
    <phoneticPr fontId="2" type="noConversion"/>
  </si>
  <si>
    <r>
      <t>2017.3</t>
    </r>
    <r>
      <rPr>
        <b/>
        <sz val="10"/>
        <rFont val="宋体"/>
        <family val="3"/>
        <charset val="134"/>
      </rPr>
      <t>月份胶囊剂车间三项费用分配表</t>
    </r>
    <phoneticPr fontId="6" type="noConversion"/>
  </si>
  <si>
    <r>
      <t>2017.3</t>
    </r>
    <r>
      <rPr>
        <b/>
        <sz val="10"/>
        <rFont val="宋体"/>
        <family val="3"/>
        <charset val="134"/>
      </rPr>
      <t>月份冻干抗肿瘤车间三项费用分配表</t>
    </r>
    <phoneticPr fontId="6" type="noConversion"/>
  </si>
  <si>
    <r>
      <t>2017.3</t>
    </r>
    <r>
      <rPr>
        <b/>
        <sz val="10"/>
        <rFont val="宋体"/>
        <family val="3"/>
        <charset val="134"/>
      </rPr>
      <t>月份青霉素粉针剂二期车间三项费用分配表</t>
    </r>
    <phoneticPr fontId="6" type="noConversion"/>
  </si>
  <si>
    <t>2017.3</t>
    <phoneticPr fontId="6" type="noConversion"/>
  </si>
  <si>
    <t>三月</t>
    <phoneticPr fontId="2" type="noConversion"/>
  </si>
  <si>
    <r>
      <t>104</t>
    </r>
    <r>
      <rPr>
        <sz val="12"/>
        <color theme="1"/>
        <rFont val="宋体"/>
        <family val="2"/>
        <charset val="134"/>
      </rPr>
      <t>普通原料药车间</t>
    </r>
  </si>
  <si>
    <r>
      <t>205</t>
    </r>
    <r>
      <rPr>
        <sz val="12"/>
        <color theme="1"/>
        <rFont val="宋体"/>
        <family val="2"/>
        <charset val="134"/>
      </rPr>
      <t>冻干粉针</t>
    </r>
    <r>
      <rPr>
        <sz val="12"/>
        <color theme="1"/>
        <rFont val="Microsoft Sans Serif"/>
        <family val="2"/>
      </rPr>
      <t>(</t>
    </r>
    <r>
      <rPr>
        <sz val="12"/>
        <color theme="1"/>
        <rFont val="宋体"/>
        <family val="2"/>
        <charset val="134"/>
      </rPr>
      <t>肿瘤</t>
    </r>
    <r>
      <rPr>
        <sz val="12"/>
        <color theme="1"/>
        <rFont val="Microsoft Sans Serif"/>
        <family val="2"/>
      </rPr>
      <t>)</t>
    </r>
    <r>
      <rPr>
        <sz val="12"/>
        <color theme="1"/>
        <rFont val="宋体"/>
        <family val="2"/>
        <charset val="134"/>
      </rPr>
      <t>车间</t>
    </r>
  </si>
  <si>
    <r>
      <rPr>
        <sz val="12"/>
        <color theme="1"/>
        <rFont val="宋体"/>
        <family val="2"/>
        <charset val="134"/>
      </rPr>
      <t>事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项：关于</t>
    </r>
    <r>
      <rPr>
        <sz val="12"/>
        <rFont val="Microsoft Sans Serif"/>
        <family val="2"/>
      </rPr>
      <t>2017</t>
    </r>
    <r>
      <rPr>
        <sz val="12"/>
        <rFont val="宋体"/>
        <family val="3"/>
        <charset val="134"/>
      </rPr>
      <t>年</t>
    </r>
    <r>
      <rPr>
        <sz val="12"/>
        <rFont val="Microsoft Sans Serif"/>
        <family val="2"/>
      </rPr>
      <t>3</t>
    </r>
    <r>
      <rPr>
        <sz val="12"/>
        <rFont val="宋体"/>
        <family val="3"/>
        <charset val="134"/>
      </rPr>
      <t>月各生产车间工作安排的说明及财务账务处理</t>
    </r>
    <phoneticPr fontId="4" type="noConversion"/>
  </si>
  <si>
    <r>
      <rPr>
        <sz val="12"/>
        <color theme="1"/>
        <rFont val="宋体"/>
        <family val="2"/>
        <charset val="134"/>
      </rPr>
      <t>日</t>
    </r>
    <r>
      <rPr>
        <sz val="12"/>
        <rFont val="Microsoft Sans Serif"/>
        <family val="2"/>
      </rPr>
      <t xml:space="preserve"> </t>
    </r>
    <r>
      <rPr>
        <sz val="12"/>
        <rFont val="宋体"/>
        <family val="3"/>
        <charset val="134"/>
      </rPr>
      <t>期：</t>
    </r>
    <r>
      <rPr>
        <sz val="12"/>
        <rFont val="Microsoft Sans Serif"/>
        <family val="2"/>
      </rPr>
      <t>2017-3-29</t>
    </r>
    <phoneticPr fontId="4" type="noConversion"/>
  </si>
  <si>
    <t>2017.3.29</t>
    <phoneticPr fontId="2" type="noConversion"/>
  </si>
  <si>
    <t>配合研发</t>
    <phoneticPr fontId="2" type="noConversion"/>
  </si>
  <si>
    <t>正常生产</t>
    <phoneticPr fontId="2" type="noConversion"/>
  </si>
  <si>
    <r>
      <t>103</t>
    </r>
    <r>
      <rPr>
        <sz val="12"/>
        <color theme="1"/>
        <rFont val="宋体"/>
        <family val="2"/>
        <charset val="134"/>
      </rPr>
      <t>合成车间、溶媒回收车间</t>
    </r>
  </si>
  <si>
    <t>RD14</t>
  </si>
  <si>
    <t>RD09</t>
  </si>
  <si>
    <r>
      <t>101</t>
    </r>
    <r>
      <rPr>
        <sz val="12"/>
        <color theme="1"/>
        <rFont val="宋体"/>
        <family val="2"/>
        <charset val="134"/>
      </rPr>
      <t>苯唑西林钠车间</t>
    </r>
  </si>
  <si>
    <r>
      <t>102</t>
    </r>
    <r>
      <rPr>
        <sz val="12"/>
        <color theme="1"/>
        <rFont val="宋体"/>
        <family val="2"/>
        <charset val="134"/>
      </rPr>
      <t>冻干原料药车间</t>
    </r>
  </si>
  <si>
    <r>
      <t>201</t>
    </r>
    <r>
      <rPr>
        <sz val="12"/>
        <color theme="1"/>
        <rFont val="宋体"/>
        <family val="2"/>
        <charset val="134"/>
      </rPr>
      <t>青霉素粉针车间</t>
    </r>
  </si>
  <si>
    <r>
      <t>202</t>
    </r>
    <r>
      <rPr>
        <sz val="12"/>
        <color theme="1"/>
        <rFont val="宋体"/>
        <family val="2"/>
        <charset val="134"/>
      </rPr>
      <t>头孢粉针车间</t>
    </r>
  </si>
  <si>
    <r>
      <t>203</t>
    </r>
    <r>
      <rPr>
        <sz val="12"/>
        <color theme="1"/>
        <rFont val="宋体"/>
        <family val="2"/>
        <charset val="134"/>
      </rPr>
      <t>冻干粉针车间</t>
    </r>
  </si>
  <si>
    <r>
      <t>204</t>
    </r>
    <r>
      <rPr>
        <sz val="12"/>
        <color theme="1"/>
        <rFont val="宋体"/>
        <family val="2"/>
        <charset val="134"/>
      </rPr>
      <t>胶囊车间</t>
    </r>
  </si>
  <si>
    <r>
      <t>206</t>
    </r>
    <r>
      <rPr>
        <sz val="12"/>
        <color theme="1"/>
        <rFont val="宋体"/>
        <family val="2"/>
        <charset val="134"/>
      </rPr>
      <t>青霉素粉针二期车间</t>
    </r>
  </si>
  <si>
    <r>
      <rPr>
        <sz val="12"/>
        <rFont val="宋体"/>
        <family val="3"/>
        <charset val="134"/>
      </rPr>
      <t>根据公司生产安排，相关车间</t>
    </r>
    <r>
      <rPr>
        <sz val="12"/>
        <rFont val="Microsoft Sans Serif"/>
        <family val="2"/>
      </rPr>
      <t>1</t>
    </r>
    <r>
      <rPr>
        <sz val="12"/>
        <rFont val="宋体"/>
        <family val="3"/>
        <charset val="134"/>
      </rPr>
      <t>月份实际生产情况如下所述，具体车间三项费用见下表：</t>
    </r>
    <phoneticPr fontId="4" type="noConversion"/>
  </si>
  <si>
    <r>
      <rPr>
        <sz val="12"/>
        <color theme="1"/>
        <rFont val="Microsoft PhagsPa"/>
        <family val="2"/>
      </rPr>
      <t>能源</t>
    </r>
    <phoneticPr fontId="2" type="noConversion"/>
  </si>
  <si>
    <r>
      <rPr>
        <sz val="12"/>
        <rFont val="宋体"/>
        <family val="3"/>
        <charset val="134"/>
      </rPr>
      <t>根据公司生产安排，相关车间</t>
    </r>
    <r>
      <rPr>
        <sz val="12"/>
        <rFont val="Microsoft Sans Serif"/>
        <family val="2"/>
      </rPr>
      <t>2</t>
    </r>
    <r>
      <rPr>
        <sz val="12"/>
        <rFont val="宋体"/>
        <family val="3"/>
        <charset val="134"/>
      </rPr>
      <t>月份实际生产情况如下所述，具体车间三项费用见下表：</t>
    </r>
    <phoneticPr fontId="4" type="noConversion"/>
  </si>
  <si>
    <r>
      <rPr>
        <sz val="12"/>
        <rFont val="宋体"/>
        <family val="3"/>
        <charset val="134"/>
      </rPr>
      <t>根据公司生产安排，相关车间</t>
    </r>
    <r>
      <rPr>
        <sz val="12"/>
        <rFont val="Microsoft Sans Serif"/>
        <family val="2"/>
      </rPr>
      <t>3</t>
    </r>
    <r>
      <rPr>
        <sz val="12"/>
        <rFont val="宋体"/>
        <family val="3"/>
        <charset val="134"/>
      </rPr>
      <t>月份实际生产情况如下所述，具体车间三项费用见下表：</t>
    </r>
    <phoneticPr fontId="4" type="noConversion"/>
  </si>
  <si>
    <t>苯唑西林钠技改RD14</t>
    <phoneticPr fontId="2" type="noConversion"/>
  </si>
  <si>
    <t>上月入库收尾 本月研发技改</t>
    <phoneticPr fontId="2" type="noConversion"/>
  </si>
  <si>
    <t>青霉素类制剂技改RD09</t>
    <phoneticPr fontId="2" type="noConversion"/>
  </si>
  <si>
    <t>本月研发技改</t>
    <phoneticPr fontId="2" type="noConversion"/>
  </si>
  <si>
    <t>检修设备(原药可见异物)</t>
    <phoneticPr fontId="2" type="noConversion"/>
  </si>
  <si>
    <t>设备故障检修(生产甲磺酸期间)</t>
    <phoneticPr fontId="2" type="noConversion"/>
  </si>
  <si>
    <r>
      <rPr>
        <b/>
        <sz val="10"/>
        <color theme="1"/>
        <rFont val="宋体"/>
        <family val="3"/>
        <charset val="134"/>
      </rPr>
      <t>月末设备故障</t>
    </r>
    <r>
      <rPr>
        <b/>
        <sz val="10"/>
        <color theme="1"/>
        <rFont val="Microsoft Sans Serif"/>
        <family val="2"/>
      </rPr>
      <t xml:space="preserve"> </t>
    </r>
    <r>
      <rPr>
        <b/>
        <sz val="10"/>
        <color theme="1"/>
        <rFont val="宋体"/>
        <family val="3"/>
        <charset val="134"/>
      </rPr>
      <t>已列出</t>
    </r>
    <phoneticPr fontId="2" type="noConversion"/>
  </si>
  <si>
    <r>
      <rPr>
        <sz val="10"/>
        <color theme="1"/>
        <rFont val="宋体"/>
        <family val="3"/>
        <charset val="134"/>
      </rPr>
      <t>特别注意：</t>
    </r>
    <r>
      <rPr>
        <sz val="10"/>
        <color theme="1"/>
        <rFont val="Microsoft Sans Serif"/>
        <family val="2"/>
      </rPr>
      <t>2</t>
    </r>
    <r>
      <rPr>
        <sz val="10"/>
        <color theme="1"/>
        <rFont val="宋体"/>
        <family val="3"/>
        <charset val="134"/>
      </rPr>
      <t>月结存</t>
    </r>
    <r>
      <rPr>
        <sz val="10"/>
        <color theme="1"/>
        <rFont val="Microsoft Sans Serif"/>
        <family val="2"/>
      </rPr>
      <t>3</t>
    </r>
    <r>
      <rPr>
        <sz val="10"/>
        <color theme="1"/>
        <rFont val="宋体"/>
        <family val="3"/>
        <charset val="134"/>
      </rPr>
      <t>月未包完继续结存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</si>
</sst>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_-* #,##0.00_-;\-* #,##0.00_-;_-* &quot;-&quot;??_-;_-@_-"/>
    <numFmt numFmtId="177" formatCode="#,##0.00_ "/>
    <numFmt numFmtId="178" formatCode="#,##0.00_);[Red]\(#,##0.00\)"/>
    <numFmt numFmtId="179" formatCode="#,##0.000_ "/>
    <numFmt numFmtId="180" formatCode="0.00_);[Red]\(0.00\)"/>
    <numFmt numFmtId="181" formatCode="0.00_ "/>
    <numFmt numFmtId="182" formatCode="0.0000_ "/>
    <numFmt numFmtId="183" formatCode="0_ "/>
    <numFmt numFmtId="184" formatCode="#,##0_ "/>
  </numFmts>
  <fonts count="2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9"/>
      <name val="宋体-10Point倍宽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Microsoft Sans Serif"/>
      <family val="2"/>
    </font>
    <font>
      <sz val="12"/>
      <color theme="1"/>
      <name val="Microsoft Sans Serif"/>
      <family val="2"/>
    </font>
    <font>
      <sz val="12"/>
      <color theme="1"/>
      <name val="宋体"/>
      <family val="2"/>
      <charset val="134"/>
    </font>
    <font>
      <sz val="12"/>
      <color theme="1"/>
      <name val="宋体"/>
      <family val="3"/>
      <charset val="134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color theme="1"/>
      <name val="Microsoft Sans Serif"/>
      <family val="2"/>
    </font>
    <font>
      <sz val="10"/>
      <color theme="1"/>
      <name val="宋体"/>
      <family val="2"/>
      <charset val="134"/>
    </font>
    <font>
      <b/>
      <sz val="10"/>
      <color theme="1"/>
      <name val="Microsoft Sans Serif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Microsoft Sans Serif"/>
      <family val="2"/>
    </font>
    <font>
      <b/>
      <sz val="12"/>
      <color theme="1"/>
      <name val="宋体"/>
      <family val="3"/>
      <charset val="134"/>
    </font>
    <font>
      <b/>
      <sz val="12"/>
      <name val="Microsoft Sans Serif"/>
      <family val="2"/>
    </font>
    <font>
      <b/>
      <sz val="12"/>
      <name val="黑体"/>
      <family val="3"/>
      <charset val="134"/>
    </font>
    <font>
      <sz val="12"/>
      <color theme="1"/>
      <name val="Microsoft PhagsP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/>
    <xf numFmtId="177" fontId="1" fillId="0" borderId="0" applyFont="0" applyFill="0" applyBorder="0" applyAlignment="0" applyProtection="0"/>
    <xf numFmtId="0" fontId="1" fillId="0" borderId="0"/>
  </cellStyleXfs>
  <cellXfs count="464">
    <xf numFmtId="0" fontId="0" fillId="0" borderId="0" xfId="0">
      <alignment vertical="center"/>
    </xf>
    <xf numFmtId="0" fontId="11" fillId="0" borderId="0" xfId="0" applyFont="1">
      <alignment vertical="center"/>
    </xf>
    <xf numFmtId="177" fontId="14" fillId="0" borderId="1" xfId="0" applyNumberFormat="1" applyFont="1" applyFill="1" applyBorder="1" applyAlignment="1"/>
    <xf numFmtId="177" fontId="14" fillId="0" borderId="0" xfId="0" applyNumberFormat="1" applyFont="1" applyFill="1" applyAlignment="1"/>
    <xf numFmtId="177" fontId="14" fillId="0" borderId="0" xfId="0" applyNumberFormat="1" applyFont="1" applyFill="1" applyAlignment="1">
      <alignment horizontal="center"/>
    </xf>
    <xf numFmtId="177" fontId="14" fillId="0" borderId="1" xfId="2" applyNumberFormat="1" applyFont="1" applyFill="1" applyBorder="1" applyAlignment="1"/>
    <xf numFmtId="177" fontId="14" fillId="0" borderId="1" xfId="2" applyNumberFormat="1" applyFont="1" applyFill="1" applyBorder="1" applyAlignment="1">
      <alignment horizontal="center"/>
    </xf>
    <xf numFmtId="177" fontId="14" fillId="0" borderId="1" xfId="2" applyNumberFormat="1" applyFont="1" applyFill="1" applyBorder="1" applyAlignment="1">
      <alignment horizontal="right"/>
    </xf>
    <xf numFmtId="177" fontId="14" fillId="0" borderId="1" xfId="0" applyNumberFormat="1" applyFont="1" applyFill="1" applyBorder="1" applyAlignment="1">
      <alignment horizontal="center"/>
    </xf>
    <xf numFmtId="49" fontId="14" fillId="0" borderId="1" xfId="0" applyNumberFormat="1" applyFont="1" applyFill="1" applyBorder="1" applyAlignment="1">
      <alignment horizontal="center"/>
    </xf>
    <xf numFmtId="177" fontId="15" fillId="0" borderId="1" xfId="2" applyNumberFormat="1" applyFont="1" applyFill="1" applyBorder="1" applyAlignment="1">
      <alignment horizontal="center"/>
    </xf>
    <xf numFmtId="177" fontId="15" fillId="0" borderId="1" xfId="0" applyNumberFormat="1" applyFont="1" applyFill="1" applyBorder="1" applyAlignment="1"/>
    <xf numFmtId="177" fontId="15" fillId="0" borderId="1" xfId="2" applyNumberFormat="1" applyFont="1" applyFill="1" applyBorder="1" applyAlignment="1">
      <alignment horizontal="right"/>
    </xf>
    <xf numFmtId="177" fontId="14" fillId="0" borderId="0" xfId="2" applyNumberFormat="1" applyFont="1" applyFill="1" applyBorder="1" applyAlignment="1"/>
    <xf numFmtId="177" fontId="14" fillId="0" borderId="1" xfId="0" applyNumberFormat="1" applyFont="1" applyFill="1" applyBorder="1" applyAlignment="1">
      <alignment horizontal="right"/>
    </xf>
    <xf numFmtId="177" fontId="15" fillId="0" borderId="1" xfId="0" applyNumberFormat="1" applyFont="1" applyFill="1" applyBorder="1" applyAlignment="1">
      <alignment horizontal="center"/>
    </xf>
    <xf numFmtId="177" fontId="15" fillId="0" borderId="0" xfId="2" applyNumberFormat="1" applyFont="1" applyFill="1" applyBorder="1" applyAlignment="1"/>
    <xf numFmtId="177" fontId="14" fillId="0" borderId="0" xfId="2" applyNumberFormat="1" applyFont="1" applyFill="1" applyAlignment="1">
      <alignment horizontal="center"/>
    </xf>
    <xf numFmtId="177" fontId="14" fillId="0" borderId="0" xfId="2" applyNumberFormat="1" applyFont="1" applyFill="1" applyAlignment="1"/>
    <xf numFmtId="177" fontId="15" fillId="0" borderId="0" xfId="0" applyNumberFormat="1" applyFont="1" applyFill="1" applyAlignment="1"/>
    <xf numFmtId="0" fontId="15" fillId="0" borderId="1" xfId="0" applyFont="1" applyFill="1" applyBorder="1" applyAlignment="1"/>
    <xf numFmtId="0" fontId="16" fillId="0" borderId="1" xfId="0" applyFont="1" applyFill="1" applyBorder="1" applyAlignment="1">
      <alignment horizontal="center"/>
    </xf>
    <xf numFmtId="0" fontId="16" fillId="0" borderId="0" xfId="0" applyFont="1" applyFill="1">
      <alignment vertical="center"/>
    </xf>
    <xf numFmtId="0" fontId="16" fillId="0" borderId="1" xfId="0" applyFont="1" applyFill="1" applyBorder="1" applyAlignment="1"/>
    <xf numFmtId="178" fontId="16" fillId="0" borderId="1" xfId="0" applyNumberFormat="1" applyFont="1" applyFill="1" applyBorder="1" applyAlignment="1">
      <alignment horizontal="right"/>
    </xf>
    <xf numFmtId="178" fontId="15" fillId="0" borderId="1" xfId="0" applyNumberFormat="1" applyFont="1" applyFill="1" applyBorder="1" applyAlignment="1">
      <alignment horizontal="right"/>
    </xf>
    <xf numFmtId="0" fontId="16" fillId="0" borderId="0" xfId="0" applyFont="1" applyFill="1" applyBorder="1" applyAlignment="1"/>
    <xf numFmtId="178" fontId="15" fillId="0" borderId="0" xfId="0" applyNumberFormat="1" applyFont="1" applyFill="1" applyBorder="1" applyAlignment="1">
      <alignment horizontal="right"/>
    </xf>
    <xf numFmtId="0" fontId="15" fillId="0" borderId="0" xfId="0" applyFont="1" applyFill="1" applyBorder="1" applyAlignment="1"/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/>
    <xf numFmtId="178" fontId="14" fillId="0" borderId="1" xfId="0" applyNumberFormat="1" applyFont="1" applyFill="1" applyBorder="1" applyAlignment="1">
      <alignment horizontal="right"/>
    </xf>
    <xf numFmtId="0" fontId="14" fillId="0" borderId="0" xfId="0" applyFont="1" applyFill="1" applyBorder="1" applyAlignment="1"/>
    <xf numFmtId="178" fontId="16" fillId="0" borderId="0" xfId="0" applyNumberFormat="1" applyFont="1" applyFill="1" applyBorder="1" applyAlignment="1">
      <alignment horizontal="right"/>
    </xf>
    <xf numFmtId="178" fontId="14" fillId="0" borderId="1" xfId="0" applyNumberFormat="1" applyFont="1" applyFill="1" applyBorder="1" applyAlignment="1"/>
    <xf numFmtId="177" fontId="16" fillId="0" borderId="1" xfId="0" applyNumberFormat="1" applyFont="1" applyFill="1" applyBorder="1" applyAlignment="1">
      <alignment horizontal="right"/>
    </xf>
    <xf numFmtId="178" fontId="15" fillId="0" borderId="1" xfId="0" applyNumberFormat="1" applyFont="1" applyFill="1" applyBorder="1" applyAlignment="1"/>
    <xf numFmtId="177" fontId="15" fillId="0" borderId="1" xfId="0" applyNumberFormat="1" applyFont="1" applyFill="1" applyBorder="1" applyAlignment="1">
      <alignment horizontal="right"/>
    </xf>
    <xf numFmtId="177" fontId="18" fillId="0" borderId="1" xfId="0" applyNumberFormat="1" applyFont="1" applyFill="1" applyBorder="1" applyAlignment="1">
      <alignment horizontal="right"/>
    </xf>
    <xf numFmtId="178" fontId="14" fillId="0" borderId="0" xfId="0" applyNumberFormat="1" applyFont="1" applyFill="1" applyBorder="1" applyAlignment="1">
      <alignment horizontal="right"/>
    </xf>
    <xf numFmtId="177" fontId="14" fillId="0" borderId="0" xfId="0" applyNumberFormat="1" applyFont="1" applyFill="1" applyBorder="1" applyAlignment="1">
      <alignment horizontal="right"/>
    </xf>
    <xf numFmtId="177" fontId="14" fillId="0" borderId="2" xfId="0" applyNumberFormat="1" applyFont="1" applyFill="1" applyBorder="1" applyAlignment="1">
      <alignment vertical="center" wrapText="1"/>
    </xf>
    <xf numFmtId="177" fontId="15" fillId="0" borderId="0" xfId="2" applyNumberFormat="1" applyFont="1" applyFill="1" applyAlignment="1"/>
    <xf numFmtId="0" fontId="5" fillId="0" borderId="0" xfId="0" applyFont="1" applyFill="1" applyBorder="1" applyAlignment="1"/>
    <xf numFmtId="177" fontId="15" fillId="0" borderId="1" xfId="2" applyNumberFormat="1" applyFont="1" applyFill="1" applyBorder="1" applyAlignment="1"/>
    <xf numFmtId="178" fontId="15" fillId="0" borderId="0" xfId="0" applyNumberFormat="1" applyFont="1" applyFill="1" applyBorder="1" applyAlignment="1"/>
    <xf numFmtId="177" fontId="15" fillId="0" borderId="0" xfId="0" applyNumberFormat="1" applyFont="1" applyFill="1" applyBorder="1" applyAlignment="1">
      <alignment horizontal="right"/>
    </xf>
    <xf numFmtId="0" fontId="18" fillId="0" borderId="0" xfId="0" applyFont="1" applyFill="1">
      <alignment vertical="center"/>
    </xf>
    <xf numFmtId="0" fontId="18" fillId="0" borderId="0" xfId="0" applyFont="1" applyFill="1" applyBorder="1" applyAlignment="1"/>
    <xf numFmtId="181" fontId="15" fillId="0" borderId="1" xfId="0" applyNumberFormat="1" applyFont="1" applyFill="1" applyBorder="1" applyAlignment="1">
      <alignment horizontal="center"/>
    </xf>
    <xf numFmtId="181" fontId="20" fillId="0" borderId="1" xfId="0" applyNumberFormat="1" applyFont="1" applyFill="1" applyBorder="1" applyAlignment="1">
      <alignment horizontal="center"/>
    </xf>
    <xf numFmtId="181" fontId="16" fillId="0" borderId="1" xfId="0" applyNumberFormat="1" applyFont="1" applyFill="1" applyBorder="1" applyAlignment="1">
      <alignment horizontal="center"/>
    </xf>
    <xf numFmtId="181" fontId="14" fillId="0" borderId="1" xfId="0" applyNumberFormat="1" applyFont="1" applyFill="1" applyBorder="1" applyAlignment="1">
      <alignment horizontal="center"/>
    </xf>
    <xf numFmtId="181" fontId="16" fillId="0" borderId="0" xfId="0" applyNumberFormat="1" applyFont="1" applyFill="1" applyAlignment="1">
      <alignment horizontal="center" vertical="center"/>
    </xf>
    <xf numFmtId="177" fontId="7" fillId="0" borderId="1" xfId="2" applyNumberFormat="1" applyFont="1" applyFill="1" applyBorder="1" applyAlignment="1">
      <alignment horizontal="center"/>
    </xf>
    <xf numFmtId="177" fontId="15" fillId="0" borderId="2" xfId="0" applyNumberFormat="1" applyFont="1" applyFill="1" applyBorder="1" applyAlignment="1">
      <alignment vertical="center" wrapText="1"/>
    </xf>
    <xf numFmtId="0" fontId="7" fillId="0" borderId="1" xfId="0" applyFont="1" applyFill="1" applyBorder="1" applyAlignment="1"/>
    <xf numFmtId="177" fontId="15" fillId="0" borderId="0" xfId="2" applyNumberFormat="1" applyFont="1" applyFill="1" applyAlignment="1">
      <alignment horizontal="center"/>
    </xf>
    <xf numFmtId="0" fontId="17" fillId="0" borderId="1" xfId="0" applyFont="1" applyFill="1" applyBorder="1" applyAlignment="1"/>
    <xf numFmtId="0" fontId="20" fillId="0" borderId="1" xfId="0" applyFont="1" applyFill="1" applyBorder="1" applyAlignment="1"/>
    <xf numFmtId="10" fontId="14" fillId="0" borderId="0" xfId="0" applyNumberFormat="1" applyFont="1" applyFill="1" applyBorder="1" applyAlignment="1">
      <alignment horizontal="right"/>
    </xf>
    <xf numFmtId="58" fontId="5" fillId="0" borderId="0" xfId="0" applyNumberFormat="1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right" wrapText="1"/>
    </xf>
    <xf numFmtId="10" fontId="14" fillId="0" borderId="0" xfId="0" applyNumberFormat="1" applyFont="1" applyFill="1" applyBorder="1" applyAlignment="1">
      <alignment horizontal="right" wrapText="1"/>
    </xf>
    <xf numFmtId="0" fontId="15" fillId="0" borderId="0" xfId="0" applyFont="1" applyFill="1" applyBorder="1" applyAlignment="1">
      <alignment wrapText="1"/>
    </xf>
    <xf numFmtId="177" fontId="15" fillId="0" borderId="0" xfId="0" applyNumberFormat="1" applyFont="1" applyFill="1" applyBorder="1" applyAlignment="1">
      <alignment vertical="center" wrapText="1"/>
    </xf>
    <xf numFmtId="10" fontId="14" fillId="0" borderId="2" xfId="0" applyNumberFormat="1" applyFont="1" applyFill="1" applyBorder="1" applyAlignment="1">
      <alignment vertical="center" wrapText="1"/>
    </xf>
    <xf numFmtId="177" fontId="14" fillId="0" borderId="0" xfId="0" applyNumberFormat="1" applyFont="1" applyFill="1" applyBorder="1" applyAlignment="1">
      <alignment vertical="center" wrapText="1"/>
    </xf>
    <xf numFmtId="10" fontId="14" fillId="0" borderId="0" xfId="0" applyNumberFormat="1" applyFont="1" applyFill="1" applyBorder="1" applyAlignment="1">
      <alignment vertical="center" wrapText="1"/>
    </xf>
    <xf numFmtId="10" fontId="14" fillId="0" borderId="0" xfId="0" applyNumberFormat="1" applyFont="1" applyFill="1" applyAlignment="1"/>
    <xf numFmtId="181" fontId="16" fillId="0" borderId="0" xfId="0" applyNumberFormat="1" applyFont="1" applyFill="1" applyAlignment="1">
      <alignment horizontal="right" vertical="center"/>
    </xf>
    <xf numFmtId="177" fontId="14" fillId="0" borderId="0" xfId="0" applyNumberFormat="1" applyFont="1" applyFill="1" applyAlignment="1">
      <alignment horizontal="right"/>
    </xf>
    <xf numFmtId="10" fontId="16" fillId="0" borderId="0" xfId="0" applyNumberFormat="1" applyFont="1" applyFill="1">
      <alignment vertical="center"/>
    </xf>
    <xf numFmtId="181" fontId="16" fillId="0" borderId="0" xfId="0" applyNumberFormat="1" applyFont="1" applyFill="1">
      <alignment vertical="center"/>
    </xf>
    <xf numFmtId="181" fontId="14" fillId="0" borderId="0" xfId="2" applyNumberFormat="1" applyFont="1" applyFill="1" applyAlignment="1"/>
    <xf numFmtId="177" fontId="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 applyAlignment="1">
      <alignment horizontal="right"/>
    </xf>
    <xf numFmtId="0" fontId="14" fillId="0" borderId="1" xfId="2" applyNumberFormat="1" applyFont="1" applyFill="1" applyBorder="1" applyAlignment="1">
      <alignment horizontal="center"/>
    </xf>
    <xf numFmtId="177" fontId="7" fillId="0" borderId="0" xfId="0" applyNumberFormat="1" applyFont="1" applyFill="1" applyBorder="1" applyAlignment="1">
      <alignment horizontal="right" vertical="center" wrapText="1"/>
    </xf>
    <xf numFmtId="0" fontId="14" fillId="0" borderId="1" xfId="0" applyNumberFormat="1" applyFont="1" applyFill="1" applyBorder="1" applyAlignment="1">
      <alignment horizontal="center"/>
    </xf>
    <xf numFmtId="177" fontId="15" fillId="0" borderId="2" xfId="2" applyNumberFormat="1" applyFont="1" applyFill="1" applyBorder="1" applyAlignment="1">
      <alignment wrapText="1"/>
    </xf>
    <xf numFmtId="177" fontId="14" fillId="0" borderId="2" xfId="2" applyNumberFormat="1" applyFont="1" applyFill="1" applyBorder="1" applyAlignment="1">
      <alignment wrapText="1"/>
    </xf>
    <xf numFmtId="0" fontId="14" fillId="0" borderId="1" xfId="2" applyNumberFormat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 vertical="center"/>
    </xf>
    <xf numFmtId="177" fontId="14" fillId="0" borderId="1" xfId="2" applyNumberFormat="1" applyFont="1" applyFill="1" applyBorder="1" applyAlignment="1">
      <alignment horizontal="center" wrapText="1"/>
    </xf>
    <xf numFmtId="177" fontId="7" fillId="0" borderId="0" xfId="0" applyNumberFormat="1" applyFont="1" applyFill="1" applyAlignment="1">
      <alignment horizontal="right"/>
    </xf>
    <xf numFmtId="177" fontId="7" fillId="0" borderId="1" xfId="2" applyNumberFormat="1" applyFont="1" applyFill="1" applyBorder="1" applyAlignment="1">
      <alignment horizontal="left" wrapText="1"/>
    </xf>
    <xf numFmtId="177" fontId="14" fillId="3" borderId="1" xfId="2" applyNumberFormat="1" applyFont="1" applyFill="1" applyBorder="1" applyAlignment="1">
      <alignment horizontal="center"/>
    </xf>
    <xf numFmtId="0" fontId="14" fillId="0" borderId="1" xfId="5" applyNumberFormat="1" applyFont="1" applyFill="1" applyBorder="1" applyAlignment="1">
      <alignment horizontal="center" vertical="center" wrapText="1"/>
    </xf>
    <xf numFmtId="181" fontId="16" fillId="0" borderId="1" xfId="0" applyNumberFormat="1" applyFont="1" applyFill="1" applyBorder="1" applyAlignment="1">
      <alignment horizontal="right"/>
    </xf>
    <xf numFmtId="181" fontId="14" fillId="0" borderId="0" xfId="0" applyNumberFormat="1" applyFont="1" applyFill="1" applyBorder="1" applyAlignment="1">
      <alignment vertical="center" wrapText="1"/>
    </xf>
    <xf numFmtId="49" fontId="7" fillId="0" borderId="1" xfId="0" applyNumberFormat="1" applyFont="1" applyFill="1" applyBorder="1" applyAlignment="1">
      <alignment horizontal="center"/>
    </xf>
    <xf numFmtId="58" fontId="7" fillId="0" borderId="1" xfId="0" applyNumberFormat="1" applyFont="1" applyFill="1" applyBorder="1" applyAlignment="1">
      <alignment horizontal="left" wrapText="1"/>
    </xf>
    <xf numFmtId="0" fontId="7" fillId="0" borderId="1" xfId="2" applyNumberFormat="1" applyFont="1" applyFill="1" applyBorder="1" applyAlignment="1">
      <alignment horizontal="center" wrapText="1"/>
    </xf>
    <xf numFmtId="177" fontId="16" fillId="0" borderId="0" xfId="0" applyNumberFormat="1" applyFont="1" applyFill="1">
      <alignment vertical="center"/>
    </xf>
    <xf numFmtId="49" fontId="14" fillId="3" borderId="1" xfId="0" applyNumberFormat="1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81" fontId="18" fillId="0" borderId="1" xfId="0" applyNumberFormat="1" applyFont="1" applyFill="1" applyBorder="1" applyAlignment="1">
      <alignment horizontal="right"/>
    </xf>
    <xf numFmtId="181" fontId="16" fillId="0" borderId="1" xfId="0" applyNumberFormat="1" applyFont="1" applyFill="1" applyBorder="1" applyAlignment="1"/>
    <xf numFmtId="0" fontId="16" fillId="0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/>
    <xf numFmtId="58" fontId="5" fillId="2" borderId="0" xfId="0" applyNumberFormat="1" applyFont="1" applyFill="1" applyBorder="1" applyAlignment="1">
      <alignment horizontal="left" wrapText="1"/>
    </xf>
    <xf numFmtId="181" fontId="18" fillId="0" borderId="1" xfId="0" applyNumberFormat="1" applyFont="1" applyFill="1" applyBorder="1">
      <alignment vertical="center"/>
    </xf>
    <xf numFmtId="182" fontId="15" fillId="0" borderId="1" xfId="0" applyNumberFormat="1" applyFont="1" applyFill="1" applyBorder="1" applyAlignment="1">
      <alignment horizontal="center"/>
    </xf>
    <xf numFmtId="182" fontId="20" fillId="0" borderId="1" xfId="0" applyNumberFormat="1" applyFont="1" applyFill="1" applyBorder="1" applyAlignment="1">
      <alignment horizontal="center"/>
    </xf>
    <xf numFmtId="182" fontId="16" fillId="0" borderId="1" xfId="0" applyNumberFormat="1" applyFont="1" applyFill="1" applyBorder="1" applyAlignment="1">
      <alignment horizontal="center"/>
    </xf>
    <xf numFmtId="182" fontId="16" fillId="0" borderId="0" xfId="0" applyNumberFormat="1" applyFont="1" applyFill="1" applyBorder="1" applyAlignment="1">
      <alignment horizontal="center"/>
    </xf>
    <xf numFmtId="182" fontId="15" fillId="0" borderId="0" xfId="0" applyNumberFormat="1" applyFont="1" applyFill="1" applyBorder="1" applyAlignment="1">
      <alignment horizontal="center"/>
    </xf>
    <xf numFmtId="182" fontId="14" fillId="0" borderId="1" xfId="0" applyNumberFormat="1" applyFont="1" applyFill="1" applyBorder="1" applyAlignment="1">
      <alignment horizontal="center"/>
    </xf>
    <xf numFmtId="182" fontId="5" fillId="0" borderId="0" xfId="0" applyNumberFormat="1" applyFont="1" applyFill="1" applyBorder="1" applyAlignment="1">
      <alignment horizontal="center"/>
    </xf>
    <xf numFmtId="182" fontId="14" fillId="0" borderId="0" xfId="0" applyNumberFormat="1" applyFont="1" applyFill="1" applyBorder="1" applyAlignment="1">
      <alignment horizontal="center"/>
    </xf>
    <xf numFmtId="182" fontId="18" fillId="0" borderId="0" xfId="0" applyNumberFormat="1" applyFont="1" applyFill="1" applyBorder="1" applyAlignment="1">
      <alignment horizontal="center"/>
    </xf>
    <xf numFmtId="182" fontId="15" fillId="0" borderId="1" xfId="2" applyNumberFormat="1" applyFont="1" applyFill="1" applyBorder="1" applyAlignment="1">
      <alignment horizontal="center"/>
    </xf>
    <xf numFmtId="182" fontId="14" fillId="0" borderId="0" xfId="2" applyNumberFormat="1" applyFont="1" applyFill="1" applyBorder="1" applyAlignment="1">
      <alignment horizontal="center"/>
    </xf>
    <xf numFmtId="182" fontId="7" fillId="0" borderId="1" xfId="2" applyNumberFormat="1" applyFont="1" applyFill="1" applyBorder="1" applyAlignment="1">
      <alignment horizontal="center"/>
    </xf>
    <xf numFmtId="182" fontId="15" fillId="0" borderId="0" xfId="2" applyNumberFormat="1" applyFont="1" applyFill="1" applyBorder="1" applyAlignment="1">
      <alignment horizontal="center"/>
    </xf>
    <xf numFmtId="182" fontId="14" fillId="0" borderId="1" xfId="2" applyNumberFormat="1" applyFont="1" applyFill="1" applyBorder="1" applyAlignment="1">
      <alignment horizontal="center"/>
    </xf>
    <xf numFmtId="182" fontId="14" fillId="0" borderId="0" xfId="2" applyNumberFormat="1" applyFont="1" applyFill="1" applyAlignment="1">
      <alignment horizontal="center"/>
    </xf>
    <xf numFmtId="182" fontId="14" fillId="0" borderId="1" xfId="2" applyNumberFormat="1" applyFont="1" applyFill="1" applyBorder="1" applyAlignment="1">
      <alignment horizontal="center" wrapText="1"/>
    </xf>
    <xf numFmtId="182" fontId="15" fillId="0" borderId="0" xfId="0" applyNumberFormat="1" applyFont="1" applyFill="1" applyAlignment="1">
      <alignment horizontal="center"/>
    </xf>
    <xf numFmtId="182" fontId="19" fillId="0" borderId="0" xfId="0" applyNumberFormat="1" applyFont="1" applyFill="1" applyAlignment="1">
      <alignment horizontal="center" vertical="center"/>
    </xf>
    <xf numFmtId="182" fontId="15" fillId="0" borderId="2" xfId="0" applyNumberFormat="1" applyFont="1" applyFill="1" applyBorder="1" applyAlignment="1">
      <alignment horizontal="center" vertical="center" wrapText="1"/>
    </xf>
    <xf numFmtId="182" fontId="15" fillId="0" borderId="0" xfId="0" applyNumberFormat="1" applyFont="1" applyFill="1" applyBorder="1" applyAlignment="1">
      <alignment horizontal="center" vertical="center" wrapText="1"/>
    </xf>
    <xf numFmtId="182" fontId="15" fillId="0" borderId="0" xfId="2" applyNumberFormat="1" applyFont="1" applyFill="1" applyAlignment="1">
      <alignment horizontal="center"/>
    </xf>
    <xf numFmtId="182" fontId="16" fillId="0" borderId="0" xfId="0" applyNumberFormat="1" applyFont="1" applyFill="1" applyAlignment="1">
      <alignment horizontal="center" vertical="center"/>
    </xf>
    <xf numFmtId="182" fontId="14" fillId="0" borderId="0" xfId="0" applyNumberFormat="1" applyFont="1" applyFill="1" applyAlignment="1">
      <alignment horizontal="center"/>
    </xf>
    <xf numFmtId="182" fontId="16" fillId="0" borderId="1" xfId="0" applyNumberFormat="1" applyFont="1" applyFill="1" applyBorder="1" applyAlignment="1">
      <alignment horizontal="center" vertical="center"/>
    </xf>
    <xf numFmtId="182" fontId="5" fillId="0" borderId="0" xfId="0" applyNumberFormat="1" applyFont="1" applyFill="1" applyBorder="1" applyAlignment="1">
      <alignment horizontal="center" wrapText="1"/>
    </xf>
    <xf numFmtId="182" fontId="15" fillId="0" borderId="2" xfId="2" applyNumberFormat="1" applyFont="1" applyFill="1" applyBorder="1" applyAlignment="1">
      <alignment horizontal="center" wrapText="1"/>
    </xf>
    <xf numFmtId="178" fontId="16" fillId="0" borderId="0" xfId="0" applyNumberFormat="1" applyFont="1" applyFill="1">
      <alignment vertical="center"/>
    </xf>
    <xf numFmtId="0" fontId="18" fillId="2" borderId="0" xfId="0" applyFont="1" applyFill="1">
      <alignment vertical="center"/>
    </xf>
    <xf numFmtId="177" fontId="14" fillId="0" borderId="0" xfId="2" applyNumberFormat="1" applyFont="1" applyFill="1" applyBorder="1" applyAlignment="1">
      <alignment horizontal="center"/>
    </xf>
    <xf numFmtId="182" fontId="20" fillId="0" borderId="8" xfId="0" applyNumberFormat="1" applyFont="1" applyFill="1" applyBorder="1" applyAlignment="1">
      <alignment horizontal="center"/>
    </xf>
    <xf numFmtId="182" fontId="14" fillId="0" borderId="8" xfId="2" applyNumberFormat="1" applyFont="1" applyFill="1" applyBorder="1" applyAlignment="1">
      <alignment horizontal="center"/>
    </xf>
    <xf numFmtId="182" fontId="15" fillId="0" borderId="8" xfId="2" applyNumberFormat="1" applyFont="1" applyFill="1" applyBorder="1" applyAlignment="1">
      <alignment horizontal="center"/>
    </xf>
    <xf numFmtId="0" fontId="11" fillId="0" borderId="0" xfId="0" applyFont="1" applyFill="1">
      <alignment vertical="center"/>
    </xf>
    <xf numFmtId="0" fontId="11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10" fillId="0" borderId="0" xfId="0" applyNumberFormat="1" applyFont="1" applyFill="1" applyAlignment="1"/>
    <xf numFmtId="0" fontId="22" fillId="0" borderId="0" xfId="0" applyFont="1" applyFill="1" applyAlignment="1">
      <alignment vertical="center"/>
    </xf>
    <xf numFmtId="0" fontId="21" fillId="0" borderId="0" xfId="0" applyFont="1" applyFill="1" applyAlignment="1">
      <alignment horizontal="right" vertical="center"/>
    </xf>
    <xf numFmtId="4" fontId="21" fillId="0" borderId="0" xfId="0" applyNumberFormat="1" applyFont="1" applyFill="1" applyAlignment="1">
      <alignment horizontal="right" vertical="center"/>
    </xf>
    <xf numFmtId="4" fontId="11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horizontal="left"/>
    </xf>
    <xf numFmtId="0" fontId="11" fillId="0" borderId="1" xfId="0" applyFont="1" applyBorder="1" applyAlignment="1">
      <alignment horizontal="center"/>
    </xf>
    <xf numFmtId="180" fontId="11" fillId="0" borderId="1" xfId="0" applyNumberFormat="1" applyFont="1" applyBorder="1" applyAlignment="1">
      <alignment horizontal="center"/>
    </xf>
    <xf numFmtId="0" fontId="11" fillId="0" borderId="1" xfId="0" applyNumberFormat="1" applyFont="1" applyBorder="1" applyAlignment="1"/>
    <xf numFmtId="0" fontId="11" fillId="0" borderId="1" xfId="0" applyFont="1" applyFill="1" applyBorder="1" applyAlignment="1">
      <alignment horizontal="center"/>
    </xf>
    <xf numFmtId="10" fontId="11" fillId="0" borderId="1" xfId="0" applyNumberFormat="1" applyFont="1" applyFill="1" applyBorder="1" applyAlignment="1">
      <alignment horizontal="center"/>
    </xf>
    <xf numFmtId="177" fontId="1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quotePrefix="1" applyNumberFormat="1" applyFont="1" applyBorder="1" applyAlignment="1"/>
    <xf numFmtId="0" fontId="11" fillId="0" borderId="3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>
      <alignment vertical="center"/>
    </xf>
    <xf numFmtId="180" fontId="21" fillId="0" borderId="0" xfId="0" applyNumberFormat="1" applyFont="1" applyAlignment="1"/>
    <xf numFmtId="177" fontId="21" fillId="0" borderId="1" xfId="0" applyNumberFormat="1" applyFont="1" applyFill="1" applyBorder="1" applyAlignment="1">
      <alignment horizontal="center"/>
    </xf>
    <xf numFmtId="177" fontId="23" fillId="0" borderId="13" xfId="4" applyNumberFormat="1" applyFont="1" applyFill="1" applyBorder="1" applyAlignment="1">
      <alignment horizontal="center" vertical="center"/>
    </xf>
    <xf numFmtId="184" fontId="23" fillId="0" borderId="13" xfId="4" applyNumberFormat="1" applyFont="1" applyFill="1" applyBorder="1" applyAlignment="1">
      <alignment horizontal="center" vertical="center"/>
    </xf>
    <xf numFmtId="179" fontId="10" fillId="0" borderId="10" xfId="4" applyNumberFormat="1" applyFont="1" applyFill="1" applyBorder="1" applyAlignment="1">
      <alignment horizontal="center" vertical="center"/>
    </xf>
    <xf numFmtId="10" fontId="10" fillId="0" borderId="1" xfId="3" applyNumberFormat="1" applyFont="1" applyFill="1" applyBorder="1" applyAlignment="1">
      <alignment horizontal="center" vertical="center"/>
    </xf>
    <xf numFmtId="177" fontId="10" fillId="0" borderId="1" xfId="4" applyNumberFormat="1" applyFont="1" applyFill="1" applyBorder="1" applyAlignment="1">
      <alignment horizontal="center" vertical="center"/>
    </xf>
    <xf numFmtId="179" fontId="10" fillId="0" borderId="11" xfId="4" applyNumberFormat="1" applyFont="1" applyFill="1" applyBorder="1" applyAlignment="1">
      <alignment horizontal="center" vertical="center"/>
    </xf>
    <xf numFmtId="0" fontId="11" fillId="0" borderId="7" xfId="0" applyNumberFormat="1" applyFont="1" applyBorder="1" applyAlignment="1"/>
    <xf numFmtId="184" fontId="10" fillId="0" borderId="1" xfId="4" applyNumberFormat="1" applyFont="1" applyFill="1" applyBorder="1" applyAlignment="1">
      <alignment horizontal="center" vertical="center"/>
    </xf>
    <xf numFmtId="10" fontId="10" fillId="0" borderId="1" xfId="4" applyNumberFormat="1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84" fontId="11" fillId="0" borderId="1" xfId="0" applyNumberFormat="1" applyFont="1" applyBorder="1" applyAlignment="1">
      <alignment horizontal="center" vertical="center"/>
    </xf>
    <xf numFmtId="177" fontId="10" fillId="0" borderId="11" xfId="4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horizontal="left"/>
    </xf>
    <xf numFmtId="177" fontId="10" fillId="0" borderId="7" xfId="4" applyNumberFormat="1" applyFont="1" applyFill="1" applyBorder="1" applyAlignment="1">
      <alignment horizontal="left" vertical="center"/>
    </xf>
    <xf numFmtId="0" fontId="11" fillId="0" borderId="7" xfId="0" quotePrefix="1" applyNumberFormat="1" applyFont="1" applyBorder="1" applyAlignment="1"/>
    <xf numFmtId="177" fontId="10" fillId="3" borderId="7" xfId="4" applyNumberFormat="1" applyFont="1" applyFill="1" applyBorder="1" applyAlignment="1">
      <alignment horizontal="left" vertical="center"/>
    </xf>
    <xf numFmtId="10" fontId="10" fillId="3" borderId="1" xfId="3" applyNumberFormat="1" applyFont="1" applyFill="1" applyBorder="1" applyAlignment="1">
      <alignment horizontal="center" vertical="center"/>
    </xf>
    <xf numFmtId="177" fontId="10" fillId="3" borderId="1" xfId="4" applyNumberFormat="1" applyFont="1" applyFill="1" applyBorder="1" applyAlignment="1">
      <alignment horizontal="center" vertical="center"/>
    </xf>
    <xf numFmtId="184" fontId="10" fillId="3" borderId="1" xfId="4" applyNumberFormat="1" applyFont="1" applyFill="1" applyBorder="1" applyAlignment="1">
      <alignment horizontal="center" vertical="center"/>
    </xf>
    <xf numFmtId="10" fontId="10" fillId="3" borderId="1" xfId="4" applyNumberFormat="1" applyFont="1" applyFill="1" applyBorder="1" applyAlignment="1">
      <alignment horizontal="center" vertical="center"/>
    </xf>
    <xf numFmtId="177" fontId="11" fillId="3" borderId="1" xfId="0" applyNumberFormat="1" applyFont="1" applyFill="1" applyBorder="1" applyAlignment="1">
      <alignment horizontal="center" vertical="center"/>
    </xf>
    <xf numFmtId="184" fontId="11" fillId="3" borderId="1" xfId="0" applyNumberFormat="1" applyFont="1" applyFill="1" applyBorder="1" applyAlignment="1">
      <alignment horizontal="center" vertical="center"/>
    </xf>
    <xf numFmtId="177" fontId="10" fillId="3" borderId="11" xfId="4" applyNumberFormat="1" applyFont="1" applyFill="1" applyBorder="1" applyAlignment="1">
      <alignment horizontal="center" vertical="center"/>
    </xf>
    <xf numFmtId="177" fontId="10" fillId="0" borderId="12" xfId="4" applyNumberFormat="1" applyFont="1" applyFill="1" applyBorder="1" applyAlignment="1">
      <alignment horizontal="left" vertical="center"/>
    </xf>
    <xf numFmtId="177" fontId="10" fillId="0" borderId="0" xfId="4" applyNumberFormat="1" applyFont="1" applyFill="1" applyAlignment="1">
      <alignment horizontal="left" vertical="center"/>
    </xf>
    <xf numFmtId="10" fontId="10" fillId="0" borderId="0" xfId="3" applyNumberFormat="1" applyFont="1" applyFill="1" applyAlignment="1">
      <alignment horizontal="center" vertical="center"/>
    </xf>
    <xf numFmtId="177" fontId="10" fillId="0" borderId="0" xfId="4" applyNumberFormat="1" applyFont="1" applyFill="1" applyAlignment="1">
      <alignment horizontal="center" vertical="center"/>
    </xf>
    <xf numFmtId="179" fontId="10" fillId="0" borderId="0" xfId="4" applyNumberFormat="1" applyFont="1" applyFill="1" applyAlignment="1">
      <alignment horizontal="center" vertical="center"/>
    </xf>
    <xf numFmtId="49" fontId="23" fillId="0" borderId="0" xfId="4" applyNumberFormat="1" applyFont="1" applyFill="1" applyBorder="1" applyAlignment="1">
      <alignment vertical="center"/>
    </xf>
    <xf numFmtId="49" fontId="23" fillId="0" borderId="0" xfId="4" applyNumberFormat="1" applyFont="1" applyFill="1" applyBorder="1" applyAlignment="1">
      <alignment horizontal="right" vertical="center"/>
    </xf>
    <xf numFmtId="183" fontId="11" fillId="0" borderId="1" xfId="0" applyNumberFormat="1" applyFont="1" applyBorder="1" applyAlignment="1">
      <alignment horizontal="center"/>
    </xf>
    <xf numFmtId="183" fontId="10" fillId="0" borderId="1" xfId="4" applyNumberFormat="1" applyFont="1" applyFill="1" applyBorder="1" applyAlignment="1">
      <alignment horizontal="center" vertical="center"/>
    </xf>
    <xf numFmtId="183" fontId="11" fillId="0" borderId="1" xfId="0" quotePrefix="1" applyNumberFormat="1" applyFont="1" applyBorder="1" applyAlignment="1">
      <alignment horizontal="center"/>
    </xf>
    <xf numFmtId="183" fontId="10" fillId="3" borderId="1" xfId="4" applyNumberFormat="1" applyFont="1" applyFill="1" applyBorder="1" applyAlignment="1">
      <alignment horizontal="center" vertical="center"/>
    </xf>
    <xf numFmtId="183" fontId="23" fillId="0" borderId="13" xfId="4" applyNumberFormat="1" applyFont="1" applyFill="1" applyBorder="1" applyAlignment="1">
      <alignment horizontal="center" vertical="center"/>
    </xf>
    <xf numFmtId="10" fontId="10" fillId="0" borderId="13" xfId="3" applyNumberFormat="1" applyFont="1" applyFill="1" applyBorder="1" applyAlignment="1">
      <alignment horizontal="center" vertical="center"/>
    </xf>
    <xf numFmtId="10" fontId="10" fillId="0" borderId="13" xfId="4" applyNumberFormat="1" applyFont="1" applyFill="1" applyBorder="1" applyAlignment="1">
      <alignment horizontal="center" vertical="center"/>
    </xf>
    <xf numFmtId="177" fontId="23" fillId="0" borderId="17" xfId="4" applyNumberFormat="1" applyFont="1" applyFill="1" applyBorder="1" applyAlignment="1">
      <alignment horizontal="center" vertical="center"/>
    </xf>
    <xf numFmtId="58" fontId="5" fillId="5" borderId="0" xfId="0" applyNumberFormat="1" applyFont="1" applyFill="1" applyBorder="1" applyAlignment="1">
      <alignment horizontal="left" wrapText="1"/>
    </xf>
    <xf numFmtId="182" fontId="5" fillId="5" borderId="0" xfId="0" applyNumberFormat="1" applyFont="1" applyFill="1" applyBorder="1" applyAlignment="1">
      <alignment horizontal="center" wrapText="1"/>
    </xf>
    <xf numFmtId="0" fontId="15" fillId="5" borderId="0" xfId="0" applyFont="1" applyFill="1" applyBorder="1" applyAlignment="1">
      <alignment horizontal="left" wrapText="1"/>
    </xf>
    <xf numFmtId="0" fontId="16" fillId="5" borderId="0" xfId="0" applyFont="1" applyFill="1">
      <alignment vertical="center"/>
    </xf>
    <xf numFmtId="181" fontId="16" fillId="5" borderId="0" xfId="0" applyNumberFormat="1" applyFont="1" applyFill="1" applyAlignment="1">
      <alignment horizontal="right" vertical="center"/>
    </xf>
    <xf numFmtId="0" fontId="5" fillId="5" borderId="0" xfId="0" applyFont="1" applyFill="1" applyBorder="1" applyAlignment="1"/>
    <xf numFmtId="182" fontId="5" fillId="5" borderId="0" xfId="0" applyNumberFormat="1" applyFont="1" applyFill="1" applyBorder="1" applyAlignment="1">
      <alignment horizontal="center"/>
    </xf>
    <xf numFmtId="178" fontId="15" fillId="5" borderId="0" xfId="0" applyNumberFormat="1" applyFont="1" applyFill="1" applyBorder="1" applyAlignment="1">
      <alignment horizontal="right"/>
    </xf>
    <xf numFmtId="178" fontId="7" fillId="5" borderId="0" xfId="0" applyNumberFormat="1" applyFont="1" applyFill="1" applyBorder="1" applyAlignment="1">
      <alignment horizontal="right"/>
    </xf>
    <xf numFmtId="178" fontId="14" fillId="5" borderId="0" xfId="0" applyNumberFormat="1" applyFont="1" applyFill="1" applyBorder="1" applyAlignment="1">
      <alignment horizontal="right"/>
    </xf>
    <xf numFmtId="10" fontId="14" fillId="5" borderId="0" xfId="0" applyNumberFormat="1" applyFont="1" applyFill="1" applyBorder="1" applyAlignment="1">
      <alignment horizontal="right"/>
    </xf>
    <xf numFmtId="178" fontId="16" fillId="4" borderId="1" xfId="0" applyNumberFormat="1" applyFont="1" applyFill="1" applyBorder="1" applyAlignment="1">
      <alignment horizontal="right"/>
    </xf>
    <xf numFmtId="178" fontId="14" fillId="4" borderId="1" xfId="0" applyNumberFormat="1" applyFont="1" applyFill="1" applyBorder="1" applyAlignment="1">
      <alignment horizontal="right"/>
    </xf>
    <xf numFmtId="0" fontId="18" fillId="5" borderId="0" xfId="0" applyFont="1" applyFill="1" applyBorder="1" applyAlignment="1"/>
    <xf numFmtId="182" fontId="18" fillId="5" borderId="0" xfId="0" applyNumberFormat="1" applyFont="1" applyFill="1" applyBorder="1" applyAlignment="1">
      <alignment horizontal="center"/>
    </xf>
    <xf numFmtId="178" fontId="16" fillId="5" borderId="0" xfId="0" applyNumberFormat="1" applyFont="1" applyFill="1" applyBorder="1" applyAlignment="1">
      <alignment horizontal="right"/>
    </xf>
    <xf numFmtId="177" fontId="16" fillId="4" borderId="1" xfId="0" applyNumberFormat="1" applyFont="1" applyFill="1" applyBorder="1" applyAlignment="1">
      <alignment horizontal="right"/>
    </xf>
    <xf numFmtId="178" fontId="15" fillId="5" borderId="0" xfId="0" applyNumberFormat="1" applyFont="1" applyFill="1" applyBorder="1" applyAlignment="1"/>
    <xf numFmtId="177" fontId="15" fillId="5" borderId="0" xfId="0" applyNumberFormat="1" applyFont="1" applyFill="1" applyBorder="1" applyAlignment="1">
      <alignment horizontal="right"/>
    </xf>
    <xf numFmtId="177" fontId="7" fillId="5" borderId="0" xfId="0" applyNumberFormat="1" applyFont="1" applyFill="1" applyBorder="1" applyAlignment="1">
      <alignment horizontal="right"/>
    </xf>
    <xf numFmtId="181" fontId="14" fillId="5" borderId="0" xfId="0" applyNumberFormat="1" applyFont="1" applyFill="1" applyBorder="1" applyAlignment="1">
      <alignment horizontal="right"/>
    </xf>
    <xf numFmtId="181" fontId="16" fillId="4" borderId="1" xfId="0" applyNumberFormat="1" applyFont="1" applyFill="1" applyBorder="1" applyAlignment="1">
      <alignment horizontal="right"/>
    </xf>
    <xf numFmtId="0" fontId="7" fillId="0" borderId="1" xfId="2" applyNumberFormat="1" applyFont="1" applyFill="1" applyBorder="1" applyAlignment="1">
      <alignment horizontal="center"/>
    </xf>
    <xf numFmtId="177" fontId="15" fillId="5" borderId="0" xfId="0" applyNumberFormat="1" applyFont="1" applyFill="1" applyBorder="1" applyAlignment="1">
      <alignment vertical="center" wrapText="1"/>
    </xf>
    <xf numFmtId="182" fontId="15" fillId="5" borderId="0" xfId="0" applyNumberFormat="1" applyFont="1" applyFill="1" applyBorder="1" applyAlignment="1">
      <alignment horizontal="center" vertical="center" wrapText="1"/>
    </xf>
    <xf numFmtId="177" fontId="14" fillId="5" borderId="0" xfId="0" applyNumberFormat="1" applyFont="1" applyFill="1" applyBorder="1" applyAlignment="1">
      <alignment vertical="center" wrapText="1"/>
    </xf>
    <xf numFmtId="10" fontId="14" fillId="5" borderId="0" xfId="0" applyNumberFormat="1" applyFont="1" applyFill="1" applyBorder="1" applyAlignment="1">
      <alignment vertical="center" wrapText="1"/>
    </xf>
    <xf numFmtId="177" fontId="14" fillId="4" borderId="1" xfId="2" applyNumberFormat="1" applyFont="1" applyFill="1" applyBorder="1" applyAlignment="1">
      <alignment horizontal="right"/>
    </xf>
    <xf numFmtId="177" fontId="15" fillId="5" borderId="0" xfId="2" applyNumberFormat="1" applyFont="1" applyFill="1" applyBorder="1" applyAlignment="1"/>
    <xf numFmtId="182" fontId="15" fillId="5" borderId="0" xfId="2" applyNumberFormat="1" applyFont="1" applyFill="1" applyBorder="1" applyAlignment="1">
      <alignment horizontal="center"/>
    </xf>
    <xf numFmtId="177" fontId="14" fillId="5" borderId="0" xfId="2" applyNumberFormat="1" applyFont="1" applyFill="1" applyBorder="1" applyAlignment="1">
      <alignment horizontal="center"/>
    </xf>
    <xf numFmtId="177" fontId="14" fillId="5" borderId="0" xfId="2" applyNumberFormat="1" applyFont="1" applyFill="1" applyBorder="1" applyAlignment="1"/>
    <xf numFmtId="177" fontId="14" fillId="5" borderId="0" xfId="2" applyNumberFormat="1" applyFont="1" applyFill="1" applyAlignment="1"/>
    <xf numFmtId="0" fontId="7" fillId="0" borderId="1" xfId="0" applyNumberFormat="1" applyFont="1" applyFill="1" applyBorder="1" applyAlignment="1">
      <alignment horizontal="center"/>
    </xf>
    <xf numFmtId="182" fontId="14" fillId="5" borderId="0" xfId="2" applyNumberFormat="1" applyFont="1" applyFill="1" applyAlignment="1">
      <alignment horizontal="center"/>
    </xf>
    <xf numFmtId="177" fontId="14" fillId="5" borderId="0" xfId="2" applyNumberFormat="1" applyFont="1" applyFill="1" applyAlignment="1">
      <alignment horizontal="center"/>
    </xf>
    <xf numFmtId="177" fontId="15" fillId="5" borderId="0" xfId="2" applyNumberFormat="1" applyFont="1" applyFill="1" applyAlignment="1"/>
    <xf numFmtId="177" fontId="14" fillId="5" borderId="0" xfId="0" applyNumberFormat="1" applyFont="1" applyFill="1" applyAlignment="1"/>
    <xf numFmtId="182" fontId="14" fillId="5" borderId="0" xfId="0" applyNumberFormat="1" applyFont="1" applyFill="1" applyAlignment="1">
      <alignment horizontal="center"/>
    </xf>
    <xf numFmtId="177" fontId="14" fillId="5" borderId="0" xfId="0" applyNumberFormat="1" applyFont="1" applyFill="1" applyAlignment="1">
      <alignment horizontal="center"/>
    </xf>
    <xf numFmtId="177" fontId="14" fillId="5" borderId="0" xfId="0" applyNumberFormat="1" applyFont="1" applyFill="1" applyAlignment="1">
      <alignment horizontal="right"/>
    </xf>
    <xf numFmtId="10" fontId="14" fillId="5" borderId="0" xfId="0" applyNumberFormat="1" applyFont="1" applyFill="1" applyAlignment="1"/>
    <xf numFmtId="181" fontId="16" fillId="5" borderId="0" xfId="0" applyNumberFormat="1" applyFont="1" applyFill="1" applyAlignment="1">
      <alignment horizontal="center" vertical="center"/>
    </xf>
    <xf numFmtId="177" fontId="5" fillId="2" borderId="0" xfId="0" applyNumberFormat="1" applyFont="1" applyFill="1" applyAlignment="1"/>
    <xf numFmtId="177" fontId="15" fillId="5" borderId="0" xfId="0" applyNumberFormat="1" applyFont="1" applyFill="1" applyAlignment="1"/>
    <xf numFmtId="182" fontId="15" fillId="5" borderId="0" xfId="0" applyNumberFormat="1" applyFont="1" applyFill="1" applyAlignment="1">
      <alignment horizontal="center"/>
    </xf>
    <xf numFmtId="177" fontId="10" fillId="0" borderId="0" xfId="0" applyNumberFormat="1" applyFont="1" applyFill="1" applyAlignment="1"/>
    <xf numFmtId="177" fontId="10" fillId="0" borderId="0" xfId="0" applyNumberFormat="1" applyFont="1" applyFill="1" applyAlignment="1">
      <alignment horizontal="center"/>
    </xf>
    <xf numFmtId="0" fontId="10" fillId="0" borderId="0" xfId="0" applyFont="1" applyFill="1" applyAlignment="1"/>
    <xf numFmtId="0" fontId="11" fillId="0" borderId="0" xfId="0" applyFont="1" applyFill="1" applyAlignment="1">
      <alignment horizontal="center" vertical="center"/>
    </xf>
    <xf numFmtId="0" fontId="11" fillId="0" borderId="0" xfId="0" applyFont="1" applyFill="1" applyAlignment="1"/>
    <xf numFmtId="0" fontId="11" fillId="0" borderId="1" xfId="0" applyFont="1" applyFill="1" applyBorder="1" applyAlignment="1">
      <alignment horizontal="center" vertical="center"/>
    </xf>
    <xf numFmtId="18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6" fillId="0" borderId="0" xfId="0" applyFont="1" applyFill="1" applyAlignment="1">
      <alignment horizontal="right" vertical="center"/>
    </xf>
    <xf numFmtId="178" fontId="16" fillId="0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77" fontId="16" fillId="0" borderId="0" xfId="0" applyNumberFormat="1" applyFont="1" applyFill="1" applyAlignment="1">
      <alignment horizontal="center" vertical="center"/>
    </xf>
    <xf numFmtId="177" fontId="16" fillId="0" borderId="1" xfId="0" applyNumberFormat="1" applyFont="1" applyFill="1" applyBorder="1" applyAlignment="1">
      <alignment horizontal="center" vertical="center"/>
    </xf>
    <xf numFmtId="10" fontId="16" fillId="0" borderId="0" xfId="0" applyNumberFormat="1" applyFont="1" applyFill="1" applyAlignment="1">
      <alignment horizontal="center" vertical="center"/>
    </xf>
    <xf numFmtId="10" fontId="16" fillId="5" borderId="0" xfId="0" applyNumberFormat="1" applyFont="1" applyFill="1" applyAlignment="1">
      <alignment horizontal="center" vertical="center"/>
    </xf>
    <xf numFmtId="177" fontId="16" fillId="0" borderId="14" xfId="0" applyNumberFormat="1" applyFont="1" applyFill="1" applyBorder="1" applyAlignment="1">
      <alignment horizontal="right"/>
    </xf>
    <xf numFmtId="177" fontId="16" fillId="4" borderId="14" xfId="0" applyNumberFormat="1" applyFont="1" applyFill="1" applyBorder="1" applyAlignment="1">
      <alignment horizontal="right"/>
    </xf>
    <xf numFmtId="177" fontId="15" fillId="0" borderId="14" xfId="0" applyNumberFormat="1" applyFont="1" applyFill="1" applyBorder="1" applyAlignment="1">
      <alignment horizontal="right"/>
    </xf>
    <xf numFmtId="177" fontId="16" fillId="0" borderId="0" xfId="0" applyNumberFormat="1" applyFont="1" applyFill="1" applyBorder="1" applyAlignment="1">
      <alignment horizontal="right"/>
    </xf>
    <xf numFmtId="0" fontId="16" fillId="0" borderId="0" xfId="0" applyFont="1" applyFill="1" applyBorder="1" applyAlignment="1">
      <alignment horizontal="center" vertical="center"/>
    </xf>
    <xf numFmtId="177" fontId="16" fillId="0" borderId="0" xfId="0" applyNumberFormat="1" applyFont="1" applyFill="1" applyBorder="1" applyAlignment="1">
      <alignment horizontal="center" vertical="center"/>
    </xf>
    <xf numFmtId="177" fontId="18" fillId="4" borderId="1" xfId="0" applyNumberFormat="1" applyFont="1" applyFill="1" applyBorder="1" applyAlignment="1">
      <alignment horizontal="right"/>
    </xf>
    <xf numFmtId="177" fontId="16" fillId="2" borderId="1" xfId="0" applyNumberFormat="1" applyFont="1" applyFill="1" applyBorder="1" applyAlignment="1">
      <alignment horizontal="right"/>
    </xf>
    <xf numFmtId="178" fontId="16" fillId="2" borderId="1" xfId="0" applyNumberFormat="1" applyFont="1" applyFill="1" applyBorder="1" applyAlignment="1">
      <alignment horizontal="right"/>
    </xf>
    <xf numFmtId="177" fontId="14" fillId="2" borderId="1" xfId="2" applyNumberFormat="1" applyFont="1" applyFill="1" applyBorder="1" applyAlignment="1">
      <alignment horizontal="right"/>
    </xf>
    <xf numFmtId="182" fontId="14" fillId="3" borderId="1" xfId="2" applyNumberFormat="1" applyFont="1" applyFill="1" applyBorder="1" applyAlignment="1">
      <alignment horizontal="center"/>
    </xf>
    <xf numFmtId="177" fontId="14" fillId="3" borderId="1" xfId="2" applyNumberFormat="1" applyFont="1" applyFill="1" applyBorder="1" applyAlignment="1">
      <alignment horizontal="right"/>
    </xf>
    <xf numFmtId="181" fontId="20" fillId="0" borderId="0" xfId="0" applyNumberFormat="1" applyFont="1" applyFill="1" applyAlignment="1">
      <alignment horizontal="right" vertical="center"/>
    </xf>
    <xf numFmtId="182" fontId="14" fillId="3" borderId="1" xfId="0" applyNumberFormat="1" applyFont="1" applyFill="1" applyBorder="1" applyAlignment="1">
      <alignment horizontal="center"/>
    </xf>
    <xf numFmtId="181" fontId="14" fillId="3" borderId="1" xfId="0" applyNumberFormat="1" applyFont="1" applyFill="1" applyBorder="1" applyAlignment="1">
      <alignment horizontal="center"/>
    </xf>
    <xf numFmtId="177" fontId="15" fillId="2" borderId="0" xfId="2" applyNumberFormat="1" applyFont="1" applyFill="1" applyAlignment="1"/>
    <xf numFmtId="0" fontId="14" fillId="3" borderId="1" xfId="0" applyNumberFormat="1" applyFont="1" applyFill="1" applyBorder="1" applyAlignment="1">
      <alignment horizontal="center"/>
    </xf>
    <xf numFmtId="177" fontId="15" fillId="0" borderId="14" xfId="2" applyNumberFormat="1" applyFont="1" applyFill="1" applyBorder="1" applyAlignment="1">
      <alignment horizontal="right"/>
    </xf>
    <xf numFmtId="10" fontId="16" fillId="0" borderId="0" xfId="0" applyNumberFormat="1" applyFont="1" applyFill="1" applyBorder="1" applyAlignment="1">
      <alignment horizontal="right" vertical="center"/>
    </xf>
    <xf numFmtId="177" fontId="14" fillId="4" borderId="1" xfId="2" applyNumberFormat="1" applyFont="1" applyFill="1" applyBorder="1" applyAlignment="1"/>
    <xf numFmtId="177" fontId="14" fillId="4" borderId="14" xfId="2" applyNumberFormat="1" applyFont="1" applyFill="1" applyBorder="1" applyAlignment="1"/>
    <xf numFmtId="177" fontId="16" fillId="4" borderId="1" xfId="0" applyNumberFormat="1" applyFont="1" applyFill="1" applyBorder="1" applyAlignment="1">
      <alignment vertical="center"/>
    </xf>
    <xf numFmtId="177" fontId="16" fillId="0" borderId="0" xfId="0" applyNumberFormat="1" applyFont="1" applyFill="1" applyBorder="1" applyAlignment="1">
      <alignment horizontal="right" vertical="center"/>
    </xf>
    <xf numFmtId="177" fontId="16" fillId="0" borderId="1" xfId="0" applyNumberFormat="1" applyFont="1" applyFill="1" applyBorder="1" applyAlignment="1">
      <alignment horizontal="right" vertical="center"/>
    </xf>
    <xf numFmtId="177" fontId="18" fillId="0" borderId="1" xfId="0" applyNumberFormat="1" applyFont="1" applyFill="1" applyBorder="1" applyAlignment="1">
      <alignment horizontal="right" vertical="center"/>
    </xf>
    <xf numFmtId="177" fontId="16" fillId="3" borderId="1" xfId="0" applyNumberFormat="1" applyFont="1" applyFill="1" applyBorder="1" applyAlignment="1">
      <alignment horizontal="right" vertical="center"/>
    </xf>
    <xf numFmtId="177" fontId="16" fillId="0" borderId="0" xfId="0" applyNumberFormat="1" applyFont="1" applyFill="1" applyAlignment="1">
      <alignment horizontal="right" vertical="center"/>
    </xf>
    <xf numFmtId="0" fontId="12" fillId="0" borderId="1" xfId="0" applyFont="1" applyBorder="1" applyAlignment="1">
      <alignment horizontal="left"/>
    </xf>
    <xf numFmtId="0" fontId="13" fillId="0" borderId="0" xfId="0" applyFont="1">
      <alignment vertical="center"/>
    </xf>
    <xf numFmtId="0" fontId="11" fillId="0" borderId="0" xfId="0" applyFont="1" applyFill="1" applyAlignment="1">
      <alignment horizontal="left" vertical="center"/>
    </xf>
    <xf numFmtId="181" fontId="17" fillId="0" borderId="1" xfId="0" applyNumberFormat="1" applyFont="1" applyFill="1" applyBorder="1" applyAlignment="1">
      <alignment horizontal="center"/>
    </xf>
    <xf numFmtId="181" fontId="16" fillId="0" borderId="0" xfId="0" applyNumberFormat="1" applyFont="1" applyFill="1" applyBorder="1" applyAlignment="1">
      <alignment horizontal="right"/>
    </xf>
    <xf numFmtId="181" fontId="20" fillId="0" borderId="0" xfId="0" applyNumberFormat="1" applyFont="1" applyFill="1" applyAlignment="1">
      <alignment horizontal="center" vertical="center"/>
    </xf>
    <xf numFmtId="181" fontId="16" fillId="5" borderId="0" xfId="0" applyNumberFormat="1" applyFont="1" applyFill="1">
      <alignment vertical="center"/>
    </xf>
    <xf numFmtId="181" fontId="14" fillId="0" borderId="0" xfId="0" applyNumberFormat="1" applyFont="1" applyFill="1" applyAlignment="1"/>
    <xf numFmtId="181" fontId="14" fillId="0" borderId="1" xfId="0" applyNumberFormat="1" applyFont="1" applyFill="1" applyBorder="1" applyAlignment="1">
      <alignment horizontal="right"/>
    </xf>
    <xf numFmtId="181" fontId="14" fillId="4" borderId="1" xfId="0" applyNumberFormat="1" applyFont="1" applyFill="1" applyBorder="1" applyAlignment="1">
      <alignment horizontal="right"/>
    </xf>
    <xf numFmtId="181" fontId="15" fillId="0" borderId="1" xfId="0" applyNumberFormat="1" applyFont="1" applyFill="1" applyBorder="1" applyAlignment="1">
      <alignment horizontal="right"/>
    </xf>
    <xf numFmtId="181" fontId="15" fillId="0" borderId="0" xfId="0" applyNumberFormat="1" applyFont="1" applyFill="1" applyBorder="1" applyAlignment="1">
      <alignment horizontal="right"/>
    </xf>
    <xf numFmtId="181" fontId="14" fillId="0" borderId="0" xfId="0" applyNumberFormat="1" applyFont="1" applyFill="1" applyBorder="1" applyAlignment="1">
      <alignment horizontal="right" wrapText="1"/>
    </xf>
    <xf numFmtId="181" fontId="16" fillId="0" borderId="0" xfId="0" applyNumberFormat="1" applyFont="1" applyFill="1" applyBorder="1" applyAlignment="1">
      <alignment horizontal="center" vertical="center"/>
    </xf>
    <xf numFmtId="181" fontId="18" fillId="4" borderId="1" xfId="0" applyNumberFormat="1" applyFont="1" applyFill="1" applyBorder="1" applyAlignment="1">
      <alignment horizontal="right"/>
    </xf>
    <xf numFmtId="181" fontId="14" fillId="0" borderId="0" xfId="0" applyNumberFormat="1" applyFont="1" applyFill="1" applyBorder="1" applyAlignment="1">
      <alignment horizontal="right"/>
    </xf>
    <xf numFmtId="181" fontId="16" fillId="5" borderId="0" xfId="0" applyNumberFormat="1" applyFont="1" applyFill="1" applyBorder="1" applyAlignment="1">
      <alignment horizontal="right"/>
    </xf>
    <xf numFmtId="181" fontId="14" fillId="0" borderId="1" xfId="2" applyNumberFormat="1" applyFont="1" applyFill="1" applyBorder="1" applyAlignment="1">
      <alignment horizontal="center"/>
    </xf>
    <xf numFmtId="181" fontId="14" fillId="2" borderId="1" xfId="2" applyNumberFormat="1" applyFont="1" applyFill="1" applyBorder="1" applyAlignment="1">
      <alignment horizontal="right"/>
    </xf>
    <xf numFmtId="181" fontId="14" fillId="0" borderId="1" xfId="2" applyNumberFormat="1" applyFont="1" applyFill="1" applyBorder="1" applyAlignment="1">
      <alignment horizontal="right"/>
    </xf>
    <xf numFmtId="181" fontId="14" fillId="3" borderId="1" xfId="2" applyNumberFormat="1" applyFont="1" applyFill="1" applyBorder="1" applyAlignment="1">
      <alignment horizontal="right"/>
    </xf>
    <xf numFmtId="181" fontId="14" fillId="4" borderId="1" xfId="2" applyNumberFormat="1" applyFont="1" applyFill="1" applyBorder="1" applyAlignment="1">
      <alignment horizontal="right"/>
    </xf>
    <xf numFmtId="181" fontId="15" fillId="0" borderId="1" xfId="2" applyNumberFormat="1" applyFont="1" applyFill="1" applyBorder="1" applyAlignment="1">
      <alignment horizontal="right"/>
    </xf>
    <xf numFmtId="181" fontId="14" fillId="0" borderId="2" xfId="0" applyNumberFormat="1" applyFont="1" applyFill="1" applyBorder="1" applyAlignment="1">
      <alignment vertical="center" wrapText="1"/>
    </xf>
    <xf numFmtId="181" fontId="14" fillId="5" borderId="0" xfId="0" applyNumberFormat="1" applyFont="1" applyFill="1" applyBorder="1" applyAlignment="1">
      <alignment vertical="center" wrapText="1"/>
    </xf>
    <xf numFmtId="181" fontId="14" fillId="5" borderId="0" xfId="2" applyNumberFormat="1" applyFont="1" applyFill="1" applyAlignment="1"/>
    <xf numFmtId="181" fontId="16" fillId="0" borderId="1" xfId="0" applyNumberFormat="1" applyFont="1" applyFill="1" applyBorder="1" applyAlignment="1">
      <alignment horizontal="center" vertical="center"/>
    </xf>
    <xf numFmtId="181" fontId="16" fillId="0" borderId="1" xfId="0" applyNumberFormat="1" applyFont="1" applyFill="1" applyBorder="1" applyAlignment="1">
      <alignment horizontal="right" vertical="center"/>
    </xf>
    <xf numFmtId="181" fontId="16" fillId="3" borderId="1" xfId="0" applyNumberFormat="1" applyFont="1" applyFill="1" applyBorder="1" applyAlignment="1">
      <alignment horizontal="right" vertical="center"/>
    </xf>
    <xf numFmtId="181" fontId="14" fillId="4" borderId="14" xfId="2" applyNumberFormat="1" applyFont="1" applyFill="1" applyBorder="1" applyAlignment="1"/>
    <xf numFmtId="181" fontId="16" fillId="4" borderId="1" xfId="0" applyNumberFormat="1" applyFont="1" applyFill="1" applyBorder="1" applyAlignment="1">
      <alignment vertical="center"/>
    </xf>
    <xf numFmtId="181" fontId="15" fillId="0" borderId="14" xfId="2" applyNumberFormat="1" applyFont="1" applyFill="1" applyBorder="1" applyAlignment="1">
      <alignment horizontal="right"/>
    </xf>
    <xf numFmtId="181" fontId="18" fillId="0" borderId="1" xfId="0" applyNumberFormat="1" applyFont="1" applyFill="1" applyBorder="1" applyAlignment="1">
      <alignment horizontal="right" vertical="center"/>
    </xf>
    <xf numFmtId="181" fontId="16" fillId="0" borderId="0" xfId="0" applyNumberFormat="1" applyFont="1" applyFill="1" applyBorder="1" applyAlignment="1">
      <alignment horizontal="right" vertical="center"/>
    </xf>
    <xf numFmtId="181" fontId="14" fillId="0" borderId="2" xfId="2" applyNumberFormat="1" applyFont="1" applyFill="1" applyBorder="1" applyAlignment="1">
      <alignment wrapText="1"/>
    </xf>
    <xf numFmtId="181" fontId="14" fillId="5" borderId="0" xfId="0" applyNumberFormat="1" applyFont="1" applyFill="1" applyAlignment="1"/>
    <xf numFmtId="183" fontId="16" fillId="0" borderId="1" xfId="0" applyNumberFormat="1" applyFont="1" applyFill="1" applyBorder="1" applyAlignment="1">
      <alignment horizontal="center"/>
    </xf>
    <xf numFmtId="183" fontId="17" fillId="0" borderId="1" xfId="0" applyNumberFormat="1" applyFont="1" applyFill="1" applyBorder="1" applyAlignment="1">
      <alignment horizontal="center"/>
    </xf>
    <xf numFmtId="183" fontId="16" fillId="0" borderId="1" xfId="0" applyNumberFormat="1" applyFont="1" applyFill="1" applyBorder="1" applyAlignment="1">
      <alignment horizontal="right"/>
    </xf>
    <xf numFmtId="183" fontId="16" fillId="2" borderId="1" xfId="0" applyNumberFormat="1" applyFont="1" applyFill="1" applyBorder="1" applyAlignment="1">
      <alignment horizontal="right"/>
    </xf>
    <xf numFmtId="183" fontId="16" fillId="4" borderId="1" xfId="0" applyNumberFormat="1" applyFont="1" applyFill="1" applyBorder="1" applyAlignment="1">
      <alignment horizontal="right"/>
    </xf>
    <xf numFmtId="183" fontId="18" fillId="0" borderId="1" xfId="0" applyNumberFormat="1" applyFont="1" applyFill="1" applyBorder="1">
      <alignment vertical="center"/>
    </xf>
    <xf numFmtId="183" fontId="15" fillId="0" borderId="0" xfId="0" applyNumberFormat="1" applyFont="1" applyFill="1" applyBorder="1" applyAlignment="1">
      <alignment wrapText="1"/>
    </xf>
    <xf numFmtId="183" fontId="7" fillId="0" borderId="0" xfId="0" applyNumberFormat="1" applyFont="1" applyFill="1" applyBorder="1" applyAlignment="1">
      <alignment horizontal="right"/>
    </xf>
    <xf numFmtId="183" fontId="16" fillId="0" borderId="0" xfId="0" applyNumberFormat="1" applyFont="1" applyFill="1">
      <alignment vertical="center"/>
    </xf>
    <xf numFmtId="183" fontId="15" fillId="0" borderId="0" xfId="0" applyNumberFormat="1" applyFont="1" applyFill="1" applyBorder="1" applyAlignment="1">
      <alignment horizontal="left" wrapText="1"/>
    </xf>
    <xf numFmtId="183" fontId="15" fillId="5" borderId="0" xfId="0" applyNumberFormat="1" applyFont="1" applyFill="1" applyBorder="1" applyAlignment="1">
      <alignment horizontal="left" wrapText="1"/>
    </xf>
    <xf numFmtId="183" fontId="14" fillId="0" borderId="0" xfId="0" applyNumberFormat="1" applyFont="1" applyFill="1" applyAlignment="1"/>
    <xf numFmtId="183" fontId="14" fillId="0" borderId="0" xfId="0" applyNumberFormat="1" applyFont="1" applyFill="1" applyAlignment="1">
      <alignment horizontal="center"/>
    </xf>
    <xf numFmtId="183" fontId="14" fillId="0" borderId="1" xfId="0" applyNumberFormat="1" applyFont="1" applyFill="1" applyBorder="1" applyAlignment="1">
      <alignment horizontal="right"/>
    </xf>
    <xf numFmtId="183" fontId="14" fillId="4" borderId="1" xfId="0" applyNumberFormat="1" applyFont="1" applyFill="1" applyBorder="1" applyAlignment="1">
      <alignment horizontal="right"/>
    </xf>
    <xf numFmtId="183" fontId="15" fillId="0" borderId="1" xfId="0" applyNumberFormat="1" applyFont="1" applyFill="1" applyBorder="1" applyAlignment="1">
      <alignment horizontal="right"/>
    </xf>
    <xf numFmtId="183" fontId="15" fillId="0" borderId="0" xfId="0" applyNumberFormat="1" applyFont="1" applyFill="1" applyBorder="1" applyAlignment="1">
      <alignment horizontal="right"/>
    </xf>
    <xf numFmtId="183" fontId="14" fillId="0" borderId="0" xfId="0" applyNumberFormat="1" applyFont="1" applyFill="1" applyBorder="1" applyAlignment="1">
      <alignment horizontal="right" wrapText="1"/>
    </xf>
    <xf numFmtId="183" fontId="15" fillId="5" borderId="0" xfId="0" applyNumberFormat="1" applyFont="1" applyFill="1" applyBorder="1" applyAlignment="1">
      <alignment horizontal="right"/>
    </xf>
    <xf numFmtId="183" fontId="7" fillId="5" borderId="0" xfId="0" applyNumberFormat="1" applyFont="1" applyFill="1" applyBorder="1" applyAlignment="1">
      <alignment horizontal="right"/>
    </xf>
    <xf numFmtId="183" fontId="14" fillId="5" borderId="0" xfId="0" applyNumberFormat="1" applyFont="1" applyFill="1" applyBorder="1" applyAlignment="1">
      <alignment horizontal="right"/>
    </xf>
    <xf numFmtId="183" fontId="16" fillId="0" borderId="0" xfId="0" applyNumberFormat="1" applyFont="1" applyFill="1" applyBorder="1" applyAlignment="1">
      <alignment horizontal="right"/>
    </xf>
    <xf numFmtId="183" fontId="16" fillId="0" borderId="14" xfId="0" applyNumberFormat="1" applyFont="1" applyFill="1" applyBorder="1" applyAlignment="1">
      <alignment horizontal="right"/>
    </xf>
    <xf numFmtId="183" fontId="16" fillId="4" borderId="14" xfId="0" applyNumberFormat="1" applyFont="1" applyFill="1" applyBorder="1" applyAlignment="1">
      <alignment horizontal="right"/>
    </xf>
    <xf numFmtId="183" fontId="15" fillId="0" borderId="14" xfId="0" applyNumberFormat="1" applyFont="1" applyFill="1" applyBorder="1" applyAlignment="1">
      <alignment horizontal="right"/>
    </xf>
    <xf numFmtId="183" fontId="14" fillId="0" borderId="0" xfId="0" applyNumberFormat="1" applyFont="1" applyFill="1" applyBorder="1" applyAlignment="1">
      <alignment horizontal="right"/>
    </xf>
    <xf numFmtId="183" fontId="16" fillId="0" borderId="0" xfId="0" applyNumberFormat="1" applyFont="1" applyFill="1" applyAlignment="1">
      <alignment horizontal="right" vertical="center"/>
    </xf>
    <xf numFmtId="183" fontId="16" fillId="5" borderId="0" xfId="0" applyNumberFormat="1" applyFont="1" applyFill="1" applyBorder="1" applyAlignment="1">
      <alignment horizontal="right"/>
    </xf>
    <xf numFmtId="183" fontId="16" fillId="0" borderId="1" xfId="0" applyNumberFormat="1" applyFont="1" applyFill="1" applyBorder="1" applyAlignment="1"/>
    <xf numFmtId="183" fontId="14" fillId="0" borderId="1" xfId="2" applyNumberFormat="1" applyFont="1" applyFill="1" applyBorder="1" applyAlignment="1">
      <alignment horizontal="center"/>
    </xf>
    <xf numFmtId="183" fontId="14" fillId="2" borderId="1" xfId="2" applyNumberFormat="1" applyFont="1" applyFill="1" applyBorder="1" applyAlignment="1">
      <alignment horizontal="right"/>
    </xf>
    <xf numFmtId="183" fontId="14" fillId="0" borderId="1" xfId="2" applyNumberFormat="1" applyFont="1" applyFill="1" applyBorder="1" applyAlignment="1">
      <alignment horizontal="right"/>
    </xf>
    <xf numFmtId="183" fontId="14" fillId="3" borderId="1" xfId="2" applyNumberFormat="1" applyFont="1" applyFill="1" applyBorder="1" applyAlignment="1">
      <alignment horizontal="right"/>
    </xf>
    <xf numFmtId="183" fontId="14" fillId="4" borderId="1" xfId="2" applyNumberFormat="1" applyFont="1" applyFill="1" applyBorder="1" applyAlignment="1">
      <alignment horizontal="right"/>
    </xf>
    <xf numFmtId="183" fontId="15" fillId="0" borderId="1" xfId="0" applyNumberFormat="1" applyFont="1" applyFill="1" applyBorder="1" applyAlignment="1"/>
    <xf numFmtId="183" fontId="15" fillId="0" borderId="1" xfId="2" applyNumberFormat="1" applyFont="1" applyFill="1" applyBorder="1" applyAlignment="1">
      <alignment horizontal="right"/>
    </xf>
    <xf numFmtId="183" fontId="14" fillId="0" borderId="2" xfId="0" applyNumberFormat="1" applyFont="1" applyFill="1" applyBorder="1" applyAlignment="1">
      <alignment vertical="center" wrapText="1"/>
    </xf>
    <xf numFmtId="183" fontId="15" fillId="0" borderId="0" xfId="0" applyNumberFormat="1" applyFont="1" applyFill="1" applyBorder="1" applyAlignment="1">
      <alignment vertical="center" wrapText="1"/>
    </xf>
    <xf numFmtId="183" fontId="14" fillId="0" borderId="0" xfId="0" applyNumberFormat="1" applyFont="1" applyFill="1" applyBorder="1" applyAlignment="1">
      <alignment vertical="center" wrapText="1"/>
    </xf>
    <xf numFmtId="183" fontId="15" fillId="5" borderId="0" xfId="0" applyNumberFormat="1" applyFont="1" applyFill="1" applyBorder="1" applyAlignment="1">
      <alignment vertical="center" wrapText="1"/>
    </xf>
    <xf numFmtId="183" fontId="14" fillId="5" borderId="0" xfId="0" applyNumberFormat="1" applyFont="1" applyFill="1" applyBorder="1" applyAlignment="1">
      <alignment vertical="center" wrapText="1"/>
    </xf>
    <xf numFmtId="183" fontId="7" fillId="0" borderId="0" xfId="0" applyNumberFormat="1" applyFont="1" applyFill="1" applyBorder="1" applyAlignment="1">
      <alignment horizontal="right" vertical="center" wrapText="1"/>
    </xf>
    <xf numFmtId="183" fontId="14" fillId="0" borderId="0" xfId="2" applyNumberFormat="1" applyFont="1" applyFill="1" applyBorder="1" applyAlignment="1"/>
    <xf numFmtId="183" fontId="14" fillId="0" borderId="0" xfId="2" applyNumberFormat="1" applyFont="1" applyFill="1" applyAlignment="1"/>
    <xf numFmtId="183" fontId="14" fillId="5" borderId="0" xfId="2" applyNumberFormat="1" applyFont="1" applyFill="1" applyBorder="1" applyAlignment="1"/>
    <xf numFmtId="183" fontId="14" fillId="0" borderId="0" xfId="2" applyNumberFormat="1" applyFont="1" applyFill="1" applyAlignment="1">
      <alignment horizontal="center"/>
    </xf>
    <xf numFmtId="183" fontId="14" fillId="3" borderId="1" xfId="2" applyNumberFormat="1" applyFont="1" applyFill="1" applyBorder="1" applyAlignment="1">
      <alignment horizontal="center"/>
    </xf>
    <xf numFmtId="183" fontId="14" fillId="4" borderId="1" xfId="2" applyNumberFormat="1" applyFont="1" applyFill="1" applyBorder="1" applyAlignment="1"/>
    <xf numFmtId="183" fontId="15" fillId="0" borderId="1" xfId="0" applyNumberFormat="1" applyFont="1" applyFill="1" applyBorder="1" applyAlignment="1">
      <alignment horizontal="center"/>
    </xf>
    <xf numFmtId="183" fontId="15" fillId="0" borderId="2" xfId="2" applyNumberFormat="1" applyFont="1" applyFill="1" applyBorder="1" applyAlignment="1">
      <alignment wrapText="1"/>
    </xf>
    <xf numFmtId="183" fontId="15" fillId="0" borderId="0" xfId="2" applyNumberFormat="1" applyFont="1" applyFill="1" applyAlignment="1"/>
    <xf numFmtId="183" fontId="14" fillId="5" borderId="0" xfId="2" applyNumberFormat="1" applyFont="1" applyFill="1" applyAlignment="1"/>
    <xf numFmtId="183" fontId="15" fillId="5" borderId="0" xfId="2" applyNumberFormat="1" applyFont="1" applyFill="1" applyAlignment="1"/>
    <xf numFmtId="183" fontId="15" fillId="0" borderId="1" xfId="2" applyNumberFormat="1" applyFont="1" applyFill="1" applyBorder="1" applyAlignment="1"/>
    <xf numFmtId="183" fontId="14" fillId="0" borderId="0" xfId="0" applyNumberFormat="1" applyFont="1" applyFill="1" applyAlignment="1">
      <alignment horizontal="right"/>
    </xf>
    <xf numFmtId="183" fontId="14" fillId="5" borderId="0" xfId="0" applyNumberFormat="1" applyFont="1" applyFill="1" applyAlignment="1"/>
    <xf numFmtId="183" fontId="14" fillId="5" borderId="0" xfId="0" applyNumberFormat="1" applyFont="1" applyFill="1" applyAlignment="1">
      <alignment horizontal="right"/>
    </xf>
    <xf numFmtId="183" fontId="15" fillId="0" borderId="0" xfId="0" applyNumberFormat="1" applyFont="1" applyFill="1" applyAlignment="1"/>
    <xf numFmtId="183" fontId="7" fillId="0" borderId="0" xfId="0" applyNumberFormat="1" applyFont="1" applyFill="1" applyAlignment="1">
      <alignment horizontal="right"/>
    </xf>
    <xf numFmtId="183" fontId="18" fillId="0" borderId="0" xfId="0" applyNumberFormat="1" applyFont="1" applyFill="1">
      <alignment vertical="center"/>
    </xf>
    <xf numFmtId="0" fontId="16" fillId="6" borderId="0" xfId="0" applyFont="1" applyFill="1">
      <alignment vertical="center"/>
    </xf>
    <xf numFmtId="182" fontId="16" fillId="6" borderId="0" xfId="0" applyNumberFormat="1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181" fontId="16" fillId="6" borderId="0" xfId="0" applyNumberFormat="1" applyFont="1" applyFill="1" applyAlignment="1">
      <alignment horizontal="right" vertical="center"/>
    </xf>
    <xf numFmtId="177" fontId="14" fillId="0" borderId="14" xfId="2" applyNumberFormat="1" applyFont="1" applyFill="1" applyBorder="1" applyAlignment="1"/>
    <xf numFmtId="177" fontId="16" fillId="0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181" fontId="0" fillId="0" borderId="0" xfId="0" applyNumberFormat="1">
      <alignment vertical="center"/>
    </xf>
    <xf numFmtId="177" fontId="10" fillId="0" borderId="17" xfId="4" applyNumberFormat="1" applyFont="1" applyFill="1" applyBorder="1" applyAlignment="1">
      <alignment horizontal="center" vertical="center"/>
    </xf>
    <xf numFmtId="0" fontId="11" fillId="3" borderId="0" xfId="0" applyFont="1" applyFill="1">
      <alignment vertical="center"/>
    </xf>
    <xf numFmtId="0" fontId="11" fillId="3" borderId="0" xfId="0" applyFont="1" applyFill="1" applyAlignment="1">
      <alignment horizontal="center" vertical="center"/>
    </xf>
    <xf numFmtId="0" fontId="19" fillId="2" borderId="0" xfId="0" applyFont="1" applyFill="1">
      <alignment vertical="center"/>
    </xf>
    <xf numFmtId="182" fontId="16" fillId="7" borderId="0" xfId="0" applyNumberFormat="1" applyFont="1" applyFill="1" applyAlignment="1">
      <alignment horizontal="center" vertical="center"/>
    </xf>
    <xf numFmtId="0" fontId="16" fillId="7" borderId="0" xfId="0" applyFont="1" applyFill="1">
      <alignment vertical="center"/>
    </xf>
    <xf numFmtId="0" fontId="16" fillId="7" borderId="0" xfId="0" applyFont="1" applyFill="1" applyAlignment="1">
      <alignment horizontal="center" vertical="center"/>
    </xf>
    <xf numFmtId="181" fontId="16" fillId="7" borderId="0" xfId="0" applyNumberFormat="1" applyFont="1" applyFill="1" applyAlignment="1">
      <alignment horizontal="right" vertical="center"/>
    </xf>
    <xf numFmtId="181" fontId="21" fillId="0" borderId="1" xfId="0" applyNumberFormat="1" applyFont="1" applyFill="1" applyBorder="1" applyAlignment="1">
      <alignment horizontal="center" vertical="center"/>
    </xf>
    <xf numFmtId="177" fontId="10" fillId="8" borderId="11" xfId="4" applyNumberFormat="1" applyFont="1" applyFill="1" applyBorder="1" applyAlignment="1">
      <alignment horizontal="center" vertical="center"/>
    </xf>
    <xf numFmtId="177" fontId="11" fillId="8" borderId="1" xfId="0" applyNumberFormat="1" applyFont="1" applyFill="1" applyBorder="1" applyAlignment="1">
      <alignment horizontal="center"/>
    </xf>
    <xf numFmtId="0" fontId="14" fillId="3" borderId="1" xfId="2" applyNumberFormat="1" applyFont="1" applyFill="1" applyBorder="1" applyAlignment="1">
      <alignment horizontal="center"/>
    </xf>
    <xf numFmtId="182" fontId="16" fillId="3" borderId="1" xfId="0" applyNumberFormat="1" applyFont="1" applyFill="1" applyBorder="1" applyAlignment="1">
      <alignment horizontal="center" vertical="center"/>
    </xf>
    <xf numFmtId="177" fontId="14" fillId="3" borderId="1" xfId="0" applyNumberFormat="1" applyFont="1" applyFill="1" applyBorder="1" applyAlignment="1">
      <alignment horizontal="center"/>
    </xf>
    <xf numFmtId="0" fontId="16" fillId="9" borderId="0" xfId="0" applyFont="1" applyFill="1">
      <alignment vertical="center"/>
    </xf>
    <xf numFmtId="182" fontId="16" fillId="9" borderId="0" xfId="0" applyNumberFormat="1" applyFont="1" applyFill="1" applyAlignment="1">
      <alignment horizontal="center" vertical="center"/>
    </xf>
    <xf numFmtId="183" fontId="16" fillId="9" borderId="0" xfId="0" applyNumberFormat="1" applyFont="1" applyFill="1">
      <alignment vertical="center"/>
    </xf>
    <xf numFmtId="181" fontId="16" fillId="9" borderId="0" xfId="0" applyNumberFormat="1" applyFont="1" applyFill="1">
      <alignment vertical="center"/>
    </xf>
    <xf numFmtId="181" fontId="16" fillId="9" borderId="0" xfId="0" applyNumberFormat="1" applyFont="1" applyFill="1" applyAlignment="1">
      <alignment horizontal="center" vertical="center"/>
    </xf>
    <xf numFmtId="181" fontId="16" fillId="9" borderId="0" xfId="0" applyNumberFormat="1" applyFont="1" applyFill="1" applyAlignment="1">
      <alignment horizontal="right" vertical="center"/>
    </xf>
    <xf numFmtId="0" fontId="17" fillId="0" borderId="1" xfId="0" applyFont="1" applyFill="1" applyBorder="1" applyAlignment="1">
      <alignment horizontal="center"/>
    </xf>
    <xf numFmtId="184" fontId="16" fillId="2" borderId="1" xfId="0" applyNumberFormat="1" applyFont="1" applyFill="1" applyBorder="1" applyAlignment="1">
      <alignment horizontal="right"/>
    </xf>
    <xf numFmtId="184" fontId="16" fillId="0" borderId="1" xfId="0" applyNumberFormat="1" applyFont="1" applyFill="1" applyBorder="1" applyAlignment="1">
      <alignment horizontal="right"/>
    </xf>
    <xf numFmtId="184" fontId="14" fillId="3" borderId="1" xfId="2" applyNumberFormat="1" applyFont="1" applyFill="1" applyBorder="1" applyAlignment="1">
      <alignment horizontal="right"/>
    </xf>
    <xf numFmtId="184" fontId="14" fillId="0" borderId="1" xfId="2" applyNumberFormat="1" applyFont="1" applyFill="1" applyBorder="1" applyAlignment="1">
      <alignment horizontal="right"/>
    </xf>
    <xf numFmtId="184" fontId="14" fillId="2" borderId="1" xfId="2" applyNumberFormat="1" applyFont="1" applyFill="1" applyBorder="1" applyAlignment="1">
      <alignment horizontal="right"/>
    </xf>
    <xf numFmtId="0" fontId="11" fillId="0" borderId="0" xfId="0" applyFont="1" applyFill="1" applyAlignment="1">
      <alignment horizontal="left" vertical="center"/>
    </xf>
    <xf numFmtId="0" fontId="11" fillId="0" borderId="1" xfId="0" applyFont="1" applyBorder="1" applyAlignment="1">
      <alignment horizontal="center"/>
    </xf>
    <xf numFmtId="0" fontId="0" fillId="2" borderId="1" xfId="0" applyFill="1" applyBorder="1">
      <alignment vertical="center"/>
    </xf>
    <xf numFmtId="181" fontId="0" fillId="2" borderId="1" xfId="0" applyNumberFormat="1" applyFill="1" applyBorder="1">
      <alignment vertical="center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/>
    <xf numFmtId="0" fontId="7" fillId="3" borderId="1" xfId="0" applyFont="1" applyFill="1" applyBorder="1" applyAlignment="1"/>
    <xf numFmtId="178" fontId="14" fillId="3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/>
    <xf numFmtId="177" fontId="14" fillId="3" borderId="1" xfId="0" applyNumberFormat="1" applyFont="1" applyFill="1" applyBorder="1" applyAlignment="1">
      <alignment horizontal="right"/>
    </xf>
    <xf numFmtId="178" fontId="14" fillId="2" borderId="1" xfId="0" applyNumberFormat="1" applyFont="1" applyFill="1" applyBorder="1" applyAlignment="1">
      <alignment horizontal="right"/>
    </xf>
    <xf numFmtId="0" fontId="14" fillId="3" borderId="1" xfId="2" applyNumberFormat="1" applyFont="1" applyFill="1" applyBorder="1" applyAlignment="1">
      <alignment horizontal="center" wrapText="1"/>
    </xf>
    <xf numFmtId="182" fontId="14" fillId="3" borderId="1" xfId="2" applyNumberFormat="1" applyFont="1" applyFill="1" applyBorder="1" applyAlignment="1">
      <alignment horizontal="center" wrapText="1"/>
    </xf>
    <xf numFmtId="177" fontId="14" fillId="3" borderId="1" xfId="2" applyNumberFormat="1" applyFont="1" applyFill="1" applyBorder="1" applyAlignment="1">
      <alignment horizontal="center" wrapText="1"/>
    </xf>
    <xf numFmtId="177" fontId="5" fillId="0" borderId="1" xfId="2" applyNumberFormat="1" applyFont="1" applyFill="1" applyBorder="1" applyAlignment="1">
      <alignment horizontal="left" wrapText="1"/>
    </xf>
    <xf numFmtId="0" fontId="7" fillId="3" borderId="1" xfId="2" applyNumberFormat="1" applyFont="1" applyFill="1" applyBorder="1" applyAlignment="1">
      <alignment horizontal="center" wrapText="1"/>
    </xf>
    <xf numFmtId="0" fontId="16" fillId="0" borderId="0" xfId="0" applyFont="1" applyFill="1" applyAlignment="1">
      <alignment horizontal="center" vertical="center" wrapText="1"/>
    </xf>
    <xf numFmtId="0" fontId="16" fillId="3" borderId="0" xfId="0" applyFont="1" applyFill="1">
      <alignment vertical="center"/>
    </xf>
    <xf numFmtId="182" fontId="16" fillId="3" borderId="0" xfId="0" applyNumberFormat="1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181" fontId="16" fillId="3" borderId="0" xfId="0" applyNumberFormat="1" applyFont="1" applyFill="1" applyAlignment="1">
      <alignment horizontal="right" vertical="center"/>
    </xf>
    <xf numFmtId="184" fontId="14" fillId="0" borderId="1" xfId="0" applyNumberFormat="1" applyFont="1" applyFill="1" applyBorder="1" applyAlignment="1">
      <alignment horizontal="right"/>
    </xf>
    <xf numFmtId="184" fontId="14" fillId="2" borderId="1" xfId="0" applyNumberFormat="1" applyFont="1" applyFill="1" applyBorder="1" applyAlignment="1">
      <alignment horizontal="right"/>
    </xf>
    <xf numFmtId="184" fontId="14" fillId="3" borderId="1" xfId="0" applyNumberFormat="1" applyFont="1" applyFill="1" applyBorder="1" applyAlignment="1">
      <alignment horizontal="right"/>
    </xf>
    <xf numFmtId="184" fontId="15" fillId="0" borderId="1" xfId="0" applyNumberFormat="1" applyFont="1" applyFill="1" applyBorder="1" applyAlignment="1">
      <alignment horizontal="right"/>
    </xf>
    <xf numFmtId="184" fontId="15" fillId="0" borderId="14" xfId="0" applyNumberFormat="1" applyFont="1" applyFill="1" applyBorder="1" applyAlignment="1">
      <alignment horizontal="right"/>
    </xf>
    <xf numFmtId="184" fontId="18" fillId="0" borderId="1" xfId="0" applyNumberFormat="1" applyFont="1" applyFill="1" applyBorder="1" applyAlignment="1">
      <alignment horizontal="right"/>
    </xf>
    <xf numFmtId="184" fontId="14" fillId="0" borderId="1" xfId="2" applyNumberFormat="1" applyFont="1" applyFill="1" applyBorder="1" applyAlignment="1">
      <alignment horizontal="center"/>
    </xf>
    <xf numFmtId="184" fontId="15" fillId="0" borderId="1" xfId="0" applyNumberFormat="1" applyFont="1" applyFill="1" applyBorder="1" applyAlignment="1"/>
    <xf numFmtId="184" fontId="15" fillId="0" borderId="1" xfId="2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left" vertical="center"/>
    </xf>
    <xf numFmtId="177" fontId="15" fillId="0" borderId="0" xfId="2" applyNumberFormat="1" applyFont="1" applyFill="1" applyBorder="1" applyAlignment="1">
      <alignment horizontal="center" vertical="center"/>
    </xf>
    <xf numFmtId="177" fontId="15" fillId="0" borderId="4" xfId="2" applyNumberFormat="1" applyFont="1" applyFill="1" applyBorder="1" applyAlignment="1">
      <alignment horizontal="center" vertical="center"/>
    </xf>
    <xf numFmtId="177" fontId="15" fillId="0" borderId="14" xfId="2" applyNumberFormat="1" applyFont="1" applyFill="1" applyBorder="1" applyAlignment="1">
      <alignment horizontal="center" vertical="center"/>
    </xf>
    <xf numFmtId="177" fontId="15" fillId="0" borderId="15" xfId="2" applyNumberFormat="1" applyFont="1" applyFill="1" applyBorder="1" applyAlignment="1">
      <alignment horizontal="center" vertical="center"/>
    </xf>
    <xf numFmtId="177" fontId="15" fillId="0" borderId="8" xfId="2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177" fontId="10" fillId="0" borderId="9" xfId="4" applyNumberFormat="1" applyFont="1" applyFill="1" applyBorder="1" applyAlignment="1">
      <alignment horizontal="center" vertical="center"/>
    </xf>
    <xf numFmtId="177" fontId="10" fillId="0" borderId="7" xfId="4" applyNumberFormat="1" applyFont="1" applyFill="1" applyBorder="1" applyAlignment="1">
      <alignment horizontal="center" vertical="center"/>
    </xf>
    <xf numFmtId="10" fontId="10" fillId="0" borderId="16" xfId="3" applyNumberFormat="1" applyFont="1" applyFill="1" applyBorder="1" applyAlignment="1">
      <alignment horizontal="center" vertical="center"/>
    </xf>
    <xf numFmtId="177" fontId="10" fillId="0" borderId="16" xfId="4" applyNumberFormat="1" applyFont="1" applyFill="1" applyBorder="1" applyAlignment="1">
      <alignment horizontal="center" vertical="center" wrapText="1"/>
    </xf>
  </cellXfs>
  <cellStyles count="7">
    <cellStyle name="百分比" xfId="3" builtinId="5"/>
    <cellStyle name="常规" xfId="0" builtinId="0"/>
    <cellStyle name="常规 2" xfId="6"/>
    <cellStyle name="常规_能源分配" xfId="4"/>
    <cellStyle name="千位分隔" xfId="2" builtinId="3"/>
    <cellStyle name="千位分隔 2" xfId="5"/>
    <cellStyle name="一般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2.png"/><Relationship Id="rId1" Type="http://schemas.openxmlformats.org/officeDocument/2006/relationships/image" Target="../media/image20.png"/><Relationship Id="rId5" Type="http://schemas.openxmlformats.org/officeDocument/2006/relationships/image" Target="../media/image27.png"/><Relationship Id="rId4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17</xdr:row>
      <xdr:rowOff>9525</xdr:rowOff>
    </xdr:from>
    <xdr:to>
      <xdr:col>4</xdr:col>
      <xdr:colOff>361950</xdr:colOff>
      <xdr:row>31</xdr:row>
      <xdr:rowOff>66675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143000"/>
          <a:ext cx="6467475" cy="2324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51</xdr:row>
      <xdr:rowOff>28575</xdr:rowOff>
    </xdr:from>
    <xdr:to>
      <xdr:col>5</xdr:col>
      <xdr:colOff>1057275</xdr:colOff>
      <xdr:row>61</xdr:row>
      <xdr:rowOff>152400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9050" y="4886325"/>
          <a:ext cx="8277225" cy="17430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84</xdr:row>
      <xdr:rowOff>9525</xdr:rowOff>
    </xdr:from>
    <xdr:to>
      <xdr:col>5</xdr:col>
      <xdr:colOff>1076325</xdr:colOff>
      <xdr:row>100</xdr:row>
      <xdr:rowOff>123825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7943850"/>
          <a:ext cx="8315325" cy="2705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114</xdr:row>
      <xdr:rowOff>0</xdr:rowOff>
    </xdr:from>
    <xdr:to>
      <xdr:col>5</xdr:col>
      <xdr:colOff>1085850</xdr:colOff>
      <xdr:row>127</xdr:row>
      <xdr:rowOff>47625</xdr:rowOff>
    </xdr:to>
    <xdr:pic>
      <xdr:nvPicPr>
        <xdr:cNvPr id="307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050" y="12144375"/>
          <a:ext cx="8305800" cy="2152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190</xdr:row>
      <xdr:rowOff>9525</xdr:rowOff>
    </xdr:from>
    <xdr:to>
      <xdr:col>5</xdr:col>
      <xdr:colOff>1076325</xdr:colOff>
      <xdr:row>208</xdr:row>
      <xdr:rowOff>0</xdr:rowOff>
    </xdr:to>
    <xdr:pic>
      <xdr:nvPicPr>
        <xdr:cNvPr id="307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575" y="15878175"/>
          <a:ext cx="8286750" cy="2905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270</xdr:row>
      <xdr:rowOff>9525</xdr:rowOff>
    </xdr:from>
    <xdr:to>
      <xdr:col>5</xdr:col>
      <xdr:colOff>1076325</xdr:colOff>
      <xdr:row>288</xdr:row>
      <xdr:rowOff>0</xdr:rowOff>
    </xdr:to>
    <xdr:pic>
      <xdr:nvPicPr>
        <xdr:cNvPr id="307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9050" y="20412075"/>
          <a:ext cx="8296275" cy="2905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318</xdr:row>
      <xdr:rowOff>0</xdr:rowOff>
    </xdr:from>
    <xdr:to>
      <xdr:col>5</xdr:col>
      <xdr:colOff>1076325</xdr:colOff>
      <xdr:row>333</xdr:row>
      <xdr:rowOff>85725</xdr:rowOff>
    </xdr:to>
    <xdr:pic>
      <xdr:nvPicPr>
        <xdr:cNvPr id="307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9050" y="24936450"/>
          <a:ext cx="8296275" cy="251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9525</xdr:colOff>
      <xdr:row>364</xdr:row>
      <xdr:rowOff>0</xdr:rowOff>
    </xdr:from>
    <xdr:to>
      <xdr:col>5</xdr:col>
      <xdr:colOff>1076325</xdr:colOff>
      <xdr:row>377</xdr:row>
      <xdr:rowOff>38100</xdr:rowOff>
    </xdr:to>
    <xdr:pic>
      <xdr:nvPicPr>
        <xdr:cNvPr id="308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525" y="28984575"/>
          <a:ext cx="830580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419</xdr:row>
      <xdr:rowOff>9525</xdr:rowOff>
    </xdr:from>
    <xdr:to>
      <xdr:col>5</xdr:col>
      <xdr:colOff>1085850</xdr:colOff>
      <xdr:row>427</xdr:row>
      <xdr:rowOff>85725</xdr:rowOff>
    </xdr:to>
    <xdr:pic>
      <xdr:nvPicPr>
        <xdr:cNvPr id="308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9050" y="34337625"/>
          <a:ext cx="8305800" cy="1371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812</xdr:row>
      <xdr:rowOff>57150</xdr:rowOff>
    </xdr:from>
    <xdr:to>
      <xdr:col>6</xdr:col>
      <xdr:colOff>304800</xdr:colOff>
      <xdr:row>830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6200" y="76323825"/>
          <a:ext cx="8782050" cy="289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872</xdr:row>
      <xdr:rowOff>9525</xdr:rowOff>
    </xdr:from>
    <xdr:to>
      <xdr:col>6</xdr:col>
      <xdr:colOff>276225</xdr:colOff>
      <xdr:row>884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28575" y="82429350"/>
          <a:ext cx="8801100" cy="19526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765</xdr:row>
      <xdr:rowOff>19050</xdr:rowOff>
    </xdr:from>
    <xdr:to>
      <xdr:col>6</xdr:col>
      <xdr:colOff>266700</xdr:colOff>
      <xdr:row>780</xdr:row>
      <xdr:rowOff>133350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8575" y="71913750"/>
          <a:ext cx="8791575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38100</xdr:colOff>
      <xdr:row>717</xdr:row>
      <xdr:rowOff>152400</xdr:rowOff>
    </xdr:from>
    <xdr:to>
      <xdr:col>6</xdr:col>
      <xdr:colOff>285750</xdr:colOff>
      <xdr:row>737</xdr:row>
      <xdr:rowOff>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38100" y="67189350"/>
          <a:ext cx="8801100" cy="30861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635</xdr:row>
      <xdr:rowOff>9525</xdr:rowOff>
    </xdr:from>
    <xdr:to>
      <xdr:col>6</xdr:col>
      <xdr:colOff>266700</xdr:colOff>
      <xdr:row>655</xdr:row>
      <xdr:rowOff>76200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7625" y="62188725"/>
          <a:ext cx="8772525" cy="330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47625</xdr:colOff>
      <xdr:row>528</xdr:row>
      <xdr:rowOff>28575</xdr:rowOff>
    </xdr:from>
    <xdr:to>
      <xdr:col>6</xdr:col>
      <xdr:colOff>314325</xdr:colOff>
      <xdr:row>543</xdr:row>
      <xdr:rowOff>142875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47625" y="53949600"/>
          <a:ext cx="8820150" cy="2543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557</xdr:row>
      <xdr:rowOff>38100</xdr:rowOff>
    </xdr:from>
    <xdr:to>
      <xdr:col>6</xdr:col>
      <xdr:colOff>247650</xdr:colOff>
      <xdr:row>569</xdr:row>
      <xdr:rowOff>76200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0" y="58007250"/>
          <a:ext cx="8801100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487</xdr:row>
      <xdr:rowOff>85725</xdr:rowOff>
    </xdr:from>
    <xdr:to>
      <xdr:col>6</xdr:col>
      <xdr:colOff>257175</xdr:colOff>
      <xdr:row>499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0" y="49796700"/>
          <a:ext cx="8810625" cy="1962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448</xdr:row>
      <xdr:rowOff>57150</xdr:rowOff>
    </xdr:from>
    <xdr:to>
      <xdr:col>6</xdr:col>
      <xdr:colOff>266700</xdr:colOff>
      <xdr:row>465</xdr:row>
      <xdr:rowOff>47625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0" y="45234225"/>
          <a:ext cx="8820150" cy="2743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1000</xdr:row>
      <xdr:rowOff>0</xdr:rowOff>
    </xdr:from>
    <xdr:to>
      <xdr:col>4</xdr:col>
      <xdr:colOff>371475</xdr:colOff>
      <xdr:row>1011</xdr:row>
      <xdr:rowOff>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9050" y="107194350"/>
          <a:ext cx="6486525" cy="1781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1282</xdr:row>
      <xdr:rowOff>76200</xdr:rowOff>
    </xdr:from>
    <xdr:to>
      <xdr:col>4</xdr:col>
      <xdr:colOff>390525</xdr:colOff>
      <xdr:row>1288</xdr:row>
      <xdr:rowOff>123825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8575" y="135607425"/>
          <a:ext cx="64960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19050</xdr:colOff>
      <xdr:row>973</xdr:row>
      <xdr:rowOff>47625</xdr:rowOff>
    </xdr:from>
    <xdr:to>
      <xdr:col>4</xdr:col>
      <xdr:colOff>400050</xdr:colOff>
      <xdr:row>985</xdr:row>
      <xdr:rowOff>85725</xdr:rowOff>
    </xdr:to>
    <xdr:pic>
      <xdr:nvPicPr>
        <xdr:cNvPr id="51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9050" y="102708075"/>
          <a:ext cx="6515100" cy="1981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905</xdr:row>
      <xdr:rowOff>57150</xdr:rowOff>
    </xdr:from>
    <xdr:to>
      <xdr:col>4</xdr:col>
      <xdr:colOff>428625</xdr:colOff>
      <xdr:row>916</xdr:row>
      <xdr:rowOff>47625</xdr:rowOff>
    </xdr:to>
    <xdr:pic>
      <xdr:nvPicPr>
        <xdr:cNvPr id="512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76200" y="93325950"/>
          <a:ext cx="6486525" cy="177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1323</xdr:row>
      <xdr:rowOff>95250</xdr:rowOff>
    </xdr:from>
    <xdr:to>
      <xdr:col>4</xdr:col>
      <xdr:colOff>457200</xdr:colOff>
      <xdr:row>1329</xdr:row>
      <xdr:rowOff>142875</xdr:rowOff>
    </xdr:to>
    <xdr:pic>
      <xdr:nvPicPr>
        <xdr:cNvPr id="512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76200" y="138217275"/>
          <a:ext cx="651510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28575</xdr:colOff>
      <xdr:row>939</xdr:row>
      <xdr:rowOff>66675</xdr:rowOff>
    </xdr:from>
    <xdr:to>
      <xdr:col>4</xdr:col>
      <xdr:colOff>390525</xdr:colOff>
      <xdr:row>949</xdr:row>
      <xdr:rowOff>28575</xdr:rowOff>
    </xdr:to>
    <xdr:pic>
      <xdr:nvPicPr>
        <xdr:cNvPr id="51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8575" y="97383600"/>
          <a:ext cx="6496050" cy="1581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1254</xdr:row>
      <xdr:rowOff>95250</xdr:rowOff>
    </xdr:from>
    <xdr:to>
      <xdr:col>4</xdr:col>
      <xdr:colOff>419100</xdr:colOff>
      <xdr:row>1267</xdr:row>
      <xdr:rowOff>133350</xdr:rowOff>
    </xdr:to>
    <xdr:pic>
      <xdr:nvPicPr>
        <xdr:cNvPr id="51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57150" y="129797175"/>
          <a:ext cx="64960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1207</xdr:row>
      <xdr:rowOff>38100</xdr:rowOff>
    </xdr:from>
    <xdr:to>
      <xdr:col>4</xdr:col>
      <xdr:colOff>419100</xdr:colOff>
      <xdr:row>1221</xdr:row>
      <xdr:rowOff>114300</xdr:rowOff>
    </xdr:to>
    <xdr:pic>
      <xdr:nvPicPr>
        <xdr:cNvPr id="51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57150" y="124234575"/>
          <a:ext cx="6496050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1157</xdr:row>
      <xdr:rowOff>95250</xdr:rowOff>
    </xdr:from>
    <xdr:to>
      <xdr:col>4</xdr:col>
      <xdr:colOff>428625</xdr:colOff>
      <xdr:row>1172</xdr:row>
      <xdr:rowOff>28575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76200" y="118300500"/>
          <a:ext cx="6486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85725</xdr:colOff>
      <xdr:row>1073</xdr:row>
      <xdr:rowOff>47625</xdr:rowOff>
    </xdr:from>
    <xdr:to>
      <xdr:col>4</xdr:col>
      <xdr:colOff>457200</xdr:colOff>
      <xdr:row>1092</xdr:row>
      <xdr:rowOff>76200</xdr:rowOff>
    </xdr:to>
    <xdr:pic>
      <xdr:nvPicPr>
        <xdr:cNvPr id="51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85725" y="110804325"/>
          <a:ext cx="6505575" cy="3105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925</xdr:row>
      <xdr:rowOff>76200</xdr:rowOff>
    </xdr:from>
    <xdr:to>
      <xdr:col>4</xdr:col>
      <xdr:colOff>390525</xdr:colOff>
      <xdr:row>931</xdr:row>
      <xdr:rowOff>123825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133988175"/>
          <a:ext cx="6496050" cy="1019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610</xdr:row>
      <xdr:rowOff>57150</xdr:rowOff>
    </xdr:from>
    <xdr:to>
      <xdr:col>4</xdr:col>
      <xdr:colOff>428625</xdr:colOff>
      <xdr:row>621</xdr:row>
      <xdr:rowOff>47625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6200" y="93487875"/>
          <a:ext cx="6486525" cy="1771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897</xdr:row>
      <xdr:rowOff>95250</xdr:rowOff>
    </xdr:from>
    <xdr:to>
      <xdr:col>4</xdr:col>
      <xdr:colOff>419100</xdr:colOff>
      <xdr:row>910</xdr:row>
      <xdr:rowOff>133350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7150" y="129473325"/>
          <a:ext cx="6496050" cy="2143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57150</xdr:colOff>
      <xdr:row>850</xdr:row>
      <xdr:rowOff>38100</xdr:rowOff>
    </xdr:from>
    <xdr:to>
      <xdr:col>4</xdr:col>
      <xdr:colOff>419100</xdr:colOff>
      <xdr:row>864</xdr:row>
      <xdr:rowOff>114300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7150" y="123910725"/>
          <a:ext cx="6496050" cy="2343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76200</xdr:colOff>
      <xdr:row>800</xdr:row>
      <xdr:rowOff>95250</xdr:rowOff>
    </xdr:from>
    <xdr:to>
      <xdr:col>4</xdr:col>
      <xdr:colOff>428625</xdr:colOff>
      <xdr:row>815</xdr:row>
      <xdr:rowOff>28575</xdr:rowOff>
    </xdr:to>
    <xdr:pic>
      <xdr:nvPicPr>
        <xdr:cNvPr id="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6200" y="118300500"/>
          <a:ext cx="6486525" cy="236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5104;&#26412;&#37325;&#35201;&#25991;&#20214;/&#36130;&#21153;&#31185;&#30456;&#20851;/&#25104;&#26412;&#25968;&#25454;/2016&#24180;&#25104;&#26412;/2016&#24180;&#25104;&#26412;&#19977;&#39033;&#36153;&#299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每月各项请示文件(作废)"/>
      <sheetName val="每月各项请示文件"/>
      <sheetName val="三项费用分配"/>
      <sheetName val="辅助费用分配"/>
      <sheetName val="能源分配"/>
      <sheetName val="工资分配"/>
      <sheetName val="分析"/>
    </sheetNames>
    <sheetDataSet>
      <sheetData sheetId="0"/>
      <sheetData sheetId="1">
        <row r="642">
          <cell r="B642">
            <v>48.354999999999997</v>
          </cell>
        </row>
      </sheetData>
      <sheetData sheetId="2">
        <row r="56">
          <cell r="D56">
            <v>22646.622336769757</v>
          </cell>
        </row>
        <row r="2746">
          <cell r="F2746">
            <v>13105.464052287582</v>
          </cell>
        </row>
        <row r="2767">
          <cell r="F2767">
            <v>5897.4588235294123</v>
          </cell>
        </row>
        <row r="2792">
          <cell r="F2792">
            <v>26866.201307189545</v>
          </cell>
        </row>
        <row r="2810">
          <cell r="F2810">
            <v>26750.574323144108</v>
          </cell>
        </row>
        <row r="2837">
          <cell r="F2837">
            <v>22494.801135371174</v>
          </cell>
        </row>
        <row r="2840">
          <cell r="F2840">
            <v>3039.837991266375</v>
          </cell>
        </row>
        <row r="2849">
          <cell r="F2849">
            <v>6079.6759825327499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A93" workbookViewId="0">
      <selection activeCell="C98" sqref="C98"/>
    </sheetView>
  </sheetViews>
  <sheetFormatPr defaultColWidth="9" defaultRowHeight="15.6"/>
  <cols>
    <col min="1" max="1" width="26.6640625" style="136" customWidth="1"/>
    <col min="2" max="2" width="19.6640625" style="136" customWidth="1"/>
    <col min="3" max="3" width="12.88671875" style="136" customWidth="1"/>
    <col min="4" max="4" width="11.88671875" style="136" bestFit="1" customWidth="1"/>
    <col min="5" max="5" width="15.44140625" style="136" bestFit="1" customWidth="1"/>
    <col min="6" max="6" width="14.44140625" style="136" bestFit="1" customWidth="1"/>
    <col min="7" max="7" width="13.21875" style="136" bestFit="1" customWidth="1"/>
    <col min="8" max="8" width="13.109375" style="136" bestFit="1" customWidth="1"/>
    <col min="9" max="9" width="9" style="136"/>
    <col min="10" max="10" width="29" style="245" bestFit="1" customWidth="1"/>
    <col min="11" max="11" width="15.6640625" style="245" customWidth="1"/>
    <col min="12" max="12" width="16.77734375" style="245" customWidth="1"/>
    <col min="13" max="13" width="11.88671875" style="245" bestFit="1" customWidth="1"/>
    <col min="14" max="14" width="13.109375" style="245" bestFit="1" customWidth="1"/>
    <col min="15" max="15" width="14.33203125" style="245" bestFit="1" customWidth="1"/>
    <col min="16" max="16384" width="9" style="136"/>
  </cols>
  <sheetData>
    <row r="1" spans="1:7" ht="16.2">
      <c r="A1" s="242" t="s">
        <v>334</v>
      </c>
      <c r="B1" s="243"/>
      <c r="C1" s="243"/>
      <c r="D1" s="243"/>
      <c r="E1" s="243"/>
      <c r="F1" s="243"/>
      <c r="G1" s="244"/>
    </row>
    <row r="2" spans="1:7">
      <c r="A2" s="242"/>
      <c r="B2" s="243"/>
      <c r="C2" s="243"/>
      <c r="D2" s="243"/>
      <c r="E2" s="243"/>
      <c r="F2" s="243"/>
      <c r="G2" s="244"/>
    </row>
    <row r="3" spans="1:7" ht="16.2">
      <c r="A3" s="242" t="s">
        <v>332</v>
      </c>
      <c r="B3" s="243"/>
      <c r="C3" s="243"/>
      <c r="D3" s="243"/>
      <c r="E3" s="243"/>
      <c r="F3" s="243"/>
      <c r="G3" s="244"/>
    </row>
    <row r="4" spans="1:7">
      <c r="A4" s="242"/>
      <c r="B4" s="243"/>
      <c r="C4" s="243"/>
      <c r="D4" s="243"/>
      <c r="E4" s="243"/>
      <c r="F4" s="243"/>
      <c r="G4" s="244"/>
    </row>
    <row r="5" spans="1:7" ht="16.2">
      <c r="A5" s="246" t="s">
        <v>324</v>
      </c>
      <c r="B5" s="243"/>
      <c r="C5" s="243"/>
      <c r="D5" s="243"/>
      <c r="E5" s="243"/>
      <c r="F5" s="243"/>
      <c r="G5" s="244"/>
    </row>
    <row r="6" spans="1:7">
      <c r="A6" s="242"/>
      <c r="B6" s="243"/>
      <c r="C6" s="243"/>
      <c r="D6" s="243"/>
      <c r="E6" s="243"/>
      <c r="F6" s="243"/>
      <c r="G6" s="244"/>
    </row>
    <row r="7" spans="1:7" ht="16.2">
      <c r="A7" s="246" t="s">
        <v>325</v>
      </c>
      <c r="B7" s="243"/>
      <c r="C7" s="243"/>
      <c r="D7" s="243"/>
      <c r="E7" s="243"/>
      <c r="F7" s="243"/>
      <c r="G7" s="244"/>
    </row>
    <row r="8" spans="1:7" ht="16.2">
      <c r="A8" s="242" t="s">
        <v>418</v>
      </c>
      <c r="B8" s="243"/>
      <c r="C8" s="243"/>
      <c r="D8" s="243"/>
      <c r="E8" s="243"/>
      <c r="F8" s="243"/>
      <c r="G8" s="244"/>
    </row>
    <row r="10" spans="1:7" ht="16.8">
      <c r="A10" s="247" t="s">
        <v>37</v>
      </c>
      <c r="B10" s="247" t="s">
        <v>38</v>
      </c>
      <c r="C10" s="247" t="s">
        <v>419</v>
      </c>
      <c r="D10" s="247" t="s">
        <v>39</v>
      </c>
      <c r="E10" s="247" t="s">
        <v>40</v>
      </c>
      <c r="F10" s="247" t="s">
        <v>41</v>
      </c>
    </row>
    <row r="11" spans="1:7" ht="16.2">
      <c r="A11" s="425" t="s">
        <v>411</v>
      </c>
      <c r="B11" s="247" t="s">
        <v>323</v>
      </c>
      <c r="C11" s="248">
        <v>0</v>
      </c>
      <c r="D11" s="248">
        <v>0</v>
      </c>
      <c r="E11" s="248">
        <v>23840.559999999998</v>
      </c>
      <c r="F11" s="248">
        <v>23840.559999999998</v>
      </c>
    </row>
    <row r="12" spans="1:7" ht="16.2">
      <c r="A12" s="425" t="s">
        <v>412</v>
      </c>
      <c r="B12" s="247" t="s">
        <v>323</v>
      </c>
      <c r="C12" s="248">
        <v>53042.13</v>
      </c>
      <c r="D12" s="248">
        <v>0</v>
      </c>
      <c r="E12" s="248">
        <v>545245.94000000006</v>
      </c>
      <c r="F12" s="248">
        <v>598288.07000000007</v>
      </c>
    </row>
    <row r="13" spans="1:7" ht="16.2">
      <c r="A13" s="425" t="s">
        <v>408</v>
      </c>
      <c r="B13" s="247" t="s">
        <v>323</v>
      </c>
      <c r="C13" s="248">
        <v>0</v>
      </c>
      <c r="D13" s="248">
        <v>0</v>
      </c>
      <c r="E13" s="248">
        <v>13636.394838709677</v>
      </c>
      <c r="F13" s="248">
        <v>13636.394838709677</v>
      </c>
    </row>
    <row r="14" spans="1:7" ht="16.2">
      <c r="A14" s="425" t="s">
        <v>401</v>
      </c>
      <c r="B14" s="247" t="s">
        <v>323</v>
      </c>
      <c r="C14" s="248">
        <v>0</v>
      </c>
      <c r="D14" s="248">
        <v>0</v>
      </c>
      <c r="E14" s="248">
        <v>18305.672258064515</v>
      </c>
      <c r="F14" s="248">
        <v>18305.672258064515</v>
      </c>
    </row>
    <row r="15" spans="1:7" ht="16.2">
      <c r="A15" s="425" t="s">
        <v>413</v>
      </c>
      <c r="B15" s="247" t="s">
        <v>323</v>
      </c>
      <c r="C15" s="248">
        <v>0</v>
      </c>
      <c r="D15" s="248">
        <v>0</v>
      </c>
      <c r="E15" s="248">
        <v>43040.44903225806</v>
      </c>
      <c r="F15" s="248">
        <v>43040.44903225806</v>
      </c>
    </row>
    <row r="16" spans="1:7" ht="16.2">
      <c r="A16" s="425" t="s">
        <v>414</v>
      </c>
      <c r="B16" s="247" t="s">
        <v>323</v>
      </c>
      <c r="C16" s="248">
        <v>0</v>
      </c>
      <c r="D16" s="248">
        <v>0</v>
      </c>
      <c r="E16" s="248">
        <v>38565.59225806452</v>
      </c>
      <c r="F16" s="248">
        <v>38565.59225806452</v>
      </c>
    </row>
    <row r="17" spans="1:7" ht="16.2">
      <c r="A17" s="425" t="s">
        <v>415</v>
      </c>
      <c r="B17" s="247" t="s">
        <v>323</v>
      </c>
      <c r="C17" s="248">
        <v>0</v>
      </c>
      <c r="D17" s="248">
        <v>0</v>
      </c>
      <c r="E17" s="248">
        <v>57013.10967741935</v>
      </c>
      <c r="F17" s="248">
        <v>57013.10967741935</v>
      </c>
    </row>
    <row r="18" spans="1:7" ht="16.2">
      <c r="A18" s="425" t="s">
        <v>416</v>
      </c>
      <c r="B18" s="247" t="s">
        <v>323</v>
      </c>
      <c r="C18" s="248">
        <v>0</v>
      </c>
      <c r="D18" s="248">
        <v>0</v>
      </c>
      <c r="E18" s="248">
        <v>40282.854193548388</v>
      </c>
      <c r="F18" s="248">
        <v>40282.854193548388</v>
      </c>
    </row>
    <row r="19" spans="1:7" ht="16.2">
      <c r="A19" s="425" t="s">
        <v>417</v>
      </c>
      <c r="B19" s="247" t="s">
        <v>323</v>
      </c>
      <c r="C19" s="248">
        <v>905.33</v>
      </c>
      <c r="D19" s="248">
        <v>0</v>
      </c>
      <c r="E19" s="248">
        <v>135208.51999999999</v>
      </c>
      <c r="F19" s="248">
        <v>136113.84999999998</v>
      </c>
    </row>
    <row r="20" spans="1:7">
      <c r="A20" s="249" t="s">
        <v>41</v>
      </c>
      <c r="B20" s="249"/>
      <c r="C20" s="248">
        <f>SUM(C11:C19)</f>
        <v>53947.46</v>
      </c>
      <c r="D20" s="248">
        <f>SUM(D11:D19)</f>
        <v>0</v>
      </c>
      <c r="E20" s="248">
        <f>SUM(E11:E19)-0.01</f>
        <v>915139.08225806453</v>
      </c>
      <c r="F20" s="402">
        <f>SUM(F11:F19)-0.01</f>
        <v>969086.54225806461</v>
      </c>
    </row>
    <row r="21" spans="1:7">
      <c r="A21" s="250"/>
      <c r="B21" s="250"/>
      <c r="C21" s="250"/>
      <c r="D21" s="250"/>
      <c r="E21" s="250"/>
      <c r="F21" s="250"/>
      <c r="G21" s="250"/>
    </row>
    <row r="22" spans="1:7">
      <c r="A22" s="451" t="s">
        <v>205</v>
      </c>
      <c r="B22" s="451"/>
      <c r="C22" s="451"/>
      <c r="D22" s="451"/>
      <c r="E22" s="451"/>
      <c r="F22" s="451"/>
      <c r="G22" s="451"/>
    </row>
    <row r="24" spans="1:7">
      <c r="G24" s="245" t="s">
        <v>333</v>
      </c>
    </row>
    <row r="25" spans="1:7">
      <c r="G25" s="245" t="s">
        <v>330</v>
      </c>
    </row>
    <row r="27" spans="1:7" ht="16.2">
      <c r="A27" s="242" t="s">
        <v>334</v>
      </c>
      <c r="B27" s="243"/>
      <c r="C27" s="243"/>
      <c r="D27" s="243"/>
      <c r="E27" s="243"/>
      <c r="F27" s="243"/>
      <c r="G27" s="244"/>
    </row>
    <row r="28" spans="1:7">
      <c r="A28" s="242"/>
      <c r="B28" s="243"/>
      <c r="C28" s="243"/>
      <c r="D28" s="243"/>
      <c r="E28" s="243"/>
      <c r="F28" s="243"/>
      <c r="G28" s="244"/>
    </row>
    <row r="29" spans="1:7" ht="16.2">
      <c r="A29" s="242" t="s">
        <v>332</v>
      </c>
      <c r="B29" s="243"/>
      <c r="C29" s="243"/>
      <c r="D29" s="243"/>
      <c r="E29" s="243"/>
      <c r="F29" s="243"/>
      <c r="G29" s="244"/>
    </row>
    <row r="30" spans="1:7">
      <c r="A30" s="242"/>
      <c r="B30" s="243"/>
      <c r="C30" s="243"/>
      <c r="D30" s="243"/>
      <c r="E30" s="243"/>
      <c r="F30" s="243"/>
      <c r="G30" s="244"/>
    </row>
    <row r="31" spans="1:7" ht="16.2">
      <c r="A31" s="246" t="s">
        <v>324</v>
      </c>
      <c r="B31" s="243"/>
      <c r="C31" s="243"/>
      <c r="D31" s="243"/>
      <c r="E31" s="243"/>
      <c r="F31" s="243"/>
      <c r="G31" s="244"/>
    </row>
    <row r="32" spans="1:7">
      <c r="A32" s="242"/>
      <c r="B32" s="243"/>
      <c r="C32" s="243"/>
      <c r="D32" s="243"/>
      <c r="E32" s="243"/>
      <c r="F32" s="243"/>
      <c r="G32" s="244"/>
    </row>
    <row r="33" spans="1:15" ht="16.2">
      <c r="A33" s="246" t="s">
        <v>325</v>
      </c>
      <c r="B33" s="243"/>
      <c r="C33" s="243"/>
      <c r="D33" s="243"/>
      <c r="E33" s="243"/>
      <c r="F33" s="243"/>
      <c r="G33" s="244"/>
    </row>
    <row r="34" spans="1:15" ht="16.2">
      <c r="A34" s="242" t="s">
        <v>418</v>
      </c>
      <c r="B34" s="243"/>
      <c r="C34" s="243"/>
      <c r="D34" s="243"/>
      <c r="E34" s="243"/>
      <c r="F34" s="243"/>
      <c r="G34" s="244"/>
    </row>
    <row r="36" spans="1:15" ht="16.8">
      <c r="A36" s="247" t="s">
        <v>37</v>
      </c>
      <c r="B36" s="247" t="s">
        <v>38</v>
      </c>
      <c r="C36" s="247" t="s">
        <v>419</v>
      </c>
      <c r="D36" s="247" t="s">
        <v>39</v>
      </c>
      <c r="E36" s="247" t="s">
        <v>40</v>
      </c>
      <c r="F36" s="247" t="s">
        <v>41</v>
      </c>
    </row>
    <row r="37" spans="1:15" ht="16.2">
      <c r="A37" s="425" t="s">
        <v>401</v>
      </c>
      <c r="B37" s="247" t="s">
        <v>3</v>
      </c>
      <c r="C37" s="248">
        <v>39935.53</v>
      </c>
      <c r="D37" s="248">
        <v>76899.45</v>
      </c>
      <c r="E37" s="248">
        <v>57524.997741935484</v>
      </c>
      <c r="F37" s="248">
        <v>174359.97774193547</v>
      </c>
    </row>
    <row r="38" spans="1:15" ht="16.2">
      <c r="A38" s="425" t="s">
        <v>402</v>
      </c>
      <c r="B38" s="247" t="s">
        <v>180</v>
      </c>
      <c r="C38" s="248">
        <v>7601.97</v>
      </c>
      <c r="D38" s="248">
        <v>0</v>
      </c>
      <c r="E38" s="248">
        <v>0</v>
      </c>
      <c r="F38" s="248">
        <v>7601.97</v>
      </c>
    </row>
    <row r="39" spans="1:15">
      <c r="A39" s="249" t="s">
        <v>41</v>
      </c>
      <c r="B39" s="249"/>
      <c r="C39" s="248">
        <f>SUM(C37:C38)</f>
        <v>47537.5</v>
      </c>
      <c r="D39" s="248">
        <f t="shared" ref="D39:F39" si="0">SUM(D37:D38)</f>
        <v>76899.45</v>
      </c>
      <c r="E39" s="248">
        <f t="shared" si="0"/>
        <v>57524.997741935484</v>
      </c>
      <c r="F39" s="402">
        <f t="shared" si="0"/>
        <v>181961.94774193547</v>
      </c>
    </row>
    <row r="40" spans="1:15">
      <c r="A40" s="250"/>
      <c r="B40" s="250"/>
      <c r="C40" s="250"/>
      <c r="D40" s="250"/>
      <c r="E40" s="250"/>
      <c r="F40" s="250"/>
      <c r="G40" s="250"/>
    </row>
    <row r="41" spans="1:15">
      <c r="A41" s="451" t="s">
        <v>205</v>
      </c>
      <c r="B41" s="451"/>
      <c r="C41" s="451"/>
      <c r="D41" s="451"/>
      <c r="E41" s="451"/>
      <c r="F41" s="451"/>
      <c r="G41" s="451"/>
    </row>
    <row r="43" spans="1:15">
      <c r="G43" s="245" t="s">
        <v>333</v>
      </c>
    </row>
    <row r="44" spans="1:15">
      <c r="G44" s="245" t="s">
        <v>330</v>
      </c>
    </row>
    <row r="46" spans="1:15" s="395" customFormat="1">
      <c r="J46" s="396"/>
      <c r="K46" s="396"/>
      <c r="L46" s="396"/>
      <c r="M46" s="396"/>
      <c r="N46" s="396"/>
      <c r="O46" s="396"/>
    </row>
    <row r="48" spans="1:15" ht="16.2">
      <c r="A48" s="242" t="s">
        <v>334</v>
      </c>
      <c r="B48" s="243"/>
      <c r="C48" s="243"/>
      <c r="D48" s="243"/>
      <c r="E48" s="243"/>
      <c r="F48" s="243"/>
      <c r="G48" s="244"/>
    </row>
    <row r="49" spans="1:7">
      <c r="A49" s="242"/>
      <c r="B49" s="243"/>
      <c r="C49" s="243"/>
      <c r="D49" s="243"/>
      <c r="E49" s="243"/>
      <c r="F49" s="243"/>
      <c r="G49" s="244"/>
    </row>
    <row r="50" spans="1:7" ht="16.2">
      <c r="A50" s="242" t="s">
        <v>332</v>
      </c>
      <c r="B50" s="243"/>
      <c r="C50" s="243"/>
      <c r="D50" s="243"/>
      <c r="E50" s="243"/>
      <c r="F50" s="243"/>
      <c r="G50" s="244"/>
    </row>
    <row r="51" spans="1:7">
      <c r="A51" s="242"/>
      <c r="B51" s="243"/>
      <c r="C51" s="243"/>
      <c r="D51" s="243"/>
      <c r="E51" s="243"/>
      <c r="F51" s="243"/>
      <c r="G51" s="244"/>
    </row>
    <row r="52" spans="1:7" ht="16.2">
      <c r="A52" s="246" t="s">
        <v>373</v>
      </c>
      <c r="B52" s="243"/>
      <c r="C52" s="243"/>
      <c r="D52" s="243"/>
      <c r="E52" s="243"/>
      <c r="F52" s="243"/>
      <c r="G52" s="244"/>
    </row>
    <row r="53" spans="1:7">
      <c r="A53" s="242"/>
      <c r="B53" s="243"/>
      <c r="C53" s="243"/>
      <c r="D53" s="243"/>
      <c r="E53" s="243"/>
      <c r="F53" s="243"/>
      <c r="G53" s="244"/>
    </row>
    <row r="54" spans="1:7" ht="16.2">
      <c r="A54" s="246" t="s">
        <v>374</v>
      </c>
      <c r="B54" s="243"/>
      <c r="C54" s="243"/>
      <c r="D54" s="243"/>
      <c r="E54" s="243"/>
      <c r="F54" s="243"/>
      <c r="G54" s="244"/>
    </row>
    <row r="55" spans="1:7" ht="16.2">
      <c r="A55" s="242" t="s">
        <v>420</v>
      </c>
      <c r="B55" s="243"/>
      <c r="C55" s="243"/>
      <c r="D55" s="243"/>
      <c r="E55" s="243"/>
      <c r="F55" s="243"/>
      <c r="G55" s="244"/>
    </row>
    <row r="57" spans="1:7" ht="16.8">
      <c r="A57" s="247" t="s">
        <v>37</v>
      </c>
      <c r="B57" s="247" t="s">
        <v>38</v>
      </c>
      <c r="C57" s="247" t="s">
        <v>419</v>
      </c>
      <c r="D57" s="247" t="s">
        <v>39</v>
      </c>
      <c r="E57" s="247" t="s">
        <v>40</v>
      </c>
      <c r="F57" s="247" t="s">
        <v>41</v>
      </c>
    </row>
    <row r="58" spans="1:7" ht="16.2">
      <c r="A58" s="425" t="s">
        <v>411</v>
      </c>
      <c r="B58" s="247" t="s">
        <v>323</v>
      </c>
      <c r="C58" s="248">
        <v>0</v>
      </c>
      <c r="D58" s="248">
        <v>0</v>
      </c>
      <c r="E58" s="248">
        <f>92382.17*5/28</f>
        <v>16496.81607142857</v>
      </c>
      <c r="F58" s="248">
        <f>SUM(C58:E58)</f>
        <v>16496.81607142857</v>
      </c>
    </row>
    <row r="59" spans="1:7" ht="16.2">
      <c r="A59" s="425" t="s">
        <v>412</v>
      </c>
      <c r="B59" s="247" t="s">
        <v>323</v>
      </c>
      <c r="C59" s="248">
        <v>46124.67</v>
      </c>
      <c r="D59" s="248">
        <v>0</v>
      </c>
      <c r="E59" s="248">
        <f>13333.33+846.15+281280.92+28210.5+162.09</f>
        <v>323832.99</v>
      </c>
      <c r="F59" s="248">
        <f t="shared" ref="F59:F65" si="1">SUM(C59:E59)</f>
        <v>369957.66</v>
      </c>
    </row>
    <row r="60" spans="1:7" ht="16.2">
      <c r="A60" s="425" t="s">
        <v>408</v>
      </c>
      <c r="B60" s="247" t="s">
        <v>323</v>
      </c>
      <c r="C60" s="248">
        <v>0</v>
      </c>
      <c r="D60" s="248">
        <v>0</v>
      </c>
      <c r="E60" s="248">
        <f>52841.03*5/28</f>
        <v>9435.8982142857149</v>
      </c>
      <c r="F60" s="248">
        <f t="shared" si="1"/>
        <v>9435.8982142857149</v>
      </c>
    </row>
    <row r="61" spans="1:7" ht="16.2">
      <c r="A61" s="425" t="s">
        <v>401</v>
      </c>
      <c r="B61" s="247" t="s">
        <v>323</v>
      </c>
      <c r="C61" s="248">
        <v>0</v>
      </c>
      <c r="D61" s="248">
        <v>0</v>
      </c>
      <c r="E61" s="248">
        <f>70934.48*5/28</f>
        <v>12666.871428571427</v>
      </c>
      <c r="F61" s="248">
        <f t="shared" si="1"/>
        <v>12666.871428571427</v>
      </c>
    </row>
    <row r="62" spans="1:7" ht="16.2">
      <c r="A62" s="425" t="s">
        <v>413</v>
      </c>
      <c r="B62" s="247" t="s">
        <v>323</v>
      </c>
      <c r="C62" s="248">
        <v>0</v>
      </c>
      <c r="D62" s="248">
        <v>0</v>
      </c>
      <c r="E62" s="248">
        <f>166781.74*5/28</f>
        <v>29782.45357142857</v>
      </c>
      <c r="F62" s="248">
        <f t="shared" si="1"/>
        <v>29782.45357142857</v>
      </c>
    </row>
    <row r="63" spans="1:7" ht="16.2">
      <c r="A63" s="425" t="s">
        <v>414</v>
      </c>
      <c r="B63" s="247" t="s">
        <v>323</v>
      </c>
      <c r="C63" s="248">
        <v>0</v>
      </c>
      <c r="D63" s="248">
        <v>0</v>
      </c>
      <c r="E63" s="248">
        <f>149521.76*5/28</f>
        <v>26700.314285714288</v>
      </c>
      <c r="F63" s="248">
        <f t="shared" si="1"/>
        <v>26700.314285714288</v>
      </c>
    </row>
    <row r="64" spans="1:7" ht="16.2">
      <c r="A64" s="425" t="s">
        <v>415</v>
      </c>
      <c r="B64" s="247" t="s">
        <v>323</v>
      </c>
      <c r="C64" s="248">
        <v>0</v>
      </c>
      <c r="D64" s="248">
        <v>0</v>
      </c>
      <c r="E64" s="248">
        <f>213989.32*5/28</f>
        <v>38212.378571428577</v>
      </c>
      <c r="F64" s="248">
        <f t="shared" si="1"/>
        <v>38212.378571428577</v>
      </c>
    </row>
    <row r="65" spans="1:7" ht="16.2">
      <c r="A65" s="425" t="s">
        <v>416</v>
      </c>
      <c r="B65" s="247" t="s">
        <v>323</v>
      </c>
      <c r="C65" s="248">
        <v>0</v>
      </c>
      <c r="D65" s="248">
        <v>0</v>
      </c>
      <c r="E65" s="248">
        <f>78048.03*24/28</f>
        <v>66898.311428571425</v>
      </c>
      <c r="F65" s="248">
        <f t="shared" si="1"/>
        <v>66898.311428571425</v>
      </c>
    </row>
    <row r="66" spans="1:7" ht="16.2">
      <c r="A66" s="425" t="s">
        <v>417</v>
      </c>
      <c r="B66" s="247" t="s">
        <v>323</v>
      </c>
      <c r="C66" s="248">
        <v>1368.5</v>
      </c>
      <c r="D66" s="248">
        <v>0</v>
      </c>
      <c r="E66" s="248">
        <f>846.15+135204.9+2296.31</f>
        <v>138347.35999999999</v>
      </c>
      <c r="F66" s="248">
        <f>SUM(C66:E66)</f>
        <v>139715.85999999999</v>
      </c>
    </row>
    <row r="67" spans="1:7">
      <c r="A67" s="249" t="s">
        <v>41</v>
      </c>
      <c r="B67" s="249"/>
      <c r="C67" s="248"/>
      <c r="D67" s="248"/>
      <c r="E67" s="248"/>
      <c r="F67" s="402">
        <f>SUM(F58:F66)</f>
        <v>709866.56357142853</v>
      </c>
    </row>
    <row r="68" spans="1:7">
      <c r="A68" s="250"/>
      <c r="B68" s="250"/>
      <c r="C68" s="250"/>
      <c r="D68" s="250"/>
      <c r="E68" s="250"/>
      <c r="F68" s="250"/>
      <c r="G68" s="250"/>
    </row>
    <row r="69" spans="1:7">
      <c r="A69" s="451" t="s">
        <v>205</v>
      </c>
      <c r="B69" s="451"/>
      <c r="C69" s="451"/>
      <c r="D69" s="451"/>
      <c r="E69" s="451"/>
      <c r="F69" s="451"/>
      <c r="G69" s="451"/>
    </row>
    <row r="71" spans="1:7">
      <c r="G71" s="245" t="s">
        <v>333</v>
      </c>
    </row>
    <row r="72" spans="1:7">
      <c r="G72" s="245" t="s">
        <v>384</v>
      </c>
    </row>
    <row r="74" spans="1:7" ht="16.2">
      <c r="A74" s="242" t="s">
        <v>334</v>
      </c>
      <c r="B74" s="243"/>
      <c r="C74" s="243"/>
      <c r="D74" s="243"/>
      <c r="E74" s="243"/>
      <c r="F74" s="243"/>
      <c r="G74" s="244"/>
    </row>
    <row r="75" spans="1:7">
      <c r="A75" s="242"/>
      <c r="B75" s="243"/>
      <c r="C75" s="243"/>
      <c r="D75" s="243"/>
      <c r="E75" s="243"/>
      <c r="F75" s="243"/>
      <c r="G75" s="244"/>
    </row>
    <row r="76" spans="1:7" ht="16.2">
      <c r="A76" s="242" t="s">
        <v>332</v>
      </c>
      <c r="B76" s="243"/>
      <c r="C76" s="243"/>
      <c r="D76" s="243"/>
      <c r="E76" s="243"/>
      <c r="F76" s="243"/>
      <c r="G76" s="244"/>
    </row>
    <row r="77" spans="1:7">
      <c r="A77" s="242"/>
      <c r="B77" s="243"/>
      <c r="C77" s="243"/>
      <c r="D77" s="243"/>
      <c r="E77" s="243"/>
      <c r="F77" s="243"/>
      <c r="G77" s="244"/>
    </row>
    <row r="78" spans="1:7" ht="16.2">
      <c r="A78" s="246" t="s">
        <v>373</v>
      </c>
      <c r="B78" s="243"/>
      <c r="C78" s="243"/>
      <c r="D78" s="243"/>
      <c r="E78" s="243"/>
      <c r="F78" s="243"/>
      <c r="G78" s="244"/>
    </row>
    <row r="79" spans="1:7">
      <c r="A79" s="242"/>
      <c r="B79" s="243"/>
      <c r="C79" s="243"/>
      <c r="D79" s="243"/>
      <c r="E79" s="243"/>
      <c r="F79" s="243"/>
      <c r="G79" s="244"/>
    </row>
    <row r="80" spans="1:7" ht="16.2">
      <c r="A80" s="246" t="s">
        <v>374</v>
      </c>
      <c r="B80" s="243"/>
      <c r="C80" s="243"/>
      <c r="D80" s="243"/>
      <c r="E80" s="243"/>
      <c r="F80" s="243"/>
      <c r="G80" s="244"/>
    </row>
    <row r="81" spans="1:16" ht="16.2">
      <c r="A81" s="242" t="s">
        <v>420</v>
      </c>
      <c r="B81" s="243"/>
      <c r="C81" s="243"/>
      <c r="D81" s="243"/>
      <c r="E81" s="243"/>
      <c r="F81" s="243"/>
      <c r="G81" s="244"/>
    </row>
    <row r="83" spans="1:16" ht="16.8">
      <c r="A83" s="247" t="s">
        <v>37</v>
      </c>
      <c r="B83" s="247" t="s">
        <v>38</v>
      </c>
      <c r="C83" s="247" t="s">
        <v>375</v>
      </c>
      <c r="D83" s="247" t="s">
        <v>419</v>
      </c>
      <c r="E83" s="247" t="s">
        <v>39</v>
      </c>
      <c r="F83" s="247" t="s">
        <v>40</v>
      </c>
      <c r="G83" s="247" t="s">
        <v>41</v>
      </c>
      <c r="J83" s="136"/>
      <c r="P83" s="245"/>
    </row>
    <row r="84" spans="1:16" ht="16.2">
      <c r="A84" s="425" t="s">
        <v>401</v>
      </c>
      <c r="B84" s="247" t="s">
        <v>3</v>
      </c>
      <c r="C84" s="248">
        <v>0</v>
      </c>
      <c r="D84" s="248">
        <v>78845.039999999994</v>
      </c>
      <c r="E84" s="248">
        <v>71008.899999999994</v>
      </c>
      <c r="F84" s="248">
        <v>61857.348571428578</v>
      </c>
      <c r="G84" s="248">
        <v>211711.28857142857</v>
      </c>
      <c r="J84" s="136"/>
      <c r="P84" s="245"/>
    </row>
    <row r="85" spans="1:16" ht="16.2">
      <c r="A85" s="425" t="s">
        <v>402</v>
      </c>
      <c r="B85" s="247" t="s">
        <v>180</v>
      </c>
      <c r="C85" s="248">
        <v>18576.009999999998</v>
      </c>
      <c r="D85" s="248">
        <v>8047.87</v>
      </c>
      <c r="E85" s="248">
        <v>0</v>
      </c>
      <c r="F85" s="248">
        <v>259.35000000000002</v>
      </c>
      <c r="G85" s="248">
        <f>SUM(C85:F85)</f>
        <v>26883.229999999996</v>
      </c>
      <c r="J85" s="136"/>
      <c r="P85" s="245"/>
    </row>
    <row r="86" spans="1:16">
      <c r="A86" s="249" t="s">
        <v>41</v>
      </c>
      <c r="B86" s="249"/>
      <c r="C86" s="248"/>
      <c r="D86" s="248"/>
      <c r="E86" s="248"/>
      <c r="F86" s="248"/>
      <c r="G86" s="402">
        <f>SUM(G84:G85)</f>
        <v>238594.51857142855</v>
      </c>
      <c r="J86" s="136"/>
      <c r="P86" s="245"/>
    </row>
    <row r="87" spans="1:16">
      <c r="A87" s="250"/>
      <c r="B87" s="250"/>
      <c r="C87" s="250"/>
      <c r="D87" s="250"/>
      <c r="E87" s="250"/>
      <c r="F87" s="250"/>
      <c r="G87" s="250"/>
    </row>
    <row r="88" spans="1:16">
      <c r="A88" s="451" t="s">
        <v>205</v>
      </c>
      <c r="B88" s="451"/>
      <c r="C88" s="451"/>
      <c r="D88" s="451"/>
      <c r="E88" s="451"/>
      <c r="F88" s="451"/>
      <c r="G88" s="451"/>
    </row>
    <row r="90" spans="1:16">
      <c r="G90" s="245" t="s">
        <v>333</v>
      </c>
    </row>
    <row r="91" spans="1:16">
      <c r="G91" s="245" t="s">
        <v>384</v>
      </c>
    </row>
    <row r="93" spans="1:16" s="395" customFormat="1">
      <c r="J93" s="396"/>
      <c r="K93" s="396"/>
      <c r="L93" s="396"/>
      <c r="M93" s="396"/>
      <c r="N93" s="396"/>
      <c r="O93" s="396"/>
    </row>
    <row r="95" spans="1:16">
      <c r="G95" s="245"/>
    </row>
    <row r="97" spans="1:7" ht="16.2">
      <c r="A97" s="242" t="s">
        <v>334</v>
      </c>
      <c r="B97" s="243"/>
      <c r="C97" s="243"/>
      <c r="D97" s="243"/>
      <c r="E97" s="243"/>
      <c r="F97" s="243"/>
      <c r="G97" s="244"/>
    </row>
    <row r="98" spans="1:7">
      <c r="A98" s="242"/>
      <c r="B98" s="243"/>
      <c r="C98" s="243"/>
      <c r="D98" s="243"/>
      <c r="E98" s="243"/>
      <c r="F98" s="243"/>
      <c r="G98" s="244"/>
    </row>
    <row r="99" spans="1:7" ht="16.2">
      <c r="A99" s="242" t="s">
        <v>332</v>
      </c>
      <c r="B99" s="243"/>
      <c r="C99" s="243"/>
      <c r="D99" s="243"/>
      <c r="E99" s="243"/>
      <c r="F99" s="243"/>
      <c r="G99" s="244"/>
    </row>
    <row r="100" spans="1:7">
      <c r="A100" s="242"/>
      <c r="B100" s="243"/>
      <c r="C100" s="243"/>
      <c r="D100" s="243"/>
      <c r="E100" s="243"/>
      <c r="F100" s="243"/>
      <c r="G100" s="244"/>
    </row>
    <row r="101" spans="1:7" ht="16.2">
      <c r="A101" s="246" t="s">
        <v>403</v>
      </c>
      <c r="B101" s="243"/>
      <c r="C101" s="243"/>
      <c r="D101" s="243"/>
      <c r="E101" s="243"/>
      <c r="F101" s="243"/>
      <c r="G101" s="244"/>
    </row>
    <row r="102" spans="1:7">
      <c r="A102" s="242"/>
      <c r="B102" s="243"/>
      <c r="C102" s="243"/>
      <c r="D102" s="243"/>
      <c r="E102" s="243"/>
      <c r="F102" s="243"/>
      <c r="G102" s="244"/>
    </row>
    <row r="103" spans="1:7" ht="16.2">
      <c r="A103" s="246" t="s">
        <v>404</v>
      </c>
      <c r="B103" s="243"/>
      <c r="C103" s="243"/>
      <c r="D103" s="243"/>
      <c r="E103" s="243"/>
      <c r="F103" s="243"/>
      <c r="G103" s="244"/>
    </row>
    <row r="104" spans="1:7" ht="16.2">
      <c r="A104" s="242" t="s">
        <v>421</v>
      </c>
      <c r="B104" s="243"/>
      <c r="C104" s="243"/>
      <c r="D104" s="243"/>
      <c r="E104" s="243"/>
      <c r="F104" s="243"/>
      <c r="G104" s="244"/>
    </row>
    <row r="106" spans="1:7" ht="16.8">
      <c r="A106" s="247" t="s">
        <v>37</v>
      </c>
      <c r="B106" s="247" t="s">
        <v>38</v>
      </c>
      <c r="C106" s="247" t="s">
        <v>375</v>
      </c>
      <c r="D106" s="247" t="s">
        <v>419</v>
      </c>
      <c r="E106" s="247" t="s">
        <v>39</v>
      </c>
      <c r="F106" s="247" t="s">
        <v>40</v>
      </c>
      <c r="G106" s="247" t="s">
        <v>41</v>
      </c>
    </row>
    <row r="107" spans="1:7">
      <c r="A107" s="424" t="s">
        <v>326</v>
      </c>
      <c r="B107" s="247" t="s">
        <v>409</v>
      </c>
      <c r="C107" s="248">
        <v>0</v>
      </c>
      <c r="D107" s="248">
        <v>28607.78</v>
      </c>
      <c r="E107" s="248">
        <v>0</v>
      </c>
      <c r="F107" s="248">
        <v>161852.80000000002</v>
      </c>
      <c r="G107" s="248">
        <v>190460.58000000002</v>
      </c>
    </row>
    <row r="108" spans="1:7">
      <c r="A108" s="424" t="s">
        <v>327</v>
      </c>
      <c r="B108" s="247" t="s">
        <v>43</v>
      </c>
      <c r="C108" s="248">
        <v>0</v>
      </c>
      <c r="D108" s="248">
        <v>60843.08</v>
      </c>
      <c r="E108" s="248">
        <v>75806.02</v>
      </c>
      <c r="F108" s="248">
        <v>73713.099999999991</v>
      </c>
      <c r="G108" s="248">
        <v>210362.2</v>
      </c>
    </row>
    <row r="109" spans="1:7">
      <c r="A109" s="424" t="s">
        <v>328</v>
      </c>
      <c r="B109" s="247" t="s">
        <v>180</v>
      </c>
      <c r="C109" s="248">
        <v>4454.8900000000003</v>
      </c>
      <c r="D109" s="248">
        <v>37966.28</v>
      </c>
      <c r="E109" s="248">
        <v>0</v>
      </c>
      <c r="F109" s="248">
        <v>100501.25</v>
      </c>
      <c r="G109" s="248">
        <f>SUM(C109:F109)</f>
        <v>142922.41999999998</v>
      </c>
    </row>
    <row r="110" spans="1:7">
      <c r="A110" s="424" t="s">
        <v>329</v>
      </c>
      <c r="B110" s="247" t="s">
        <v>410</v>
      </c>
      <c r="C110" s="248">
        <v>0</v>
      </c>
      <c r="D110" s="248">
        <v>703.59</v>
      </c>
      <c r="E110" s="248">
        <v>0</v>
      </c>
      <c r="F110" s="248">
        <v>135204.9</v>
      </c>
      <c r="G110" s="248">
        <v>135908.49</v>
      </c>
    </row>
    <row r="111" spans="1:7">
      <c r="A111" s="247" t="s">
        <v>41</v>
      </c>
      <c r="B111" s="247"/>
      <c r="C111" s="248"/>
      <c r="D111" s="248"/>
      <c r="E111" s="248"/>
      <c r="F111" s="248"/>
      <c r="G111" s="248">
        <f>SUM(G107:G110)</f>
        <v>679653.69</v>
      </c>
    </row>
    <row r="112" spans="1:7">
      <c r="A112" s="250"/>
      <c r="B112" s="250"/>
      <c r="C112" s="250"/>
      <c r="D112" s="250"/>
      <c r="E112" s="250"/>
      <c r="F112" s="250"/>
      <c r="G112" s="250"/>
    </row>
    <row r="113" spans="1:7">
      <c r="A113" s="451" t="s">
        <v>205</v>
      </c>
      <c r="B113" s="451"/>
      <c r="C113" s="451"/>
      <c r="D113" s="451"/>
      <c r="E113" s="451"/>
      <c r="F113" s="451"/>
      <c r="G113" s="451"/>
    </row>
    <row r="115" spans="1:7">
      <c r="G115" s="245" t="s">
        <v>333</v>
      </c>
    </row>
    <row r="116" spans="1:7">
      <c r="G116" s="245" t="s">
        <v>405</v>
      </c>
    </row>
  </sheetData>
  <mergeCells count="5">
    <mergeCell ref="A113:G113"/>
    <mergeCell ref="A22:G22"/>
    <mergeCell ref="A41:G41"/>
    <mergeCell ref="A69:G69"/>
    <mergeCell ref="A88:G88"/>
  </mergeCells>
  <phoneticPr fontId="2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scale="12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23"/>
  <sheetViews>
    <sheetView tabSelected="1" workbookViewId="0">
      <selection activeCell="H52" sqref="H52"/>
    </sheetView>
  </sheetViews>
  <sheetFormatPr defaultColWidth="9" defaultRowHeight="13.2"/>
  <cols>
    <col min="1" max="1" width="44.21875" style="22" customWidth="1"/>
    <col min="2" max="2" width="11.21875" style="125" bestFit="1" customWidth="1"/>
    <col min="3" max="3" width="10.44140625" style="22" bestFit="1" customWidth="1"/>
    <col min="4" max="5" width="14.44140625" style="22" bestFit="1" customWidth="1"/>
    <col min="6" max="6" width="17.21875" style="22" bestFit="1" customWidth="1"/>
    <col min="7" max="7" width="12.88671875" style="22" bestFit="1" customWidth="1"/>
    <col min="8" max="8" width="19" style="84" customWidth="1"/>
    <col min="9" max="9" width="16.77734375" style="71" bestFit="1" customWidth="1"/>
    <col min="10" max="11" width="11" style="22" customWidth="1"/>
    <col min="12" max="16384" width="9" style="22"/>
  </cols>
  <sheetData>
    <row r="1" spans="1:10">
      <c r="A1" s="20" t="s">
        <v>218</v>
      </c>
      <c r="B1" s="104"/>
      <c r="C1" s="2"/>
      <c r="D1" s="21"/>
      <c r="E1" s="21"/>
      <c r="F1" s="21"/>
      <c r="G1" s="21"/>
    </row>
    <row r="2" spans="1:10">
      <c r="A2" s="23" t="s">
        <v>12</v>
      </c>
      <c r="B2" s="105" t="s">
        <v>45</v>
      </c>
      <c r="C2" s="88" t="s">
        <v>5</v>
      </c>
      <c r="D2" s="450" t="s">
        <v>13</v>
      </c>
      <c r="E2" s="21" t="s">
        <v>14</v>
      </c>
      <c r="F2" s="21" t="s">
        <v>15</v>
      </c>
      <c r="G2" s="21" t="s">
        <v>16</v>
      </c>
    </row>
    <row r="3" spans="1:10" hidden="1">
      <c r="A3" s="23" t="s">
        <v>0</v>
      </c>
      <c r="B3" s="106"/>
      <c r="C3" s="24"/>
      <c r="D3" s="24"/>
      <c r="E3" s="24"/>
      <c r="F3" s="24"/>
      <c r="G3" s="24"/>
    </row>
    <row r="4" spans="1:10" hidden="1">
      <c r="A4" s="59" t="s">
        <v>217</v>
      </c>
      <c r="B4" s="106"/>
      <c r="C4" s="24"/>
      <c r="D4" s="24"/>
      <c r="E4" s="24"/>
      <c r="F4" s="24"/>
      <c r="G4" s="24"/>
    </row>
    <row r="5" spans="1:10">
      <c r="A5" s="23" t="s">
        <v>17</v>
      </c>
      <c r="B5" s="106">
        <v>7755.2889999999998</v>
      </c>
      <c r="C5" s="24">
        <v>920</v>
      </c>
      <c r="D5" s="266">
        <f>D14-D13</f>
        <v>248132.18</v>
      </c>
      <c r="E5" s="266">
        <f>E14-E13</f>
        <v>238786.91999999998</v>
      </c>
      <c r="F5" s="266">
        <f>F14-F13</f>
        <v>78802.48</v>
      </c>
      <c r="G5" s="24">
        <f>SUM(D5:F5)</f>
        <v>565721.57999999996</v>
      </c>
    </row>
    <row r="6" spans="1:10" hidden="1">
      <c r="A6" s="59" t="s">
        <v>203</v>
      </c>
      <c r="B6" s="106"/>
      <c r="C6" s="24"/>
      <c r="D6" s="24"/>
      <c r="E6" s="24"/>
      <c r="F6" s="24"/>
      <c r="G6" s="24"/>
    </row>
    <row r="7" spans="1:10" hidden="1">
      <c r="A7" s="58" t="s">
        <v>67</v>
      </c>
      <c r="B7" s="22"/>
      <c r="C7" s="24"/>
      <c r="D7" s="24"/>
      <c r="E7" s="24"/>
      <c r="F7" s="24"/>
      <c r="G7" s="24"/>
    </row>
    <row r="8" spans="1:10" hidden="1">
      <c r="A8" s="23" t="s">
        <v>18</v>
      </c>
      <c r="B8" s="106"/>
      <c r="C8" s="24"/>
      <c r="D8" s="24"/>
      <c r="E8" s="24"/>
      <c r="F8" s="24"/>
      <c r="G8" s="24"/>
    </row>
    <row r="9" spans="1:10" hidden="1">
      <c r="A9" s="23" t="s">
        <v>19</v>
      </c>
      <c r="B9" s="106"/>
      <c r="C9" s="24"/>
      <c r="D9" s="24"/>
      <c r="E9" s="24"/>
      <c r="F9" s="24"/>
      <c r="G9" s="24"/>
    </row>
    <row r="10" spans="1:10" hidden="1">
      <c r="A10" s="23" t="s">
        <v>73</v>
      </c>
      <c r="B10" s="106"/>
      <c r="C10" s="24"/>
      <c r="D10" s="24"/>
      <c r="E10" s="24"/>
      <c r="F10" s="24"/>
      <c r="G10" s="24"/>
    </row>
    <row r="11" spans="1:10" hidden="1">
      <c r="A11" s="56" t="s">
        <v>202</v>
      </c>
      <c r="B11" s="106"/>
      <c r="C11" s="24"/>
      <c r="D11" s="24"/>
      <c r="E11" s="24"/>
      <c r="F11" s="24"/>
      <c r="G11" s="24"/>
      <c r="H11" s="252"/>
    </row>
    <row r="12" spans="1:10" hidden="1">
      <c r="A12" s="93" t="s">
        <v>167</v>
      </c>
      <c r="B12" s="106"/>
      <c r="C12" s="24"/>
      <c r="D12" s="24"/>
      <c r="E12" s="24"/>
      <c r="F12" s="24"/>
      <c r="G12" s="24"/>
      <c r="H12" s="252"/>
      <c r="J12" s="130"/>
    </row>
    <row r="13" spans="1:10">
      <c r="A13" s="93" t="s">
        <v>316</v>
      </c>
      <c r="B13" s="106"/>
      <c r="C13" s="24"/>
      <c r="D13" s="207">
        <v>0</v>
      </c>
      <c r="E13" s="207">
        <v>0</v>
      </c>
      <c r="F13" s="207">
        <f>8/31*F15</f>
        <v>23840.559999999998</v>
      </c>
      <c r="G13" s="207">
        <f>SUM(D13:F13)</f>
        <v>23840.559999999998</v>
      </c>
      <c r="H13" s="252"/>
      <c r="J13" s="130"/>
    </row>
    <row r="14" spans="1:10">
      <c r="A14" s="20" t="s">
        <v>20</v>
      </c>
      <c r="B14" s="104"/>
      <c r="C14" s="25">
        <f>SUM(C5:C13)</f>
        <v>920</v>
      </c>
      <c r="D14" s="103">
        <f>248132.18</f>
        <v>248132.18</v>
      </c>
      <c r="E14" s="103">
        <f>5471+94525+24823.17+113967.75</f>
        <v>238786.91999999998</v>
      </c>
      <c r="F14" s="103">
        <f>SUM(F15:F17)</f>
        <v>102643.04</v>
      </c>
      <c r="G14" s="103">
        <f>SUM(D14:F14)</f>
        <v>589562.14</v>
      </c>
      <c r="H14" s="261" t="s">
        <v>335</v>
      </c>
      <c r="I14" s="97"/>
    </row>
    <row r="15" spans="1:10">
      <c r="A15" s="131" t="s">
        <v>317</v>
      </c>
      <c r="B15" s="128"/>
      <c r="C15" s="65"/>
      <c r="D15" s="65"/>
      <c r="E15" s="77" t="s">
        <v>70</v>
      </c>
      <c r="F15" s="22">
        <f>92382.17</f>
        <v>92382.17</v>
      </c>
      <c r="G15" s="73">
        <f>F15/F14</f>
        <v>0.90003345575111571</v>
      </c>
      <c r="H15" s="71">
        <f>F14-F16-F17-F13</f>
        <v>68541.61</v>
      </c>
    </row>
    <row r="16" spans="1:10" ht="25.2">
      <c r="A16" s="102" t="s">
        <v>318</v>
      </c>
      <c r="B16" s="128"/>
      <c r="C16" s="62"/>
      <c r="D16" s="62"/>
      <c r="E16" s="77" t="s">
        <v>72</v>
      </c>
      <c r="F16" s="22">
        <f>0</f>
        <v>0</v>
      </c>
      <c r="G16" s="73">
        <f>F16/F14</f>
        <v>0</v>
      </c>
      <c r="H16" s="71">
        <f>F16</f>
        <v>0</v>
      </c>
    </row>
    <row r="17" spans="1:8">
      <c r="A17" s="61"/>
      <c r="B17" s="128"/>
      <c r="C17" s="62"/>
      <c r="D17" s="62"/>
      <c r="E17" s="77" t="s">
        <v>71</v>
      </c>
      <c r="F17" s="22">
        <f>5128.21+5132.66</f>
        <v>10260.869999999999</v>
      </c>
      <c r="G17" s="73">
        <f>F17/F14</f>
        <v>9.9966544248884279E-2</v>
      </c>
      <c r="H17" s="71">
        <f>F17</f>
        <v>10260.869999999999</v>
      </c>
    </row>
    <row r="18" spans="1:8">
      <c r="A18" s="61"/>
      <c r="B18" s="128"/>
      <c r="C18" s="62"/>
      <c r="D18" s="62"/>
      <c r="E18" s="77"/>
      <c r="G18" s="73"/>
      <c r="H18" s="53"/>
    </row>
    <row r="19" spans="1:8">
      <c r="A19" s="61"/>
      <c r="B19" s="128"/>
      <c r="C19" s="62"/>
      <c r="D19" s="62"/>
      <c r="E19" s="77"/>
      <c r="G19" s="73"/>
      <c r="H19" s="53"/>
    </row>
    <row r="20" spans="1:8">
      <c r="A20" s="61"/>
      <c r="B20" s="128"/>
      <c r="C20" s="62"/>
      <c r="D20" s="62"/>
      <c r="E20" s="77"/>
      <c r="G20" s="73"/>
      <c r="H20" s="53"/>
    </row>
    <row r="21" spans="1:8">
      <c r="A21" s="61"/>
      <c r="B21" s="128"/>
      <c r="C21" s="62"/>
      <c r="D21" s="62"/>
      <c r="E21" s="77"/>
      <c r="G21" s="73"/>
      <c r="H21" s="53"/>
    </row>
    <row r="22" spans="1:8">
      <c r="A22" s="61"/>
      <c r="B22" s="128"/>
      <c r="C22" s="62"/>
      <c r="D22" s="62"/>
      <c r="E22" s="77"/>
      <c r="G22" s="73"/>
      <c r="H22" s="53"/>
    </row>
    <row r="23" spans="1:8">
      <c r="A23" s="61"/>
      <c r="B23" s="128"/>
      <c r="C23" s="62"/>
      <c r="D23" s="62"/>
      <c r="E23" s="77"/>
      <c r="G23" s="73"/>
      <c r="H23" s="53"/>
    </row>
    <row r="24" spans="1:8">
      <c r="A24" s="61"/>
      <c r="B24" s="128"/>
      <c r="C24" s="62"/>
      <c r="D24" s="62"/>
      <c r="E24" s="77"/>
      <c r="G24" s="73"/>
      <c r="H24" s="53"/>
    </row>
    <row r="25" spans="1:8">
      <c r="A25" s="61"/>
      <c r="B25" s="128"/>
      <c r="C25" s="62"/>
      <c r="D25" s="62"/>
      <c r="E25" s="77"/>
      <c r="G25" s="73"/>
      <c r="H25" s="53"/>
    </row>
    <row r="26" spans="1:8">
      <c r="A26" s="61"/>
      <c r="B26" s="128"/>
      <c r="C26" s="62"/>
      <c r="D26" s="62"/>
      <c r="E26" s="77"/>
      <c r="G26" s="73"/>
      <c r="H26" s="53"/>
    </row>
    <row r="27" spans="1:8">
      <c r="A27" s="61"/>
      <c r="B27" s="128"/>
      <c r="C27" s="62"/>
      <c r="D27" s="62"/>
      <c r="E27" s="77"/>
      <c r="G27" s="73"/>
      <c r="H27" s="53"/>
    </row>
    <row r="28" spans="1:8">
      <c r="A28" s="61"/>
      <c r="B28" s="128"/>
      <c r="C28" s="62"/>
      <c r="D28" s="62"/>
      <c r="E28" s="77"/>
      <c r="G28" s="73"/>
      <c r="H28" s="53"/>
    </row>
    <row r="29" spans="1:8">
      <c r="A29" s="61"/>
      <c r="B29" s="128"/>
      <c r="C29" s="62"/>
      <c r="D29" s="62"/>
      <c r="E29" s="77"/>
      <c r="G29" s="73"/>
      <c r="H29" s="53"/>
    </row>
    <row r="30" spans="1:8">
      <c r="A30" s="61"/>
      <c r="B30" s="128"/>
      <c r="C30" s="62"/>
      <c r="D30" s="62"/>
      <c r="E30" s="77"/>
      <c r="G30" s="73"/>
      <c r="H30" s="53"/>
    </row>
    <row r="31" spans="1:8">
      <c r="A31" s="61"/>
      <c r="B31" s="128"/>
      <c r="C31" s="62"/>
      <c r="D31" s="62"/>
      <c r="E31" s="77"/>
      <c r="G31" s="73"/>
      <c r="H31" s="53"/>
    </row>
    <row r="32" spans="1:8">
      <c r="A32" s="61"/>
      <c r="B32" s="128"/>
      <c r="C32" s="62"/>
      <c r="D32" s="62"/>
      <c r="E32" s="62"/>
      <c r="F32" s="62"/>
    </row>
    <row r="33" spans="1:10" s="199" customFormat="1">
      <c r="A33" s="196"/>
      <c r="B33" s="197"/>
      <c r="C33" s="198"/>
      <c r="D33" s="198"/>
      <c r="E33" s="198"/>
      <c r="F33" s="198"/>
      <c r="H33" s="253"/>
      <c r="I33" s="200"/>
    </row>
    <row r="34" spans="1:10">
      <c r="A34" s="28"/>
      <c r="B34" s="108"/>
      <c r="C34" s="27"/>
      <c r="D34" s="3"/>
      <c r="E34" s="3"/>
      <c r="F34" s="4"/>
      <c r="G34" s="3"/>
    </row>
    <row r="35" spans="1:10">
      <c r="A35" s="20" t="s">
        <v>219</v>
      </c>
      <c r="B35" s="105" t="s">
        <v>45</v>
      </c>
      <c r="C35" s="6" t="s">
        <v>5</v>
      </c>
      <c r="D35" s="29" t="s">
        <v>6</v>
      </c>
      <c r="E35" s="29" t="s">
        <v>7</v>
      </c>
      <c r="F35" s="29" t="s">
        <v>8</v>
      </c>
      <c r="G35" s="29" t="s">
        <v>9</v>
      </c>
    </row>
    <row r="36" spans="1:10" hidden="1">
      <c r="A36" s="30" t="s">
        <v>21</v>
      </c>
      <c r="B36" s="127"/>
      <c r="C36" s="31"/>
      <c r="D36" s="31"/>
      <c r="E36" s="31"/>
      <c r="F36" s="31"/>
      <c r="G36" s="31"/>
    </row>
    <row r="37" spans="1:10" hidden="1">
      <c r="A37" s="56" t="s">
        <v>59</v>
      </c>
      <c r="B37" s="127"/>
      <c r="C37" s="31"/>
      <c r="D37" s="31"/>
      <c r="E37" s="31"/>
      <c r="F37" s="31"/>
      <c r="G37" s="31"/>
    </row>
    <row r="38" spans="1:10" hidden="1">
      <c r="A38" s="56" t="s">
        <v>201</v>
      </c>
      <c r="B38" s="127"/>
      <c r="C38" s="31"/>
      <c r="D38" s="31"/>
      <c r="E38" s="31"/>
      <c r="F38" s="31"/>
      <c r="G38" s="31"/>
    </row>
    <row r="39" spans="1:10" hidden="1">
      <c r="A39" s="56" t="s">
        <v>58</v>
      </c>
      <c r="B39" s="127"/>
      <c r="C39" s="14"/>
      <c r="D39" s="31"/>
      <c r="E39" s="31"/>
      <c r="F39" s="31"/>
      <c r="G39" s="31"/>
    </row>
    <row r="40" spans="1:10" hidden="1">
      <c r="A40" s="30" t="s">
        <v>22</v>
      </c>
      <c r="B40" s="127"/>
      <c r="C40" s="14"/>
      <c r="D40" s="31"/>
      <c r="E40" s="31"/>
      <c r="F40" s="31"/>
      <c r="G40" s="31"/>
    </row>
    <row r="41" spans="1:10" hidden="1">
      <c r="A41" s="30" t="s">
        <v>23</v>
      </c>
      <c r="B41" s="109"/>
      <c r="C41" s="31"/>
      <c r="D41" s="31"/>
      <c r="E41" s="31"/>
      <c r="F41" s="31"/>
      <c r="G41" s="31"/>
    </row>
    <row r="42" spans="1:10" hidden="1">
      <c r="A42" s="30" t="s">
        <v>24</v>
      </c>
      <c r="B42" s="127"/>
      <c r="C42" s="31"/>
      <c r="D42" s="31"/>
      <c r="E42" s="31"/>
      <c r="F42" s="31"/>
      <c r="G42" s="31"/>
    </row>
    <row r="43" spans="1:10" hidden="1">
      <c r="A43" s="30" t="s">
        <v>25</v>
      </c>
      <c r="B43" s="109"/>
      <c r="C43" s="31"/>
      <c r="D43" s="31"/>
      <c r="E43" s="31"/>
      <c r="F43" s="31"/>
      <c r="G43" s="31"/>
    </row>
    <row r="44" spans="1:10" hidden="1">
      <c r="A44" s="30" t="s">
        <v>26</v>
      </c>
      <c r="B44" s="109"/>
      <c r="C44" s="31"/>
      <c r="D44" s="31"/>
      <c r="E44" s="31"/>
      <c r="F44" s="31"/>
      <c r="G44" s="31"/>
    </row>
    <row r="45" spans="1:10" hidden="1">
      <c r="A45" s="23" t="s">
        <v>199</v>
      </c>
      <c r="B45" s="109"/>
      <c r="C45" s="14"/>
      <c r="D45" s="31"/>
      <c r="E45" s="31"/>
      <c r="F45" s="31"/>
      <c r="G45" s="31"/>
    </row>
    <row r="46" spans="1:10">
      <c r="A46" s="56" t="s">
        <v>320</v>
      </c>
      <c r="B46" s="109"/>
      <c r="C46" s="14"/>
      <c r="D46" s="208">
        <v>53042.13</v>
      </c>
      <c r="E46" s="208">
        <v>0</v>
      </c>
      <c r="F46" s="208">
        <v>545245.94000000006</v>
      </c>
      <c r="G46" s="208">
        <f>SUM(D46:F46)</f>
        <v>598288.07000000007</v>
      </c>
    </row>
    <row r="47" spans="1:10" hidden="1">
      <c r="A47" s="56" t="s">
        <v>202</v>
      </c>
      <c r="B47" s="109"/>
      <c r="C47" s="14"/>
      <c r="D47" s="31"/>
      <c r="E47" s="31"/>
      <c r="F47" s="31"/>
      <c r="G47" s="31"/>
      <c r="H47" s="252"/>
      <c r="I47" s="130"/>
      <c r="J47" s="130"/>
    </row>
    <row r="48" spans="1:10">
      <c r="A48" s="20" t="s">
        <v>20</v>
      </c>
      <c r="B48" s="104"/>
      <c r="C48" s="25"/>
      <c r="D48" s="25">
        <f>53042.13</f>
        <v>53042.13</v>
      </c>
      <c r="E48" s="25">
        <f>0</f>
        <v>0</v>
      </c>
      <c r="F48" s="25">
        <f>SUM(F49:F51)</f>
        <v>545245.94000000006</v>
      </c>
      <c r="G48" s="25">
        <f>SUM(D48:F48)</f>
        <v>598288.07000000007</v>
      </c>
      <c r="I48" s="97"/>
    </row>
    <row r="49" spans="1:9">
      <c r="A49" s="101" t="s">
        <v>319</v>
      </c>
      <c r="B49" s="110"/>
      <c r="C49" s="27"/>
      <c r="D49" s="27"/>
      <c r="E49" s="77" t="s">
        <v>70</v>
      </c>
      <c r="F49" s="63">
        <f>281276.03</f>
        <v>281276.03000000003</v>
      </c>
      <c r="G49" s="64">
        <f>F49/F48</f>
        <v>0.51587001271389565</v>
      </c>
      <c r="H49" s="53"/>
      <c r="I49" s="74"/>
    </row>
    <row r="50" spans="1:9">
      <c r="A50" s="101"/>
      <c r="B50" s="110"/>
      <c r="C50" s="27"/>
      <c r="D50" s="27"/>
      <c r="E50" s="77" t="s">
        <v>72</v>
      </c>
      <c r="F50" s="63">
        <f>247351.28</f>
        <v>247351.28</v>
      </c>
      <c r="G50" s="64">
        <f>F50/F48</f>
        <v>0.45365084240700621</v>
      </c>
      <c r="H50" s="53"/>
      <c r="I50" s="74"/>
    </row>
    <row r="51" spans="1:9">
      <c r="A51" s="102"/>
      <c r="B51" s="110"/>
      <c r="C51" s="27"/>
      <c r="E51" s="77" t="s">
        <v>71</v>
      </c>
      <c r="F51" s="22">
        <f>4895.73+11722.9</f>
        <v>16618.629999999997</v>
      </c>
      <c r="G51" s="64">
        <f>F51/F48</f>
        <v>3.0479144879098037E-2</v>
      </c>
      <c r="H51" s="53"/>
      <c r="I51" s="74"/>
    </row>
    <row r="52" spans="1:9">
      <c r="A52" s="61"/>
      <c r="B52" s="110"/>
      <c r="C52" s="27"/>
      <c r="E52" s="77"/>
      <c r="G52" s="64"/>
      <c r="H52" s="53"/>
      <c r="I52" s="74"/>
    </row>
    <row r="53" spans="1:9">
      <c r="A53" s="61"/>
      <c r="B53" s="110"/>
      <c r="C53" s="27"/>
      <c r="E53" s="77"/>
      <c r="G53" s="64"/>
      <c r="H53" s="53"/>
      <c r="I53" s="74"/>
    </row>
    <row r="54" spans="1:9">
      <c r="A54" s="61"/>
      <c r="B54" s="110"/>
      <c r="C54" s="27"/>
      <c r="E54" s="77"/>
      <c r="G54" s="64"/>
      <c r="H54" s="53"/>
      <c r="I54" s="74"/>
    </row>
    <row r="55" spans="1:9">
      <c r="A55" s="61"/>
      <c r="B55" s="110"/>
      <c r="C55" s="27"/>
      <c r="E55" s="77"/>
      <c r="G55" s="64"/>
      <c r="H55" s="53"/>
      <c r="I55" s="74"/>
    </row>
    <row r="56" spans="1:9">
      <c r="A56" s="61"/>
      <c r="B56" s="110"/>
      <c r="C56" s="27"/>
      <c r="E56" s="77"/>
      <c r="G56" s="64"/>
      <c r="H56" s="53"/>
      <c r="I56" s="74"/>
    </row>
    <row r="57" spans="1:9">
      <c r="A57" s="61"/>
      <c r="B57" s="110"/>
      <c r="C57" s="27"/>
      <c r="E57" s="77"/>
      <c r="G57" s="64"/>
      <c r="H57" s="53"/>
      <c r="I57" s="74"/>
    </row>
    <row r="58" spans="1:9">
      <c r="A58" s="61"/>
      <c r="B58" s="110"/>
      <c r="C58" s="27"/>
      <c r="E58" s="77"/>
      <c r="G58" s="64"/>
      <c r="H58" s="53"/>
      <c r="I58" s="74"/>
    </row>
    <row r="59" spans="1:9">
      <c r="A59" s="61"/>
      <c r="B59" s="110"/>
      <c r="C59" s="27"/>
      <c r="E59" s="77"/>
      <c r="G59" s="64"/>
      <c r="H59" s="53"/>
      <c r="I59" s="74"/>
    </row>
    <row r="60" spans="1:9">
      <c r="A60" s="61"/>
      <c r="B60" s="110"/>
      <c r="C60" s="27"/>
      <c r="E60" s="77"/>
      <c r="G60" s="64"/>
      <c r="H60" s="53"/>
      <c r="I60" s="74"/>
    </row>
    <row r="61" spans="1:9">
      <c r="A61" s="43"/>
      <c r="B61" s="110"/>
      <c r="C61" s="27"/>
      <c r="D61" s="27"/>
      <c r="I61" s="22"/>
    </row>
    <row r="62" spans="1:9">
      <c r="A62" s="43"/>
      <c r="B62" s="110"/>
      <c r="C62" s="27"/>
      <c r="D62" s="27"/>
      <c r="E62" s="77"/>
      <c r="G62" s="64"/>
      <c r="H62" s="53"/>
    </row>
    <row r="63" spans="1:9" s="199" customFormat="1">
      <c r="A63" s="201"/>
      <c r="B63" s="202"/>
      <c r="C63" s="203"/>
      <c r="D63" s="203"/>
      <c r="E63" s="204"/>
      <c r="F63" s="205"/>
      <c r="G63" s="206"/>
      <c r="H63" s="253"/>
      <c r="I63" s="200"/>
    </row>
    <row r="64" spans="1:9">
      <c r="A64" s="26"/>
      <c r="B64" s="107"/>
      <c r="C64" s="33"/>
      <c r="D64" s="33"/>
      <c r="E64" s="33"/>
      <c r="F64" s="33"/>
      <c r="G64" s="33"/>
    </row>
    <row r="65" spans="1:8">
      <c r="A65" s="20" t="s">
        <v>220</v>
      </c>
      <c r="B65" s="105" t="s">
        <v>45</v>
      </c>
      <c r="C65" s="6" t="s">
        <v>5</v>
      </c>
      <c r="D65" s="21" t="s">
        <v>13</v>
      </c>
      <c r="E65" s="21" t="s">
        <v>14</v>
      </c>
      <c r="F65" s="21" t="s">
        <v>15</v>
      </c>
      <c r="G65" s="21" t="s">
        <v>16</v>
      </c>
    </row>
    <row r="66" spans="1:8" hidden="1">
      <c r="A66" s="23" t="s">
        <v>27</v>
      </c>
      <c r="B66" s="106"/>
      <c r="C66" s="34"/>
      <c r="D66" s="35"/>
      <c r="E66" s="35"/>
      <c r="F66" s="35"/>
      <c r="G66" s="35"/>
    </row>
    <row r="67" spans="1:8">
      <c r="A67" s="23" t="s">
        <v>28</v>
      </c>
      <c r="B67" s="127">
        <v>1091.835</v>
      </c>
      <c r="C67" s="34">
        <v>1440</v>
      </c>
      <c r="D67" s="265">
        <f>C67/C$81*D$81</f>
        <v>52986.26616541353</v>
      </c>
      <c r="E67" s="265">
        <f>C67/C$81*E$81</f>
        <v>13537.80902255639</v>
      </c>
      <c r="F67" s="265">
        <f>C67/C$81*H$81</f>
        <v>29784.931651709921</v>
      </c>
      <c r="G67" s="35">
        <f>SUM(D67:F67)</f>
        <v>96309.006839679845</v>
      </c>
    </row>
    <row r="68" spans="1:8">
      <c r="A68" s="23" t="s">
        <v>29</v>
      </c>
      <c r="B68" s="127">
        <v>489.63</v>
      </c>
      <c r="C68" s="34">
        <v>1440</v>
      </c>
      <c r="D68" s="265">
        <f t="shared" ref="D68:D73" si="0">C68/C$81*D$81</f>
        <v>52986.26616541353</v>
      </c>
      <c r="E68" s="265">
        <f t="shared" ref="E68:E73" si="1">C68/C$81*E$81</f>
        <v>13537.80902255639</v>
      </c>
      <c r="F68" s="265">
        <f t="shared" ref="F68:F73" si="2">C68/C$81*H$81</f>
        <v>29784.931651709921</v>
      </c>
      <c r="G68" s="35">
        <f t="shared" ref="G68:G73" si="3">SUM(D68:F68)</f>
        <v>96309.006839679845</v>
      </c>
    </row>
    <row r="69" spans="1:8" hidden="1">
      <c r="A69" s="23" t="s">
        <v>30</v>
      </c>
      <c r="B69" s="127"/>
      <c r="C69" s="34"/>
      <c r="D69" s="35">
        <f t="shared" si="0"/>
        <v>0</v>
      </c>
      <c r="E69" s="35">
        <f t="shared" si="1"/>
        <v>0</v>
      </c>
      <c r="F69" s="35">
        <f t="shared" si="2"/>
        <v>0</v>
      </c>
      <c r="G69" s="35">
        <f t="shared" si="3"/>
        <v>0</v>
      </c>
    </row>
    <row r="70" spans="1:8" hidden="1">
      <c r="A70" s="59" t="s">
        <v>200</v>
      </c>
      <c r="B70" s="127"/>
      <c r="C70" s="34"/>
      <c r="D70" s="35">
        <f t="shared" si="0"/>
        <v>0</v>
      </c>
      <c r="E70" s="35">
        <f t="shared" si="1"/>
        <v>0</v>
      </c>
      <c r="F70" s="35">
        <f t="shared" si="2"/>
        <v>0</v>
      </c>
      <c r="G70" s="35">
        <f t="shared" si="3"/>
        <v>0</v>
      </c>
    </row>
    <row r="71" spans="1:8">
      <c r="A71" s="23" t="s">
        <v>31</v>
      </c>
      <c r="B71" s="106">
        <v>77600</v>
      </c>
      <c r="C71" s="34">
        <v>216</v>
      </c>
      <c r="D71" s="265">
        <f t="shared" si="0"/>
        <v>7947.9399248120299</v>
      </c>
      <c r="E71" s="265">
        <f t="shared" si="1"/>
        <v>2030.6713533834586</v>
      </c>
      <c r="F71" s="265">
        <f t="shared" si="2"/>
        <v>4467.7397477564882</v>
      </c>
      <c r="G71" s="35">
        <f t="shared" si="3"/>
        <v>14446.351025951977</v>
      </c>
    </row>
    <row r="72" spans="1:8">
      <c r="A72" s="23" t="s">
        <v>32</v>
      </c>
      <c r="B72" s="106">
        <v>23000</v>
      </c>
      <c r="C72" s="34">
        <v>60</v>
      </c>
      <c r="D72" s="265">
        <f t="shared" si="0"/>
        <v>2207.7610902255637</v>
      </c>
      <c r="E72" s="265">
        <f t="shared" si="1"/>
        <v>564.07537593984966</v>
      </c>
      <c r="F72" s="265">
        <f t="shared" si="2"/>
        <v>1241.0388188212467</v>
      </c>
      <c r="G72" s="35">
        <f t="shared" si="3"/>
        <v>4012.8752849866596</v>
      </c>
    </row>
    <row r="73" spans="1:8">
      <c r="A73" s="23" t="s">
        <v>33</v>
      </c>
      <c r="B73" s="106">
        <v>4300</v>
      </c>
      <c r="C73" s="34">
        <v>36</v>
      </c>
      <c r="D73" s="265">
        <f t="shared" si="0"/>
        <v>1324.6566541353382</v>
      </c>
      <c r="E73" s="265">
        <f t="shared" si="1"/>
        <v>338.44522556390979</v>
      </c>
      <c r="F73" s="265">
        <f t="shared" si="2"/>
        <v>744.62329129274804</v>
      </c>
      <c r="G73" s="35">
        <f t="shared" si="3"/>
        <v>2407.725170991996</v>
      </c>
      <c r="H73" s="262"/>
    </row>
    <row r="74" spans="1:8" hidden="1">
      <c r="A74" s="23" t="s">
        <v>34</v>
      </c>
      <c r="B74" s="127"/>
      <c r="C74" s="2"/>
      <c r="D74" s="35"/>
      <c r="E74" s="35"/>
      <c r="F74" s="258"/>
      <c r="G74" s="35"/>
      <c r="H74" s="262"/>
    </row>
    <row r="75" spans="1:8" hidden="1">
      <c r="A75" s="23" t="s">
        <v>35</v>
      </c>
      <c r="B75" s="106"/>
      <c r="C75" s="34"/>
      <c r="D75" s="35"/>
      <c r="E75" s="35"/>
      <c r="F75" s="258"/>
      <c r="G75" s="35"/>
      <c r="H75" s="262"/>
    </row>
    <row r="76" spans="1:8" hidden="1">
      <c r="A76" s="23" t="s">
        <v>36</v>
      </c>
      <c r="B76" s="127"/>
      <c r="C76" s="34"/>
      <c r="D76" s="35"/>
      <c r="E76" s="35"/>
      <c r="F76" s="258"/>
      <c r="G76" s="35"/>
      <c r="H76" s="262"/>
    </row>
    <row r="77" spans="1:8" hidden="1">
      <c r="A77" s="23" t="s">
        <v>199</v>
      </c>
      <c r="B77" s="106"/>
      <c r="C77" s="34"/>
      <c r="D77" s="35"/>
      <c r="E77" s="35"/>
      <c r="F77" s="258"/>
      <c r="G77" s="35"/>
      <c r="H77" s="263"/>
    </row>
    <row r="78" spans="1:8" hidden="1">
      <c r="A78" s="59" t="s">
        <v>66</v>
      </c>
      <c r="B78" s="106"/>
      <c r="C78" s="34"/>
      <c r="D78" s="35"/>
      <c r="E78" s="35"/>
      <c r="F78" s="258"/>
      <c r="G78" s="35"/>
      <c r="H78" s="262"/>
    </row>
    <row r="79" spans="1:8">
      <c r="A79" s="58" t="s">
        <v>315</v>
      </c>
      <c r="B79" s="106"/>
      <c r="C79" s="34"/>
      <c r="D79" s="212">
        <v>0</v>
      </c>
      <c r="E79" s="212">
        <v>0</v>
      </c>
      <c r="F79" s="259">
        <f>8/31*F82</f>
        <v>13636.394838709677</v>
      </c>
      <c r="G79" s="264">
        <f>SUM(D79:F79)</f>
        <v>13636.394838709677</v>
      </c>
      <c r="H79" s="261" t="s">
        <v>335</v>
      </c>
    </row>
    <row r="80" spans="1:8" hidden="1">
      <c r="A80" s="58" t="s">
        <v>206</v>
      </c>
      <c r="B80" s="106"/>
      <c r="C80" s="34"/>
      <c r="D80" s="35"/>
      <c r="E80" s="35"/>
      <c r="F80" s="258"/>
      <c r="G80" s="38"/>
      <c r="H80" s="261"/>
    </row>
    <row r="81" spans="1:9">
      <c r="A81" s="20" t="s">
        <v>20</v>
      </c>
      <c r="B81" s="104"/>
      <c r="C81" s="36">
        <f>SUM(C67:C79)</f>
        <v>3192</v>
      </c>
      <c r="D81" s="37">
        <f>117452.89</f>
        <v>117452.89</v>
      </c>
      <c r="E81" s="37">
        <f>10781.5+4099.31+15128</f>
        <v>30008.81</v>
      </c>
      <c r="F81" s="260">
        <f>SUM(F82:F84)</f>
        <v>79659.66</v>
      </c>
      <c r="G81" s="38">
        <f>SUM(D81:F81)</f>
        <v>227121.36000000002</v>
      </c>
      <c r="H81" s="261">
        <f>F81-F79</f>
        <v>66023.265161290328</v>
      </c>
      <c r="I81" s="97"/>
    </row>
    <row r="82" spans="1:9">
      <c r="A82" s="131" t="s">
        <v>317</v>
      </c>
      <c r="B82" s="110"/>
      <c r="C82" s="39"/>
      <c r="D82" s="40"/>
      <c r="E82" s="76" t="s">
        <v>70</v>
      </c>
      <c r="F82" s="251">
        <v>52841.03</v>
      </c>
      <c r="G82" s="60">
        <f>F82/F81</f>
        <v>0.66333486735946401</v>
      </c>
      <c r="H82" s="71">
        <f>F82-F79</f>
        <v>39204.635161290324</v>
      </c>
    </row>
    <row r="83" spans="1:9" ht="25.2">
      <c r="A83" s="102" t="s">
        <v>318</v>
      </c>
      <c r="B83" s="110"/>
      <c r="C83" s="39"/>
      <c r="D83" s="40"/>
      <c r="E83" s="76" t="s">
        <v>72</v>
      </c>
      <c r="F83" s="40">
        <f>10094.34+1702.83+381.89</f>
        <v>12179.06</v>
      </c>
      <c r="G83" s="60">
        <f>F83/F81</f>
        <v>0.15288867665264952</v>
      </c>
      <c r="H83" s="71">
        <f>F83</f>
        <v>12179.06</v>
      </c>
    </row>
    <row r="84" spans="1:9">
      <c r="A84" s="28"/>
      <c r="B84" s="108"/>
      <c r="C84" s="39"/>
      <c r="D84" s="40"/>
      <c r="E84" s="76" t="s">
        <v>71</v>
      </c>
      <c r="F84" s="40">
        <f>256.41+14383.16</f>
        <v>14639.57</v>
      </c>
      <c r="G84" s="60">
        <f>F84/F81</f>
        <v>0.18377645598788644</v>
      </c>
      <c r="H84" s="71">
        <f>F84</f>
        <v>14639.57</v>
      </c>
    </row>
    <row r="85" spans="1:9">
      <c r="A85" s="28"/>
      <c r="B85" s="108"/>
      <c r="C85" s="39"/>
      <c r="D85" s="40"/>
      <c r="E85" s="76"/>
      <c r="F85" s="40"/>
      <c r="G85" s="60"/>
      <c r="H85" s="53"/>
    </row>
    <row r="86" spans="1:9">
      <c r="A86" s="28"/>
      <c r="B86" s="108"/>
      <c r="C86" s="39"/>
      <c r="D86" s="40"/>
      <c r="E86" s="76"/>
      <c r="F86" s="40"/>
      <c r="G86" s="60"/>
      <c r="H86" s="53"/>
    </row>
    <row r="87" spans="1:9">
      <c r="A87" s="28"/>
      <c r="B87" s="108"/>
      <c r="C87" s="39"/>
      <c r="D87" s="40"/>
      <c r="E87" s="76"/>
      <c r="F87" s="40"/>
      <c r="G87" s="60"/>
      <c r="H87" s="53"/>
    </row>
    <row r="88" spans="1:9">
      <c r="A88" s="28"/>
      <c r="B88" s="108"/>
      <c r="C88" s="39"/>
      <c r="D88" s="40"/>
      <c r="E88" s="76"/>
      <c r="F88" s="40"/>
      <c r="G88" s="60"/>
      <c r="H88" s="53"/>
    </row>
    <row r="89" spans="1:9">
      <c r="A89" s="28"/>
      <c r="B89" s="108"/>
      <c r="C89" s="39"/>
      <c r="D89" s="40"/>
      <c r="E89" s="76"/>
      <c r="F89" s="40"/>
      <c r="G89" s="60"/>
      <c r="H89" s="53"/>
    </row>
    <row r="90" spans="1:9">
      <c r="A90" s="28"/>
      <c r="B90" s="108"/>
      <c r="C90" s="39"/>
      <c r="D90" s="40"/>
      <c r="E90" s="76"/>
      <c r="F90" s="40"/>
      <c r="G90" s="60"/>
      <c r="H90" s="53"/>
    </row>
    <row r="91" spans="1:9">
      <c r="A91" s="28"/>
      <c r="B91" s="108"/>
      <c r="C91" s="39"/>
      <c r="D91" s="40"/>
      <c r="E91" s="76"/>
      <c r="F91" s="40"/>
      <c r="G91" s="60"/>
      <c r="H91" s="53"/>
    </row>
    <row r="92" spans="1:9">
      <c r="A92" s="28"/>
      <c r="B92" s="108"/>
      <c r="C92" s="39"/>
      <c r="D92" s="40"/>
      <c r="E92" s="76"/>
      <c r="F92" s="40"/>
      <c r="G92" s="60"/>
      <c r="H92" s="53"/>
    </row>
    <row r="93" spans="1:9">
      <c r="A93" s="28"/>
      <c r="B93" s="108"/>
      <c r="C93" s="39"/>
      <c r="D93" s="40"/>
      <c r="E93" s="76"/>
      <c r="F93" s="40"/>
      <c r="G93" s="60"/>
      <c r="H93" s="53"/>
    </row>
    <row r="94" spans="1:9">
      <c r="A94" s="28"/>
      <c r="B94" s="108"/>
      <c r="C94" s="39"/>
      <c r="D94" s="40"/>
      <c r="E94" s="76"/>
      <c r="F94" s="40"/>
      <c r="G94" s="60"/>
      <c r="H94" s="53"/>
    </row>
    <row r="95" spans="1:9">
      <c r="A95" s="28"/>
      <c r="B95" s="108"/>
      <c r="C95" s="39"/>
      <c r="D95" s="40"/>
      <c r="E95" s="76"/>
      <c r="F95" s="40"/>
      <c r="G95" s="60"/>
      <c r="H95" s="53"/>
    </row>
    <row r="96" spans="1:9">
      <c r="A96" s="28"/>
      <c r="B96" s="108"/>
      <c r="C96" s="39"/>
      <c r="D96" s="40"/>
      <c r="E96" s="76"/>
      <c r="F96" s="40"/>
      <c r="G96" s="60"/>
      <c r="H96" s="53"/>
    </row>
    <row r="97" spans="1:9">
      <c r="A97" s="28"/>
      <c r="B97" s="108"/>
      <c r="C97" s="39"/>
      <c r="D97" s="40"/>
      <c r="E97" s="76"/>
      <c r="F97" s="40"/>
      <c r="G97" s="60"/>
      <c r="H97" s="53"/>
    </row>
    <row r="98" spans="1:9">
      <c r="A98" s="28"/>
      <c r="B98" s="108"/>
      <c r="C98" s="39"/>
      <c r="D98" s="40"/>
      <c r="E98" s="76"/>
      <c r="F98" s="40"/>
      <c r="G98" s="60"/>
      <c r="H98" s="53"/>
    </row>
    <row r="99" spans="1:9">
      <c r="A99" s="28"/>
      <c r="B99" s="108"/>
      <c r="C99" s="39"/>
      <c r="D99" s="40"/>
      <c r="E99" s="76"/>
      <c r="F99" s="40"/>
      <c r="G99" s="60"/>
      <c r="H99" s="53"/>
    </row>
    <row r="100" spans="1:9">
      <c r="A100" s="28"/>
      <c r="B100" s="108"/>
      <c r="C100" s="39"/>
      <c r="D100" s="40"/>
      <c r="E100" s="76"/>
      <c r="F100" s="40"/>
      <c r="G100" s="60"/>
      <c r="H100" s="53"/>
    </row>
    <row r="101" spans="1:9">
      <c r="A101" s="28"/>
      <c r="B101" s="108"/>
      <c r="C101" s="39"/>
      <c r="D101" s="40"/>
      <c r="E101" s="76"/>
      <c r="F101" s="40"/>
      <c r="G101" s="60"/>
      <c r="H101" s="53"/>
    </row>
    <row r="102" spans="1:9">
      <c r="A102" s="28"/>
      <c r="B102" s="108"/>
      <c r="C102" s="39"/>
      <c r="D102" s="40"/>
      <c r="E102" s="76"/>
      <c r="F102" s="40"/>
      <c r="G102" s="60"/>
      <c r="H102" s="53"/>
    </row>
    <row r="103" spans="1:9" s="199" customFormat="1">
      <c r="A103" s="209"/>
      <c r="B103" s="210"/>
      <c r="C103" s="211"/>
      <c r="D103" s="211"/>
      <c r="E103" s="211"/>
      <c r="F103" s="211"/>
      <c r="G103" s="211"/>
      <c r="H103" s="253"/>
      <c r="I103" s="200"/>
    </row>
    <row r="104" spans="1:9">
      <c r="A104" s="48"/>
      <c r="B104" s="112"/>
      <c r="C104" s="33"/>
      <c r="D104" s="33"/>
      <c r="E104" s="33"/>
      <c r="F104" s="33"/>
      <c r="G104" s="33"/>
    </row>
    <row r="105" spans="1:9">
      <c r="A105" s="20" t="s">
        <v>221</v>
      </c>
      <c r="B105" s="105" t="s">
        <v>45</v>
      </c>
      <c r="C105" s="6" t="s">
        <v>5</v>
      </c>
      <c r="D105" s="21" t="s">
        <v>13</v>
      </c>
      <c r="E105" s="21" t="s">
        <v>14</v>
      </c>
      <c r="F105" s="21" t="s">
        <v>15</v>
      </c>
      <c r="G105" s="21" t="s">
        <v>16</v>
      </c>
    </row>
    <row r="106" spans="1:9" hidden="1">
      <c r="A106" s="56" t="s">
        <v>74</v>
      </c>
      <c r="B106" s="105"/>
      <c r="C106" s="6"/>
      <c r="D106" s="51"/>
      <c r="E106" s="51"/>
      <c r="F106" s="51"/>
      <c r="G106" s="51"/>
    </row>
    <row r="107" spans="1:9" hidden="1">
      <c r="A107" s="56" t="s">
        <v>77</v>
      </c>
      <c r="B107" s="105"/>
      <c r="C107" s="5"/>
      <c r="D107" s="90"/>
      <c r="E107" s="90"/>
      <c r="F107" s="90"/>
      <c r="G107" s="51"/>
    </row>
    <row r="108" spans="1:9" hidden="1">
      <c r="A108" s="23" t="s">
        <v>43</v>
      </c>
      <c r="B108" s="106"/>
      <c r="C108" s="34"/>
      <c r="D108" s="90"/>
      <c r="E108" s="90"/>
      <c r="F108" s="90"/>
      <c r="G108" s="51"/>
    </row>
    <row r="109" spans="1:9">
      <c r="A109" s="23" t="s">
        <v>3</v>
      </c>
      <c r="B109" s="106"/>
      <c r="C109" s="34"/>
      <c r="D109" s="99">
        <f>D111</f>
        <v>39935.53</v>
      </c>
      <c r="E109" s="99">
        <f>E111</f>
        <v>76899.45</v>
      </c>
      <c r="F109" s="99">
        <f>F111-F110</f>
        <v>57524.997741935484</v>
      </c>
      <c r="G109" s="99">
        <f>SUM(D109:F109)</f>
        <v>174359.97774193547</v>
      </c>
    </row>
    <row r="110" spans="1:9">
      <c r="A110" s="59" t="s">
        <v>315</v>
      </c>
      <c r="B110" s="106"/>
      <c r="C110" s="34"/>
      <c r="D110" s="217">
        <v>0</v>
      </c>
      <c r="E110" s="217">
        <v>0</v>
      </c>
      <c r="F110" s="217">
        <f>8/31*F112</f>
        <v>18305.672258064515</v>
      </c>
      <c r="G110" s="217">
        <f>SUM(D110:F110)</f>
        <v>18305.672258064515</v>
      </c>
    </row>
    <row r="111" spans="1:9">
      <c r="A111" s="20" t="s">
        <v>20</v>
      </c>
      <c r="B111" s="104"/>
      <c r="C111" s="36"/>
      <c r="D111" s="37">
        <f>39935.53</f>
        <v>39935.53</v>
      </c>
      <c r="E111" s="37">
        <f>13186+3199.2+60514.25</f>
        <v>76899.45</v>
      </c>
      <c r="F111" s="37">
        <f>SUM(F112:F114)</f>
        <v>75830.67</v>
      </c>
      <c r="G111" s="98">
        <f>SUM(D111:F111)</f>
        <v>192665.65</v>
      </c>
      <c r="H111" s="84" t="s">
        <v>336</v>
      </c>
    </row>
    <row r="112" spans="1:9">
      <c r="A112" s="131" t="s">
        <v>317</v>
      </c>
      <c r="B112" s="110"/>
      <c r="C112" s="45"/>
      <c r="D112" s="46"/>
      <c r="E112" s="77" t="s">
        <v>70</v>
      </c>
      <c r="F112" s="40">
        <f>70934.48</f>
        <v>70934.48</v>
      </c>
      <c r="G112" s="60">
        <f>F112/F111</f>
        <v>0.93543258947863706</v>
      </c>
      <c r="H112" s="53">
        <f>F112-F110</f>
        <v>52628.807741935481</v>
      </c>
    </row>
    <row r="113" spans="1:8" ht="25.2">
      <c r="A113" s="102" t="s">
        <v>318</v>
      </c>
      <c r="B113" s="110"/>
      <c r="C113" s="45"/>
      <c r="D113" s="46"/>
      <c r="E113" s="77" t="s">
        <v>72</v>
      </c>
      <c r="F113" s="40">
        <f>4888.25</f>
        <v>4888.25</v>
      </c>
      <c r="G113" s="60">
        <f>F113/F111</f>
        <v>6.4462703547258651E-2</v>
      </c>
      <c r="H113" s="53">
        <v>4888.25</v>
      </c>
    </row>
    <row r="114" spans="1:8">
      <c r="A114" s="101" t="s">
        <v>321</v>
      </c>
      <c r="B114" s="110"/>
      <c r="C114" s="45"/>
      <c r="D114" s="46"/>
      <c r="E114" s="77" t="s">
        <v>71</v>
      </c>
      <c r="F114" s="40">
        <f>7.94</f>
        <v>7.94</v>
      </c>
      <c r="G114" s="60">
        <f>F114/F111</f>
        <v>1.0470697410427734E-4</v>
      </c>
      <c r="H114" s="53">
        <v>7.94</v>
      </c>
    </row>
    <row r="115" spans="1:8">
      <c r="A115" s="43"/>
      <c r="B115" s="110"/>
      <c r="C115" s="45"/>
      <c r="D115" s="46"/>
      <c r="E115" s="77"/>
      <c r="F115" s="40"/>
      <c r="G115" s="60"/>
    </row>
    <row r="116" spans="1:8">
      <c r="A116" s="43"/>
      <c r="B116" s="110"/>
      <c r="C116" s="45"/>
      <c r="D116" s="46"/>
      <c r="E116" s="77"/>
      <c r="F116" s="40"/>
      <c r="G116" s="60"/>
    </row>
    <row r="117" spans="1:8">
      <c r="A117" s="43"/>
      <c r="B117" s="110"/>
      <c r="C117" s="45"/>
      <c r="D117" s="46"/>
      <c r="E117" s="77"/>
      <c r="F117" s="40"/>
      <c r="G117" s="60"/>
    </row>
    <row r="118" spans="1:8">
      <c r="A118" s="43"/>
      <c r="B118" s="110"/>
      <c r="C118" s="45"/>
      <c r="D118" s="46"/>
      <c r="E118" s="77"/>
      <c r="F118" s="40"/>
      <c r="G118" s="60"/>
    </row>
    <row r="119" spans="1:8">
      <c r="A119" s="43"/>
      <c r="B119" s="110"/>
      <c r="C119" s="45"/>
      <c r="D119" s="46"/>
      <c r="E119" s="77"/>
      <c r="F119" s="40"/>
      <c r="G119" s="60"/>
    </row>
    <row r="120" spans="1:8">
      <c r="A120" s="43"/>
      <c r="B120" s="110"/>
      <c r="C120" s="45"/>
      <c r="D120" s="46"/>
      <c r="E120" s="77"/>
      <c r="F120" s="40"/>
      <c r="G120" s="60"/>
    </row>
    <row r="121" spans="1:8">
      <c r="A121" s="43"/>
      <c r="B121" s="110"/>
      <c r="C121" s="45"/>
      <c r="D121" s="46"/>
      <c r="E121" s="77"/>
      <c r="F121" s="40"/>
      <c r="G121" s="60"/>
    </row>
    <row r="122" spans="1:8">
      <c r="A122" s="43"/>
      <c r="B122" s="110"/>
      <c r="C122" s="45"/>
      <c r="D122" s="46"/>
      <c r="E122" s="77"/>
      <c r="F122" s="40"/>
      <c r="G122" s="60"/>
    </row>
    <row r="123" spans="1:8">
      <c r="A123" s="43"/>
      <c r="B123" s="110"/>
      <c r="C123" s="45"/>
      <c r="D123" s="46"/>
      <c r="E123" s="77"/>
      <c r="F123" s="40"/>
      <c r="G123" s="60"/>
    </row>
    <row r="124" spans="1:8">
      <c r="A124" s="43"/>
      <c r="B124" s="110"/>
      <c r="C124" s="45"/>
      <c r="D124" s="46"/>
      <c r="E124" s="77"/>
      <c r="F124" s="40"/>
      <c r="G124" s="60"/>
    </row>
    <row r="125" spans="1:8">
      <c r="A125" s="43"/>
      <c r="B125" s="110"/>
      <c r="C125" s="45"/>
      <c r="D125" s="46"/>
      <c r="E125" s="77"/>
      <c r="F125" s="40"/>
      <c r="G125" s="60"/>
    </row>
    <row r="126" spans="1:8">
      <c r="A126" s="43"/>
      <c r="B126" s="110"/>
      <c r="C126" s="45"/>
      <c r="D126" s="46"/>
      <c r="E126" s="77"/>
      <c r="F126" s="40"/>
      <c r="G126" s="60"/>
    </row>
    <row r="127" spans="1:8">
      <c r="A127" s="43"/>
      <c r="B127" s="110"/>
      <c r="C127" s="45"/>
      <c r="D127" s="46"/>
      <c r="E127" s="77"/>
      <c r="F127" s="40"/>
      <c r="G127" s="60"/>
    </row>
    <row r="128" spans="1:8">
      <c r="A128" s="43"/>
      <c r="B128" s="110"/>
      <c r="C128" s="45"/>
      <c r="D128" s="46"/>
      <c r="E128" s="77"/>
      <c r="F128" s="40"/>
      <c r="G128" s="60"/>
    </row>
    <row r="129" spans="1:9" s="199" customFormat="1">
      <c r="A129" s="201"/>
      <c r="B129" s="202"/>
      <c r="C129" s="213"/>
      <c r="D129" s="214"/>
      <c r="E129" s="215"/>
      <c r="F129" s="216"/>
      <c r="G129" s="216"/>
      <c r="H129" s="253"/>
      <c r="I129" s="200"/>
    </row>
    <row r="130" spans="1:9">
      <c r="A130" s="32"/>
      <c r="B130" s="111"/>
      <c r="C130" s="45"/>
      <c r="D130" s="46"/>
      <c r="E130" s="46"/>
      <c r="F130" s="46"/>
      <c r="G130" s="46"/>
    </row>
    <row r="131" spans="1:9">
      <c r="A131" s="453" t="s">
        <v>222</v>
      </c>
      <c r="B131" s="453"/>
      <c r="C131" s="453"/>
      <c r="D131" s="453"/>
      <c r="E131" s="453"/>
      <c r="F131" s="453"/>
      <c r="G131" s="453"/>
    </row>
    <row r="132" spans="1:9">
      <c r="A132" s="5" t="s">
        <v>4</v>
      </c>
      <c r="B132" s="105" t="s">
        <v>45</v>
      </c>
      <c r="C132" s="6" t="s">
        <v>5</v>
      </c>
      <c r="D132" s="6" t="s">
        <v>6</v>
      </c>
      <c r="E132" s="6" t="s">
        <v>7</v>
      </c>
      <c r="F132" s="6" t="s">
        <v>8</v>
      </c>
      <c r="G132" s="6" t="s">
        <v>9</v>
      </c>
    </row>
    <row r="133" spans="1:9" hidden="1">
      <c r="A133" s="6" t="s">
        <v>173</v>
      </c>
      <c r="B133" s="117"/>
      <c r="C133" s="6"/>
      <c r="D133" s="6"/>
      <c r="E133" s="6"/>
      <c r="F133" s="6"/>
      <c r="G133" s="6"/>
    </row>
    <row r="134" spans="1:9">
      <c r="A134" s="6" t="s">
        <v>113</v>
      </c>
      <c r="B134" s="117">
        <v>49.02</v>
      </c>
      <c r="C134" s="6">
        <v>0</v>
      </c>
      <c r="D134" s="267">
        <f>C134/C$186*D$186</f>
        <v>0</v>
      </c>
      <c r="E134" s="267">
        <f>C134/C$186*E$186</f>
        <v>0</v>
      </c>
      <c r="F134" s="267">
        <f t="shared" ref="F134:F165" si="4">C134/C$186*H$186</f>
        <v>0</v>
      </c>
      <c r="G134" s="7">
        <f>SUM(D134:F134)</f>
        <v>0</v>
      </c>
    </row>
    <row r="135" spans="1:9" hidden="1">
      <c r="A135" s="6" t="s">
        <v>113</v>
      </c>
      <c r="C135" s="6"/>
      <c r="D135" s="7">
        <f t="shared" ref="D135:D182" si="5">C135/C$186*D$186</f>
        <v>0</v>
      </c>
      <c r="E135" s="7">
        <f t="shared" ref="E135:E182" si="6">C135/C$186*E$186</f>
        <v>0</v>
      </c>
      <c r="F135" s="7">
        <f t="shared" si="4"/>
        <v>0</v>
      </c>
      <c r="G135" s="7">
        <f t="shared" ref="G135:G182" si="7">SUM(D135:F135)</f>
        <v>0</v>
      </c>
    </row>
    <row r="136" spans="1:9" hidden="1">
      <c r="A136" s="6" t="s">
        <v>114</v>
      </c>
      <c r="B136" s="117"/>
      <c r="C136" s="6"/>
      <c r="D136" s="7">
        <f t="shared" si="5"/>
        <v>0</v>
      </c>
      <c r="E136" s="7">
        <f t="shared" si="6"/>
        <v>0</v>
      </c>
      <c r="F136" s="7">
        <f t="shared" si="4"/>
        <v>0</v>
      </c>
      <c r="G136" s="7">
        <f t="shared" si="7"/>
        <v>0</v>
      </c>
    </row>
    <row r="137" spans="1:9" hidden="1">
      <c r="A137" s="6" t="s">
        <v>115</v>
      </c>
      <c r="B137" s="117"/>
      <c r="C137" s="6"/>
      <c r="D137" s="7">
        <f t="shared" si="5"/>
        <v>0</v>
      </c>
      <c r="E137" s="7">
        <f t="shared" si="6"/>
        <v>0</v>
      </c>
      <c r="F137" s="7">
        <f t="shared" si="4"/>
        <v>0</v>
      </c>
      <c r="G137" s="7">
        <f t="shared" si="7"/>
        <v>0</v>
      </c>
    </row>
    <row r="138" spans="1:9" hidden="1">
      <c r="A138" s="6" t="s">
        <v>186</v>
      </c>
      <c r="B138" s="117"/>
      <c r="C138" s="6"/>
      <c r="D138" s="7">
        <f t="shared" si="5"/>
        <v>0</v>
      </c>
      <c r="E138" s="7">
        <f t="shared" si="6"/>
        <v>0</v>
      </c>
      <c r="F138" s="7">
        <f t="shared" si="4"/>
        <v>0</v>
      </c>
      <c r="G138" s="7">
        <f t="shared" si="7"/>
        <v>0</v>
      </c>
    </row>
    <row r="139" spans="1:9" hidden="1">
      <c r="A139" s="6" t="s">
        <v>116</v>
      </c>
      <c r="B139" s="117"/>
      <c r="C139" s="6"/>
      <c r="D139" s="7">
        <f t="shared" si="5"/>
        <v>0</v>
      </c>
      <c r="E139" s="7">
        <f t="shared" si="6"/>
        <v>0</v>
      </c>
      <c r="F139" s="7">
        <f t="shared" si="4"/>
        <v>0</v>
      </c>
      <c r="G139" s="7">
        <f t="shared" si="7"/>
        <v>0</v>
      </c>
    </row>
    <row r="140" spans="1:9" hidden="1">
      <c r="A140" s="6" t="s">
        <v>181</v>
      </c>
      <c r="B140" s="117"/>
      <c r="C140" s="6"/>
      <c r="D140" s="7">
        <f t="shared" si="5"/>
        <v>0</v>
      </c>
      <c r="E140" s="7">
        <f t="shared" si="6"/>
        <v>0</v>
      </c>
      <c r="F140" s="7">
        <f t="shared" si="4"/>
        <v>0</v>
      </c>
      <c r="G140" s="7">
        <f t="shared" si="7"/>
        <v>0</v>
      </c>
    </row>
    <row r="141" spans="1:9" hidden="1">
      <c r="A141" s="6" t="s">
        <v>182</v>
      </c>
      <c r="B141" s="117"/>
      <c r="C141" s="6"/>
      <c r="D141" s="7">
        <f t="shared" si="5"/>
        <v>0</v>
      </c>
      <c r="E141" s="7">
        <f t="shared" si="6"/>
        <v>0</v>
      </c>
      <c r="F141" s="7">
        <f t="shared" si="4"/>
        <v>0</v>
      </c>
      <c r="G141" s="7">
        <f t="shared" si="7"/>
        <v>0</v>
      </c>
    </row>
    <row r="142" spans="1:9" hidden="1">
      <c r="A142" s="6" t="s">
        <v>183</v>
      </c>
      <c r="B142" s="117"/>
      <c r="C142" s="6"/>
      <c r="D142" s="7">
        <f t="shared" si="5"/>
        <v>0</v>
      </c>
      <c r="E142" s="7">
        <f t="shared" si="6"/>
        <v>0</v>
      </c>
      <c r="F142" s="7">
        <f t="shared" si="4"/>
        <v>0</v>
      </c>
      <c r="G142" s="7">
        <f t="shared" si="7"/>
        <v>0</v>
      </c>
    </row>
    <row r="143" spans="1:9" hidden="1">
      <c r="A143" s="6" t="s">
        <v>117</v>
      </c>
      <c r="B143" s="117"/>
      <c r="C143" s="6"/>
      <c r="D143" s="7">
        <f t="shared" si="5"/>
        <v>0</v>
      </c>
      <c r="E143" s="7">
        <f t="shared" si="6"/>
        <v>0</v>
      </c>
      <c r="F143" s="7">
        <f t="shared" si="4"/>
        <v>0</v>
      </c>
      <c r="G143" s="7">
        <f t="shared" si="7"/>
        <v>0</v>
      </c>
    </row>
    <row r="144" spans="1:9" hidden="1">
      <c r="A144" s="6" t="s">
        <v>118</v>
      </c>
      <c r="B144" s="117"/>
      <c r="C144" s="6"/>
      <c r="D144" s="7">
        <f t="shared" si="5"/>
        <v>0</v>
      </c>
      <c r="E144" s="7">
        <f t="shared" si="6"/>
        <v>0</v>
      </c>
      <c r="F144" s="7">
        <f t="shared" si="4"/>
        <v>0</v>
      </c>
      <c r="G144" s="7">
        <f t="shared" si="7"/>
        <v>0</v>
      </c>
    </row>
    <row r="145" spans="1:10" hidden="1">
      <c r="A145" s="6" t="s">
        <v>118</v>
      </c>
      <c r="B145" s="117"/>
      <c r="C145" s="6"/>
      <c r="D145" s="7">
        <f t="shared" si="5"/>
        <v>0</v>
      </c>
      <c r="E145" s="7">
        <f t="shared" si="6"/>
        <v>0</v>
      </c>
      <c r="F145" s="7">
        <f t="shared" si="4"/>
        <v>0</v>
      </c>
      <c r="G145" s="7">
        <f t="shared" si="7"/>
        <v>0</v>
      </c>
    </row>
    <row r="146" spans="1:10" hidden="1">
      <c r="A146" s="6" t="s">
        <v>119</v>
      </c>
      <c r="B146" s="117"/>
      <c r="C146" s="6"/>
      <c r="D146" s="7">
        <f t="shared" si="5"/>
        <v>0</v>
      </c>
      <c r="E146" s="7">
        <f t="shared" si="6"/>
        <v>0</v>
      </c>
      <c r="F146" s="7">
        <f t="shared" si="4"/>
        <v>0</v>
      </c>
      <c r="G146" s="7">
        <f t="shared" si="7"/>
        <v>0</v>
      </c>
    </row>
    <row r="147" spans="1:10" hidden="1">
      <c r="A147" s="6" t="s">
        <v>152</v>
      </c>
      <c r="B147" s="117"/>
      <c r="C147" s="6"/>
      <c r="D147" s="7">
        <f t="shared" si="5"/>
        <v>0</v>
      </c>
      <c r="E147" s="7">
        <f t="shared" si="6"/>
        <v>0</v>
      </c>
      <c r="F147" s="7">
        <f t="shared" si="4"/>
        <v>0</v>
      </c>
      <c r="G147" s="7">
        <f t="shared" si="7"/>
        <v>0</v>
      </c>
    </row>
    <row r="148" spans="1:10">
      <c r="A148" s="88" t="s">
        <v>187</v>
      </c>
      <c r="B148" s="268"/>
      <c r="C148" s="88">
        <v>10</v>
      </c>
      <c r="D148" s="269">
        <f t="shared" si="5"/>
        <v>15419.013366336634</v>
      </c>
      <c r="E148" s="269">
        <f t="shared" si="6"/>
        <v>25717.754455445545</v>
      </c>
      <c r="F148" s="269">
        <f t="shared" si="4"/>
        <v>11219.148067709997</v>
      </c>
      <c r="G148" s="269">
        <f t="shared" si="7"/>
        <v>52355.915889492178</v>
      </c>
    </row>
    <row r="149" spans="1:10" hidden="1">
      <c r="A149" s="6" t="s">
        <v>153</v>
      </c>
      <c r="B149" s="268"/>
      <c r="C149" s="88"/>
      <c r="D149" s="269">
        <f t="shared" si="5"/>
        <v>0</v>
      </c>
      <c r="E149" s="269">
        <f t="shared" si="6"/>
        <v>0</v>
      </c>
      <c r="F149" s="269">
        <f t="shared" si="4"/>
        <v>0</v>
      </c>
      <c r="G149" s="269">
        <f t="shared" si="7"/>
        <v>0</v>
      </c>
    </row>
    <row r="150" spans="1:10">
      <c r="A150" s="88" t="s">
        <v>154</v>
      </c>
      <c r="B150" s="268"/>
      <c r="C150" s="88">
        <v>30</v>
      </c>
      <c r="D150" s="269">
        <f t="shared" si="5"/>
        <v>46257.040099009901</v>
      </c>
      <c r="E150" s="269">
        <f t="shared" si="6"/>
        <v>77153.263366336629</v>
      </c>
      <c r="F150" s="269">
        <f t="shared" si="4"/>
        <v>33657.444203129984</v>
      </c>
      <c r="G150" s="269">
        <f t="shared" si="7"/>
        <v>157067.74766847651</v>
      </c>
    </row>
    <row r="151" spans="1:10">
      <c r="A151" s="78" t="s">
        <v>155</v>
      </c>
      <c r="B151" s="127">
        <v>46.627000000000002</v>
      </c>
      <c r="C151" s="6">
        <v>10.5</v>
      </c>
      <c r="D151" s="267">
        <f t="shared" si="5"/>
        <v>16189.964034653465</v>
      </c>
      <c r="E151" s="267">
        <f t="shared" si="6"/>
        <v>27003.642178217822</v>
      </c>
      <c r="F151" s="267">
        <f t="shared" si="4"/>
        <v>11780.105471095496</v>
      </c>
      <c r="G151" s="7">
        <f t="shared" si="7"/>
        <v>54973.711683966787</v>
      </c>
    </row>
    <row r="152" spans="1:10" hidden="1">
      <c r="A152" s="78" t="s">
        <v>155</v>
      </c>
      <c r="B152" s="127"/>
      <c r="C152" s="52"/>
      <c r="D152" s="7">
        <f t="shared" si="5"/>
        <v>0</v>
      </c>
      <c r="E152" s="7">
        <f t="shared" si="6"/>
        <v>0</v>
      </c>
      <c r="F152" s="7">
        <f t="shared" si="4"/>
        <v>0</v>
      </c>
      <c r="G152" s="7">
        <f t="shared" si="7"/>
        <v>0</v>
      </c>
    </row>
    <row r="153" spans="1:10">
      <c r="A153" s="78" t="s">
        <v>156</v>
      </c>
      <c r="B153" s="127">
        <v>326.654</v>
      </c>
      <c r="C153" s="52">
        <v>71.5</v>
      </c>
      <c r="D153" s="267">
        <f t="shared" si="5"/>
        <v>110245.94556930693</v>
      </c>
      <c r="E153" s="267">
        <f t="shared" si="6"/>
        <v>183881.94435643565</v>
      </c>
      <c r="F153" s="267">
        <f t="shared" si="4"/>
        <v>80216.908684126465</v>
      </c>
      <c r="G153" s="7">
        <f t="shared" si="7"/>
        <v>374344.79860986903</v>
      </c>
      <c r="J153" s="95"/>
    </row>
    <row r="154" spans="1:10" hidden="1">
      <c r="A154" s="78" t="s">
        <v>156</v>
      </c>
      <c r="B154" s="109"/>
      <c r="C154" s="6"/>
      <c r="D154" s="7">
        <f t="shared" si="5"/>
        <v>0</v>
      </c>
      <c r="E154" s="7">
        <f t="shared" si="6"/>
        <v>0</v>
      </c>
      <c r="F154" s="7">
        <f t="shared" si="4"/>
        <v>0</v>
      </c>
      <c r="G154" s="7">
        <f t="shared" si="7"/>
        <v>0</v>
      </c>
    </row>
    <row r="155" spans="1:10" hidden="1">
      <c r="A155" s="78" t="s">
        <v>165</v>
      </c>
      <c r="B155" s="109"/>
      <c r="C155" s="6"/>
      <c r="D155" s="7">
        <f t="shared" si="5"/>
        <v>0</v>
      </c>
      <c r="E155" s="7">
        <f t="shared" si="6"/>
        <v>0</v>
      </c>
      <c r="F155" s="7">
        <f t="shared" si="4"/>
        <v>0</v>
      </c>
      <c r="G155" s="7">
        <f t="shared" si="7"/>
        <v>0</v>
      </c>
    </row>
    <row r="156" spans="1:10">
      <c r="A156" s="78" t="s">
        <v>210</v>
      </c>
      <c r="B156" s="109">
        <v>15.268000000000001</v>
      </c>
      <c r="C156" s="6">
        <v>0</v>
      </c>
      <c r="D156" s="267">
        <f t="shared" si="5"/>
        <v>0</v>
      </c>
      <c r="E156" s="267">
        <f t="shared" si="6"/>
        <v>0</v>
      </c>
      <c r="F156" s="267">
        <f t="shared" si="4"/>
        <v>0</v>
      </c>
      <c r="G156" s="7">
        <f t="shared" si="7"/>
        <v>0</v>
      </c>
    </row>
    <row r="157" spans="1:10" hidden="1">
      <c r="A157" s="78" t="s">
        <v>191</v>
      </c>
      <c r="B157" s="109"/>
      <c r="C157" s="6"/>
      <c r="D157" s="7">
        <f t="shared" si="5"/>
        <v>0</v>
      </c>
      <c r="E157" s="7">
        <f t="shared" si="6"/>
        <v>0</v>
      </c>
      <c r="F157" s="7">
        <f t="shared" si="4"/>
        <v>0</v>
      </c>
      <c r="G157" s="7">
        <f t="shared" si="7"/>
        <v>0</v>
      </c>
    </row>
    <row r="158" spans="1:10" hidden="1">
      <c r="A158" s="78" t="s">
        <v>157</v>
      </c>
      <c r="B158" s="109"/>
      <c r="C158" s="6"/>
      <c r="D158" s="7">
        <f t="shared" si="5"/>
        <v>0</v>
      </c>
      <c r="E158" s="7">
        <f t="shared" si="6"/>
        <v>0</v>
      </c>
      <c r="F158" s="7">
        <f t="shared" si="4"/>
        <v>0</v>
      </c>
      <c r="G158" s="7">
        <f t="shared" si="7"/>
        <v>0</v>
      </c>
    </row>
    <row r="159" spans="1:10" hidden="1">
      <c r="A159" s="78" t="s">
        <v>166</v>
      </c>
      <c r="B159" s="109"/>
      <c r="C159" s="6"/>
      <c r="D159" s="7">
        <f t="shared" si="5"/>
        <v>0</v>
      </c>
      <c r="E159" s="7">
        <f t="shared" si="6"/>
        <v>0</v>
      </c>
      <c r="F159" s="7">
        <f t="shared" si="4"/>
        <v>0</v>
      </c>
      <c r="G159" s="7">
        <f t="shared" si="7"/>
        <v>0</v>
      </c>
    </row>
    <row r="160" spans="1:10" hidden="1">
      <c r="A160" s="78" t="s">
        <v>120</v>
      </c>
      <c r="B160" s="109"/>
      <c r="C160" s="6"/>
      <c r="D160" s="7">
        <f t="shared" si="5"/>
        <v>0</v>
      </c>
      <c r="E160" s="7">
        <f t="shared" si="6"/>
        <v>0</v>
      </c>
      <c r="F160" s="7">
        <f t="shared" si="4"/>
        <v>0</v>
      </c>
      <c r="G160" s="7">
        <f t="shared" si="7"/>
        <v>0</v>
      </c>
    </row>
    <row r="161" spans="1:7" hidden="1">
      <c r="A161" s="78" t="s">
        <v>192</v>
      </c>
      <c r="B161" s="109"/>
      <c r="C161" s="6"/>
      <c r="D161" s="7">
        <f t="shared" si="5"/>
        <v>0</v>
      </c>
      <c r="E161" s="7">
        <f t="shared" si="6"/>
        <v>0</v>
      </c>
      <c r="F161" s="7">
        <f t="shared" si="4"/>
        <v>0</v>
      </c>
      <c r="G161" s="7">
        <f t="shared" si="7"/>
        <v>0</v>
      </c>
    </row>
    <row r="162" spans="1:7" hidden="1">
      <c r="A162" s="78" t="s">
        <v>193</v>
      </c>
      <c r="B162" s="109"/>
      <c r="C162" s="6"/>
      <c r="D162" s="7">
        <f t="shared" si="5"/>
        <v>0</v>
      </c>
      <c r="E162" s="7">
        <f t="shared" si="6"/>
        <v>0</v>
      </c>
      <c r="F162" s="7">
        <f t="shared" si="4"/>
        <v>0</v>
      </c>
      <c r="G162" s="7">
        <f t="shared" si="7"/>
        <v>0</v>
      </c>
    </row>
    <row r="163" spans="1:7" hidden="1">
      <c r="A163" s="78" t="s">
        <v>158</v>
      </c>
      <c r="B163" s="109"/>
      <c r="C163" s="6"/>
      <c r="D163" s="7">
        <f t="shared" si="5"/>
        <v>0</v>
      </c>
      <c r="E163" s="7">
        <f t="shared" si="6"/>
        <v>0</v>
      </c>
      <c r="F163" s="7">
        <f t="shared" si="4"/>
        <v>0</v>
      </c>
      <c r="G163" s="7">
        <f t="shared" si="7"/>
        <v>0</v>
      </c>
    </row>
    <row r="164" spans="1:7" hidden="1">
      <c r="A164" s="78" t="s">
        <v>159</v>
      </c>
      <c r="B164" s="109"/>
      <c r="C164" s="6"/>
      <c r="D164" s="7">
        <f t="shared" si="5"/>
        <v>0</v>
      </c>
      <c r="E164" s="7">
        <f t="shared" si="6"/>
        <v>0</v>
      </c>
      <c r="F164" s="7">
        <f t="shared" si="4"/>
        <v>0</v>
      </c>
      <c r="G164" s="7">
        <f t="shared" si="7"/>
        <v>0</v>
      </c>
    </row>
    <row r="165" spans="1:7" hidden="1">
      <c r="A165" s="78" t="s">
        <v>160</v>
      </c>
      <c r="B165" s="109"/>
      <c r="C165" s="6"/>
      <c r="D165" s="7">
        <f t="shared" si="5"/>
        <v>0</v>
      </c>
      <c r="E165" s="7">
        <f t="shared" si="6"/>
        <v>0</v>
      </c>
      <c r="F165" s="7">
        <f t="shared" si="4"/>
        <v>0</v>
      </c>
      <c r="G165" s="7">
        <f t="shared" si="7"/>
        <v>0</v>
      </c>
    </row>
    <row r="166" spans="1:7" hidden="1">
      <c r="A166" s="78" t="s">
        <v>174</v>
      </c>
      <c r="B166" s="109"/>
      <c r="C166" s="6"/>
      <c r="D166" s="7">
        <f t="shared" si="5"/>
        <v>0</v>
      </c>
      <c r="E166" s="7">
        <f t="shared" si="6"/>
        <v>0</v>
      </c>
      <c r="F166" s="7">
        <f t="shared" ref="F166:F182" si="8">C166/C$186*H$186</f>
        <v>0</v>
      </c>
      <c r="G166" s="7">
        <f t="shared" si="7"/>
        <v>0</v>
      </c>
    </row>
    <row r="167" spans="1:7" hidden="1">
      <c r="A167" s="78" t="s">
        <v>161</v>
      </c>
      <c r="B167" s="109"/>
      <c r="C167" s="6"/>
      <c r="D167" s="7">
        <f t="shared" si="5"/>
        <v>0</v>
      </c>
      <c r="E167" s="7">
        <f t="shared" si="6"/>
        <v>0</v>
      </c>
      <c r="F167" s="7">
        <f t="shared" si="8"/>
        <v>0</v>
      </c>
      <c r="G167" s="7">
        <f t="shared" si="7"/>
        <v>0</v>
      </c>
    </row>
    <row r="168" spans="1:7" hidden="1">
      <c r="A168" s="78" t="s">
        <v>162</v>
      </c>
      <c r="B168" s="109"/>
      <c r="C168" s="8"/>
      <c r="D168" s="7">
        <f t="shared" si="5"/>
        <v>0</v>
      </c>
      <c r="E168" s="7">
        <f t="shared" si="6"/>
        <v>0</v>
      </c>
      <c r="F168" s="7">
        <f t="shared" si="8"/>
        <v>0</v>
      </c>
      <c r="G168" s="7">
        <f t="shared" si="7"/>
        <v>0</v>
      </c>
    </row>
    <row r="169" spans="1:7" hidden="1">
      <c r="A169" s="78" t="s">
        <v>194</v>
      </c>
      <c r="B169" s="109"/>
      <c r="C169" s="8"/>
      <c r="D169" s="7">
        <f t="shared" si="5"/>
        <v>0</v>
      </c>
      <c r="E169" s="7">
        <f t="shared" si="6"/>
        <v>0</v>
      </c>
      <c r="F169" s="7">
        <f t="shared" si="8"/>
        <v>0</v>
      </c>
      <c r="G169" s="7">
        <f t="shared" si="7"/>
        <v>0</v>
      </c>
    </row>
    <row r="170" spans="1:7" hidden="1">
      <c r="A170" s="78" t="s">
        <v>208</v>
      </c>
      <c r="B170" s="109"/>
      <c r="C170" s="8"/>
      <c r="D170" s="7">
        <f t="shared" si="5"/>
        <v>0</v>
      </c>
      <c r="E170" s="7">
        <f t="shared" si="6"/>
        <v>0</v>
      </c>
      <c r="F170" s="7">
        <f t="shared" si="8"/>
        <v>0</v>
      </c>
      <c r="G170" s="7">
        <f t="shared" si="7"/>
        <v>0</v>
      </c>
    </row>
    <row r="171" spans="1:7" hidden="1">
      <c r="A171" s="78" t="s">
        <v>175</v>
      </c>
      <c r="B171" s="109"/>
      <c r="C171" s="8"/>
      <c r="D171" s="7">
        <f t="shared" si="5"/>
        <v>0</v>
      </c>
      <c r="E171" s="7">
        <f t="shared" si="6"/>
        <v>0</v>
      </c>
      <c r="F171" s="7">
        <f t="shared" si="8"/>
        <v>0</v>
      </c>
      <c r="G171" s="7">
        <f t="shared" si="7"/>
        <v>0</v>
      </c>
    </row>
    <row r="172" spans="1:7">
      <c r="A172" s="78" t="s">
        <v>176</v>
      </c>
      <c r="B172" s="109">
        <v>84.36</v>
      </c>
      <c r="C172" s="8">
        <v>20.5</v>
      </c>
      <c r="D172" s="267">
        <f t="shared" si="5"/>
        <v>31608.977400990101</v>
      </c>
      <c r="E172" s="267">
        <f t="shared" si="6"/>
        <v>52721.396633663375</v>
      </c>
      <c r="F172" s="267">
        <f t="shared" si="8"/>
        <v>22999.253538805493</v>
      </c>
      <c r="G172" s="7">
        <f t="shared" si="7"/>
        <v>107329.62757345897</v>
      </c>
    </row>
    <row r="173" spans="1:7" hidden="1">
      <c r="A173" s="78" t="s">
        <v>195</v>
      </c>
      <c r="B173" s="109"/>
      <c r="C173" s="8"/>
      <c r="D173" s="7">
        <f t="shared" si="5"/>
        <v>0</v>
      </c>
      <c r="E173" s="7">
        <f t="shared" si="6"/>
        <v>0</v>
      </c>
      <c r="F173" s="7">
        <f t="shared" si="8"/>
        <v>0</v>
      </c>
      <c r="G173" s="7">
        <f t="shared" si="7"/>
        <v>0</v>
      </c>
    </row>
    <row r="174" spans="1:7" hidden="1">
      <c r="A174" s="78" t="s">
        <v>121</v>
      </c>
      <c r="B174" s="100"/>
      <c r="C174" s="8"/>
      <c r="D174" s="7">
        <f t="shared" si="5"/>
        <v>0</v>
      </c>
      <c r="E174" s="7">
        <f t="shared" si="6"/>
        <v>0</v>
      </c>
      <c r="F174" s="7">
        <f t="shared" si="8"/>
        <v>0</v>
      </c>
      <c r="G174" s="7">
        <f t="shared" si="7"/>
        <v>0</v>
      </c>
    </row>
    <row r="175" spans="1:7" hidden="1">
      <c r="A175" s="78" t="s">
        <v>196</v>
      </c>
      <c r="B175" s="100"/>
      <c r="C175" s="8"/>
      <c r="D175" s="7">
        <f t="shared" si="5"/>
        <v>0</v>
      </c>
      <c r="E175" s="7">
        <f t="shared" si="6"/>
        <v>0</v>
      </c>
      <c r="F175" s="7">
        <f t="shared" si="8"/>
        <v>0</v>
      </c>
      <c r="G175" s="7">
        <f t="shared" si="7"/>
        <v>0</v>
      </c>
    </row>
    <row r="176" spans="1:7" hidden="1">
      <c r="A176" s="78" t="s">
        <v>122</v>
      </c>
      <c r="B176" s="109"/>
      <c r="C176" s="8"/>
      <c r="D176" s="7">
        <f t="shared" si="5"/>
        <v>0</v>
      </c>
      <c r="E176" s="7">
        <f t="shared" si="6"/>
        <v>0</v>
      </c>
      <c r="F176" s="7">
        <f t="shared" si="8"/>
        <v>0</v>
      </c>
      <c r="G176" s="7">
        <f t="shared" si="7"/>
        <v>0</v>
      </c>
    </row>
    <row r="177" spans="1:9">
      <c r="A177" s="78" t="s">
        <v>164</v>
      </c>
      <c r="B177" s="127">
        <v>92.025000000000006</v>
      </c>
      <c r="C177" s="52">
        <v>28</v>
      </c>
      <c r="D177" s="267">
        <f t="shared" si="5"/>
        <v>43173.237425742576</v>
      </c>
      <c r="E177" s="267">
        <f t="shared" si="6"/>
        <v>72009.712475247536</v>
      </c>
      <c r="F177" s="267">
        <f t="shared" si="8"/>
        <v>31413.614589587993</v>
      </c>
      <c r="G177" s="7">
        <f t="shared" si="7"/>
        <v>146596.56449057811</v>
      </c>
    </row>
    <row r="178" spans="1:9" hidden="1">
      <c r="A178" s="78" t="s">
        <v>76</v>
      </c>
      <c r="B178" s="109"/>
      <c r="C178" s="8"/>
      <c r="D178" s="7">
        <f t="shared" si="5"/>
        <v>0</v>
      </c>
      <c r="E178" s="7">
        <f t="shared" si="6"/>
        <v>0</v>
      </c>
      <c r="F178" s="7">
        <f t="shared" si="8"/>
        <v>0</v>
      </c>
      <c r="G178" s="7">
        <f t="shared" si="7"/>
        <v>0</v>
      </c>
    </row>
    <row r="179" spans="1:9" hidden="1">
      <c r="A179" s="78" t="s">
        <v>163</v>
      </c>
      <c r="B179" s="109"/>
      <c r="C179" s="8"/>
      <c r="D179" s="7">
        <f t="shared" si="5"/>
        <v>0</v>
      </c>
      <c r="E179" s="7">
        <f t="shared" si="6"/>
        <v>0</v>
      </c>
      <c r="F179" s="7">
        <f t="shared" si="8"/>
        <v>0</v>
      </c>
      <c r="G179" s="7">
        <f t="shared" si="7"/>
        <v>0</v>
      </c>
    </row>
    <row r="180" spans="1:9" hidden="1">
      <c r="A180" s="78" t="s">
        <v>163</v>
      </c>
      <c r="B180" s="109"/>
      <c r="C180" s="8"/>
      <c r="D180" s="7">
        <f t="shared" si="5"/>
        <v>0</v>
      </c>
      <c r="E180" s="7">
        <f t="shared" si="6"/>
        <v>0</v>
      </c>
      <c r="F180" s="7">
        <f t="shared" si="8"/>
        <v>0</v>
      </c>
      <c r="G180" s="7">
        <f t="shared" si="7"/>
        <v>0</v>
      </c>
    </row>
    <row r="181" spans="1:9">
      <c r="A181" s="78" t="s">
        <v>177</v>
      </c>
      <c r="B181" s="109">
        <v>171.179</v>
      </c>
      <c r="C181" s="8">
        <v>20</v>
      </c>
      <c r="D181" s="267">
        <f t="shared" si="5"/>
        <v>30838.026732673268</v>
      </c>
      <c r="E181" s="267">
        <f t="shared" si="6"/>
        <v>51435.508910891091</v>
      </c>
      <c r="F181" s="267">
        <f t="shared" si="8"/>
        <v>22438.296135419994</v>
      </c>
      <c r="G181" s="7">
        <f t="shared" si="7"/>
        <v>104711.83177898436</v>
      </c>
    </row>
    <row r="182" spans="1:9">
      <c r="A182" s="78" t="s">
        <v>209</v>
      </c>
      <c r="B182" s="109">
        <v>46.773000000000003</v>
      </c>
      <c r="C182" s="8">
        <v>11.5</v>
      </c>
      <c r="D182" s="267">
        <f t="shared" si="5"/>
        <v>17731.865371287131</v>
      </c>
      <c r="E182" s="267">
        <f t="shared" si="6"/>
        <v>29575.41762376238</v>
      </c>
      <c r="F182" s="267">
        <f t="shared" si="8"/>
        <v>12902.020277866495</v>
      </c>
      <c r="G182" s="7">
        <f t="shared" si="7"/>
        <v>60209.303272916004</v>
      </c>
      <c r="H182" s="254"/>
    </row>
    <row r="183" spans="1:9" hidden="1">
      <c r="A183" s="78" t="s">
        <v>178</v>
      </c>
      <c r="B183" s="127"/>
      <c r="C183" s="52"/>
      <c r="D183" s="6"/>
      <c r="E183" s="6"/>
      <c r="F183" s="6"/>
      <c r="G183" s="6"/>
    </row>
    <row r="184" spans="1:9" hidden="1">
      <c r="A184" s="78" t="s">
        <v>42</v>
      </c>
      <c r="B184" s="127"/>
      <c r="C184" s="52"/>
      <c r="D184" s="6"/>
      <c r="E184" s="6"/>
      <c r="F184" s="6"/>
      <c r="G184" s="6"/>
    </row>
    <row r="185" spans="1:9">
      <c r="A185" s="218" t="s">
        <v>316</v>
      </c>
      <c r="B185" s="127"/>
      <c r="C185" s="52"/>
      <c r="D185" s="223">
        <v>0</v>
      </c>
      <c r="E185" s="223">
        <v>0</v>
      </c>
      <c r="F185" s="223">
        <f>8/31*F187</f>
        <v>43040.44903225806</v>
      </c>
      <c r="G185" s="223">
        <f>SUM(D185:F185)</f>
        <v>43040.44903225806</v>
      </c>
      <c r="H185" s="261" t="s">
        <v>335</v>
      </c>
      <c r="I185" s="270" t="s">
        <v>340</v>
      </c>
    </row>
    <row r="186" spans="1:9">
      <c r="A186" s="10" t="s">
        <v>10</v>
      </c>
      <c r="B186" s="113"/>
      <c r="C186" s="10">
        <f>SUM(C133:C185)</f>
        <v>202</v>
      </c>
      <c r="D186" s="11">
        <f>311464.07</f>
        <v>311464.07</v>
      </c>
      <c r="E186" s="12">
        <f>10081.25+341247.75+84926.14+83243.5</f>
        <v>519498.64</v>
      </c>
      <c r="F186" s="12">
        <f>SUM(F187:F189)</f>
        <v>269667.24</v>
      </c>
      <c r="G186" s="12">
        <f>SUM(D186:F186)</f>
        <v>1100629.95</v>
      </c>
      <c r="H186" s="71">
        <f>SUM(H187:H189)</f>
        <v>226626.79096774192</v>
      </c>
      <c r="I186" s="71">
        <f>F151+F153+F156+F172+F177+F181+F182+[1]三项费用分配!$F$2746+[1]三项费用分配!$F$2767+[1]三项费用分配!$F$2792</f>
        <v>227619.32287990846</v>
      </c>
    </row>
    <row r="187" spans="1:9">
      <c r="A187" s="131" t="s">
        <v>317</v>
      </c>
      <c r="B187" s="122"/>
      <c r="C187" s="55"/>
      <c r="E187" s="77" t="s">
        <v>70</v>
      </c>
      <c r="F187" s="41">
        <f>166781.74</f>
        <v>166781.74</v>
      </c>
      <c r="G187" s="67">
        <f>F187/F186</f>
        <v>0.61847238099815161</v>
      </c>
      <c r="H187" s="71">
        <f>F187-F185</f>
        <v>123741.29096774192</v>
      </c>
      <c r="I187" s="71">
        <f>G187*I186</f>
        <v>140776.26458272402</v>
      </c>
    </row>
    <row r="188" spans="1:9" ht="24">
      <c r="A188" s="102" t="s">
        <v>318</v>
      </c>
      <c r="B188" s="123"/>
      <c r="C188" s="66"/>
      <c r="D188" s="66"/>
      <c r="E188" s="77" t="s">
        <v>72</v>
      </c>
      <c r="F188" s="68">
        <f>33393.19</f>
        <v>33393.19</v>
      </c>
      <c r="G188" s="69">
        <f>F188/F186</f>
        <v>0.12383109642832404</v>
      </c>
      <c r="H188" s="71">
        <f>F188</f>
        <v>33393.19</v>
      </c>
      <c r="I188" s="71">
        <f>G188*I186</f>
        <v>28186.350320491769</v>
      </c>
    </row>
    <row r="189" spans="1:9">
      <c r="A189" s="66"/>
      <c r="B189" s="123"/>
      <c r="C189" s="66"/>
      <c r="D189" s="66"/>
      <c r="E189" s="77" t="s">
        <v>71</v>
      </c>
      <c r="F189" s="68">
        <f>5008.55+807.69+786.32+62889.75</f>
        <v>69492.31</v>
      </c>
      <c r="G189" s="69">
        <f>F189/F186</f>
        <v>0.25769652257352432</v>
      </c>
      <c r="H189" s="71">
        <f>F189</f>
        <v>69492.31</v>
      </c>
      <c r="I189" s="71">
        <f>I186*G189</f>
        <v>58656.707976692654</v>
      </c>
    </row>
    <row r="190" spans="1:9">
      <c r="A190" s="66"/>
      <c r="B190" s="123"/>
      <c r="C190" s="66"/>
      <c r="D190" s="66"/>
      <c r="E190" s="77"/>
      <c r="F190" s="68"/>
      <c r="G190" s="69"/>
      <c r="H190" s="71"/>
    </row>
    <row r="191" spans="1:9">
      <c r="A191" s="66"/>
      <c r="B191" s="123"/>
      <c r="C191" s="66"/>
      <c r="D191" s="66"/>
      <c r="E191" s="77"/>
      <c r="F191" s="68"/>
      <c r="G191" s="69"/>
      <c r="H191" s="53"/>
    </row>
    <row r="192" spans="1:9">
      <c r="A192" s="66"/>
      <c r="B192" s="123"/>
      <c r="C192" s="66"/>
      <c r="D192" s="66"/>
      <c r="E192" s="77"/>
      <c r="F192" s="68"/>
      <c r="G192" s="69"/>
      <c r="H192" s="53"/>
    </row>
    <row r="193" spans="1:8">
      <c r="A193" s="66"/>
      <c r="B193" s="123"/>
      <c r="C193" s="66"/>
      <c r="D193" s="66"/>
      <c r="E193" s="77"/>
      <c r="F193" s="68"/>
      <c r="G193" s="69"/>
      <c r="H193" s="53"/>
    </row>
    <row r="194" spans="1:8">
      <c r="A194" s="66"/>
      <c r="B194" s="123"/>
      <c r="C194" s="66"/>
      <c r="D194" s="66"/>
      <c r="E194" s="77"/>
      <c r="F194" s="68"/>
      <c r="G194" s="69"/>
      <c r="H194" s="53"/>
    </row>
    <row r="195" spans="1:8">
      <c r="A195" s="66"/>
      <c r="B195" s="123"/>
      <c r="C195" s="66"/>
      <c r="D195" s="66"/>
      <c r="E195" s="77"/>
      <c r="F195" s="68"/>
      <c r="G195" s="69"/>
      <c r="H195" s="53"/>
    </row>
    <row r="196" spans="1:8">
      <c r="A196" s="66"/>
      <c r="B196" s="123"/>
      <c r="C196" s="66"/>
      <c r="D196" s="66"/>
      <c r="E196" s="77"/>
      <c r="F196" s="68"/>
      <c r="G196" s="69"/>
      <c r="H196" s="53"/>
    </row>
    <row r="197" spans="1:8">
      <c r="A197" s="66"/>
      <c r="B197" s="123"/>
      <c r="C197" s="66"/>
      <c r="D197" s="66"/>
      <c r="E197" s="77"/>
      <c r="F197" s="68"/>
      <c r="G197" s="69"/>
      <c r="H197" s="53"/>
    </row>
    <row r="198" spans="1:8">
      <c r="A198" s="66"/>
      <c r="B198" s="123"/>
      <c r="C198" s="66"/>
      <c r="D198" s="66"/>
      <c r="E198" s="77"/>
      <c r="F198" s="68"/>
      <c r="G198" s="69"/>
      <c r="H198" s="53"/>
    </row>
    <row r="199" spans="1:8">
      <c r="A199" s="66"/>
      <c r="B199" s="123"/>
      <c r="C199" s="66"/>
      <c r="D199" s="66"/>
      <c r="E199" s="77"/>
      <c r="F199" s="68"/>
      <c r="G199" s="69"/>
      <c r="H199" s="53"/>
    </row>
    <row r="200" spans="1:8">
      <c r="A200" s="66"/>
      <c r="B200" s="123"/>
      <c r="C200" s="66"/>
      <c r="D200" s="66"/>
      <c r="E200" s="77"/>
      <c r="F200" s="68"/>
      <c r="G200" s="69"/>
      <c r="H200" s="53"/>
    </row>
    <row r="201" spans="1:8">
      <c r="A201" s="66"/>
      <c r="B201" s="123"/>
      <c r="C201" s="66"/>
      <c r="D201" s="66"/>
      <c r="E201" s="77"/>
      <c r="F201" s="68"/>
      <c r="G201" s="69"/>
      <c r="H201" s="53"/>
    </row>
    <row r="202" spans="1:8">
      <c r="A202" s="66"/>
      <c r="B202" s="123"/>
      <c r="C202" s="66"/>
      <c r="D202" s="66"/>
      <c r="E202" s="77"/>
      <c r="F202" s="68"/>
      <c r="G202" s="69"/>
      <c r="H202" s="53"/>
    </row>
    <row r="203" spans="1:8">
      <c r="A203" s="66"/>
      <c r="B203" s="123"/>
      <c r="C203" s="66"/>
      <c r="D203" s="66"/>
      <c r="E203" s="77"/>
      <c r="F203" s="68"/>
      <c r="G203" s="69"/>
      <c r="H203" s="53"/>
    </row>
    <row r="204" spans="1:8">
      <c r="A204" s="66"/>
      <c r="B204" s="123"/>
      <c r="C204" s="66"/>
      <c r="D204" s="66"/>
      <c r="E204" s="77"/>
      <c r="F204" s="68"/>
      <c r="G204" s="69"/>
      <c r="H204" s="53"/>
    </row>
    <row r="205" spans="1:8">
      <c r="A205" s="66"/>
      <c r="B205" s="123"/>
      <c r="C205" s="66"/>
      <c r="D205" s="66"/>
      <c r="E205" s="77"/>
      <c r="F205" s="68"/>
      <c r="G205" s="69"/>
      <c r="H205" s="53"/>
    </row>
    <row r="206" spans="1:8">
      <c r="A206" s="66"/>
      <c r="B206" s="123"/>
      <c r="C206" s="66"/>
      <c r="D206" s="66"/>
      <c r="E206" s="77"/>
      <c r="F206" s="68"/>
      <c r="G206" s="69"/>
      <c r="H206" s="53"/>
    </row>
    <row r="207" spans="1:8">
      <c r="A207" s="66"/>
      <c r="B207" s="123"/>
      <c r="C207" s="66"/>
      <c r="D207" s="66"/>
      <c r="E207" s="77"/>
      <c r="F207" s="68"/>
      <c r="G207" s="69"/>
      <c r="H207" s="53"/>
    </row>
    <row r="208" spans="1:8">
      <c r="A208" s="66"/>
      <c r="B208" s="123"/>
      <c r="C208" s="66"/>
      <c r="D208" s="66"/>
      <c r="E208" s="77"/>
      <c r="F208" s="68"/>
      <c r="G208" s="69"/>
      <c r="H208" s="53"/>
    </row>
    <row r="209" spans="1:9">
      <c r="A209" s="66"/>
      <c r="B209" s="123"/>
      <c r="C209" s="66"/>
      <c r="D209" s="66"/>
      <c r="E209" s="77"/>
      <c r="F209" s="68"/>
      <c r="G209" s="69"/>
      <c r="H209" s="53"/>
    </row>
    <row r="210" spans="1:9" s="199" customFormat="1">
      <c r="A210" s="219"/>
      <c r="B210" s="220"/>
      <c r="C210" s="219"/>
      <c r="D210" s="219"/>
      <c r="E210" s="204"/>
      <c r="F210" s="221"/>
      <c r="G210" s="222"/>
      <c r="H210" s="238"/>
      <c r="I210" s="200"/>
    </row>
    <row r="211" spans="1:9">
      <c r="A211" s="66"/>
      <c r="B211" s="123"/>
      <c r="C211" s="66"/>
      <c r="D211" s="66"/>
      <c r="E211" s="79"/>
      <c r="F211" s="91"/>
      <c r="G211" s="69"/>
    </row>
    <row r="212" spans="1:9">
      <c r="A212" s="454" t="s">
        <v>223</v>
      </c>
      <c r="B212" s="455"/>
      <c r="C212" s="455"/>
      <c r="D212" s="455"/>
      <c r="E212" s="455"/>
      <c r="F212" s="455"/>
      <c r="G212" s="456"/>
    </row>
    <row r="213" spans="1:9">
      <c r="A213" s="5" t="s">
        <v>4</v>
      </c>
      <c r="B213" s="115" t="s">
        <v>45</v>
      </c>
      <c r="C213" s="50" t="s">
        <v>46</v>
      </c>
      <c r="D213" s="6" t="s">
        <v>47</v>
      </c>
      <c r="E213" s="6" t="s">
        <v>48</v>
      </c>
      <c r="F213" s="6" t="s">
        <v>49</v>
      </c>
      <c r="G213" s="6" t="s">
        <v>50</v>
      </c>
    </row>
    <row r="214" spans="1:9" hidden="1">
      <c r="A214" s="9" t="s">
        <v>60</v>
      </c>
      <c r="B214" s="109"/>
      <c r="C214" s="52"/>
      <c r="D214" s="7"/>
      <c r="E214" s="7"/>
      <c r="F214" s="7"/>
      <c r="G214" s="7"/>
    </row>
    <row r="215" spans="1:9" hidden="1">
      <c r="A215" s="9" t="s">
        <v>151</v>
      </c>
      <c r="B215" s="109"/>
      <c r="C215" s="52"/>
      <c r="D215" s="7"/>
      <c r="E215" s="7"/>
      <c r="F215" s="7"/>
      <c r="G215" s="7"/>
    </row>
    <row r="216" spans="1:9">
      <c r="A216" s="9" t="s">
        <v>123</v>
      </c>
      <c r="B216" s="109">
        <v>86.835999999999999</v>
      </c>
      <c r="C216" s="52">
        <v>0</v>
      </c>
      <c r="D216" s="267">
        <f>C216/C$266*D$266</f>
        <v>0</v>
      </c>
      <c r="E216" s="267">
        <f>C216/C$266*E$266</f>
        <v>0</v>
      </c>
      <c r="F216" s="267">
        <f>C216/C$266*H$266</f>
        <v>0</v>
      </c>
      <c r="G216" s="7">
        <f>SUM(D216:F216)</f>
        <v>0</v>
      </c>
    </row>
    <row r="217" spans="1:9" hidden="1">
      <c r="A217" s="9" t="s">
        <v>138</v>
      </c>
      <c r="B217" s="109"/>
      <c r="C217" s="52"/>
      <c r="D217" s="7">
        <f t="shared" ref="D217:D257" si="9">C217/C$266*D$266</f>
        <v>0</v>
      </c>
      <c r="E217" s="7">
        <f t="shared" ref="E217:E257" si="10">C217/C$266*E$266</f>
        <v>0</v>
      </c>
      <c r="F217" s="7">
        <f t="shared" ref="F217:F257" si="11">C217/C$266*H$266</f>
        <v>0</v>
      </c>
      <c r="G217" s="7">
        <f t="shared" ref="G217:G257" si="12">SUM(D217:F217)</f>
        <v>0</v>
      </c>
    </row>
    <row r="218" spans="1:9" hidden="1">
      <c r="A218" s="9" t="s">
        <v>197</v>
      </c>
      <c r="B218" s="109"/>
      <c r="C218" s="52"/>
      <c r="D218" s="7">
        <f t="shared" si="9"/>
        <v>0</v>
      </c>
      <c r="E218" s="7">
        <f t="shared" si="10"/>
        <v>0</v>
      </c>
      <c r="F218" s="7">
        <f t="shared" si="11"/>
        <v>0</v>
      </c>
      <c r="G218" s="7">
        <f t="shared" si="12"/>
        <v>0</v>
      </c>
    </row>
    <row r="219" spans="1:9" hidden="1">
      <c r="A219" s="9" t="s">
        <v>61</v>
      </c>
      <c r="B219" s="109"/>
      <c r="C219" s="52"/>
      <c r="D219" s="7">
        <f t="shared" si="9"/>
        <v>0</v>
      </c>
      <c r="E219" s="7">
        <f t="shared" si="10"/>
        <v>0</v>
      </c>
      <c r="F219" s="7">
        <f t="shared" si="11"/>
        <v>0</v>
      </c>
      <c r="G219" s="7">
        <f t="shared" si="12"/>
        <v>0</v>
      </c>
    </row>
    <row r="220" spans="1:9" hidden="1">
      <c r="A220" s="9" t="s">
        <v>124</v>
      </c>
      <c r="B220" s="109"/>
      <c r="C220" s="52"/>
      <c r="D220" s="7">
        <f t="shared" si="9"/>
        <v>0</v>
      </c>
      <c r="E220" s="7">
        <f t="shared" si="10"/>
        <v>0</v>
      </c>
      <c r="F220" s="7">
        <f t="shared" si="11"/>
        <v>0</v>
      </c>
      <c r="G220" s="7">
        <f t="shared" si="12"/>
        <v>0</v>
      </c>
    </row>
    <row r="221" spans="1:9">
      <c r="A221" s="96" t="s">
        <v>124</v>
      </c>
      <c r="B221" s="271"/>
      <c r="C221" s="272">
        <v>18</v>
      </c>
      <c r="D221" s="269">
        <f t="shared" si="9"/>
        <v>32147.303076923079</v>
      </c>
      <c r="E221" s="269">
        <f t="shared" si="10"/>
        <v>49886.116615384613</v>
      </c>
      <c r="F221" s="269">
        <f t="shared" si="11"/>
        <v>12772.317022332509</v>
      </c>
      <c r="G221" s="269">
        <f t="shared" si="12"/>
        <v>94805.73671464021</v>
      </c>
    </row>
    <row r="222" spans="1:9" hidden="1">
      <c r="A222" s="9" t="s">
        <v>139</v>
      </c>
      <c r="B222" s="109"/>
      <c r="C222" s="52"/>
      <c r="D222" s="7">
        <f t="shared" si="9"/>
        <v>0</v>
      </c>
      <c r="E222" s="7">
        <f t="shared" si="10"/>
        <v>0</v>
      </c>
      <c r="F222" s="7">
        <f t="shared" si="11"/>
        <v>0</v>
      </c>
      <c r="G222" s="7">
        <f t="shared" si="12"/>
        <v>0</v>
      </c>
    </row>
    <row r="223" spans="1:9" hidden="1">
      <c r="A223" s="9" t="s">
        <v>171</v>
      </c>
      <c r="B223" s="109"/>
      <c r="C223" s="52"/>
      <c r="D223" s="7">
        <f t="shared" si="9"/>
        <v>0</v>
      </c>
      <c r="E223" s="7">
        <f t="shared" si="10"/>
        <v>0</v>
      </c>
      <c r="F223" s="7">
        <f t="shared" si="11"/>
        <v>0</v>
      </c>
      <c r="G223" s="7">
        <f t="shared" si="12"/>
        <v>0</v>
      </c>
    </row>
    <row r="224" spans="1:9" hidden="1">
      <c r="A224" s="9" t="s">
        <v>184</v>
      </c>
      <c r="B224" s="109"/>
      <c r="C224" s="52"/>
      <c r="D224" s="7">
        <f t="shared" si="9"/>
        <v>0</v>
      </c>
      <c r="E224" s="7">
        <f t="shared" si="10"/>
        <v>0</v>
      </c>
      <c r="F224" s="7">
        <f t="shared" si="11"/>
        <v>0</v>
      </c>
      <c r="G224" s="7">
        <f t="shared" si="12"/>
        <v>0</v>
      </c>
    </row>
    <row r="225" spans="1:7" hidden="1">
      <c r="A225" s="9" t="s">
        <v>125</v>
      </c>
      <c r="B225" s="109"/>
      <c r="C225" s="52"/>
      <c r="D225" s="7">
        <f t="shared" si="9"/>
        <v>0</v>
      </c>
      <c r="E225" s="7">
        <f t="shared" si="10"/>
        <v>0</v>
      </c>
      <c r="F225" s="7">
        <f t="shared" si="11"/>
        <v>0</v>
      </c>
      <c r="G225" s="7">
        <f t="shared" si="12"/>
        <v>0</v>
      </c>
    </row>
    <row r="226" spans="1:7" hidden="1">
      <c r="A226" s="9" t="s">
        <v>140</v>
      </c>
      <c r="B226" s="109"/>
      <c r="C226" s="52"/>
      <c r="D226" s="7">
        <f t="shared" si="9"/>
        <v>0</v>
      </c>
      <c r="E226" s="7">
        <f t="shared" si="10"/>
        <v>0</v>
      </c>
      <c r="F226" s="7">
        <f t="shared" si="11"/>
        <v>0</v>
      </c>
      <c r="G226" s="7">
        <f t="shared" si="12"/>
        <v>0</v>
      </c>
    </row>
    <row r="227" spans="1:7" hidden="1">
      <c r="A227" s="9" t="s">
        <v>141</v>
      </c>
      <c r="B227" s="109"/>
      <c r="C227" s="52"/>
      <c r="D227" s="7">
        <f t="shared" si="9"/>
        <v>0</v>
      </c>
      <c r="E227" s="7">
        <f t="shared" si="10"/>
        <v>0</v>
      </c>
      <c r="F227" s="7">
        <f t="shared" si="11"/>
        <v>0</v>
      </c>
      <c r="G227" s="7">
        <f t="shared" si="12"/>
        <v>0</v>
      </c>
    </row>
    <row r="228" spans="1:7" hidden="1">
      <c r="A228" s="9" t="s">
        <v>211</v>
      </c>
      <c r="B228" s="109"/>
      <c r="C228" s="52"/>
      <c r="D228" s="7">
        <f t="shared" si="9"/>
        <v>0</v>
      </c>
      <c r="E228" s="7">
        <f t="shared" si="10"/>
        <v>0</v>
      </c>
      <c r="F228" s="7">
        <f t="shared" si="11"/>
        <v>0</v>
      </c>
      <c r="G228" s="7">
        <f t="shared" si="12"/>
        <v>0</v>
      </c>
    </row>
    <row r="229" spans="1:7" hidden="1">
      <c r="A229" s="9" t="s">
        <v>142</v>
      </c>
      <c r="B229" s="127"/>
      <c r="C229" s="8"/>
      <c r="D229" s="7">
        <f t="shared" si="9"/>
        <v>0</v>
      </c>
      <c r="E229" s="7">
        <f t="shared" si="10"/>
        <v>0</v>
      </c>
      <c r="F229" s="7">
        <f t="shared" si="11"/>
        <v>0</v>
      </c>
      <c r="G229" s="7">
        <f t="shared" si="12"/>
        <v>0</v>
      </c>
    </row>
    <row r="230" spans="1:7">
      <c r="A230" s="9" t="s">
        <v>126</v>
      </c>
      <c r="B230" s="109">
        <v>12.916</v>
      </c>
      <c r="C230" s="52">
        <v>4.5</v>
      </c>
      <c r="D230" s="267">
        <f t="shared" si="9"/>
        <v>8036.8257692307698</v>
      </c>
      <c r="E230" s="267">
        <f t="shared" si="10"/>
        <v>12471.529153846153</v>
      </c>
      <c r="F230" s="267">
        <f t="shared" si="11"/>
        <v>3193.0792555831272</v>
      </c>
      <c r="G230" s="7">
        <f t="shared" si="12"/>
        <v>23701.434178660053</v>
      </c>
    </row>
    <row r="231" spans="1:7" hidden="1">
      <c r="A231" s="9" t="s">
        <v>172</v>
      </c>
      <c r="B231" s="109"/>
      <c r="C231" s="52"/>
      <c r="D231" s="7">
        <f t="shared" si="9"/>
        <v>0</v>
      </c>
      <c r="E231" s="7">
        <f t="shared" si="10"/>
        <v>0</v>
      </c>
      <c r="F231" s="7">
        <f t="shared" si="11"/>
        <v>0</v>
      </c>
      <c r="G231" s="7">
        <f t="shared" si="12"/>
        <v>0</v>
      </c>
    </row>
    <row r="232" spans="1:7">
      <c r="A232" s="9" t="s">
        <v>127</v>
      </c>
      <c r="B232" s="109">
        <v>137.57</v>
      </c>
      <c r="C232" s="52">
        <v>30.5</v>
      </c>
      <c r="D232" s="267">
        <f t="shared" si="9"/>
        <v>54471.819102564106</v>
      </c>
      <c r="E232" s="267">
        <f t="shared" si="10"/>
        <v>84529.253153846148</v>
      </c>
      <c r="F232" s="267">
        <f t="shared" si="11"/>
        <v>21641.981621174527</v>
      </c>
      <c r="G232" s="7">
        <f t="shared" si="12"/>
        <v>160643.05387758478</v>
      </c>
    </row>
    <row r="233" spans="1:7">
      <c r="A233" s="96" t="s">
        <v>127</v>
      </c>
      <c r="B233" s="271"/>
      <c r="C233" s="272">
        <v>31.5</v>
      </c>
      <c r="D233" s="269">
        <f t="shared" si="9"/>
        <v>56257.780384615391</v>
      </c>
      <c r="E233" s="269">
        <f t="shared" si="10"/>
        <v>87300.704076923066</v>
      </c>
      <c r="F233" s="269">
        <f t="shared" si="11"/>
        <v>22351.554789081889</v>
      </c>
      <c r="G233" s="269">
        <f t="shared" si="12"/>
        <v>165910.03925062035</v>
      </c>
    </row>
    <row r="234" spans="1:7">
      <c r="A234" s="9" t="s">
        <v>212</v>
      </c>
      <c r="B234" s="109">
        <v>28.515999999999998</v>
      </c>
      <c r="C234" s="52">
        <v>7</v>
      </c>
      <c r="D234" s="267">
        <f t="shared" si="9"/>
        <v>12501.728974358974</v>
      </c>
      <c r="E234" s="267">
        <f t="shared" si="10"/>
        <v>19400.15646153846</v>
      </c>
      <c r="F234" s="267">
        <f t="shared" si="11"/>
        <v>4967.0121753515305</v>
      </c>
      <c r="G234" s="7">
        <f t="shared" si="12"/>
        <v>36868.897611248962</v>
      </c>
    </row>
    <row r="235" spans="1:7" hidden="1">
      <c r="A235" s="9" t="s">
        <v>143</v>
      </c>
      <c r="B235" s="127"/>
      <c r="C235" s="8"/>
      <c r="D235" s="7">
        <f t="shared" si="9"/>
        <v>0</v>
      </c>
      <c r="E235" s="7">
        <f t="shared" si="10"/>
        <v>0</v>
      </c>
      <c r="F235" s="7">
        <f t="shared" si="11"/>
        <v>0</v>
      </c>
      <c r="G235" s="7">
        <f t="shared" si="12"/>
        <v>0</v>
      </c>
    </row>
    <row r="236" spans="1:7" hidden="1">
      <c r="A236" s="9" t="s">
        <v>62</v>
      </c>
      <c r="B236" s="109"/>
      <c r="C236" s="52"/>
      <c r="D236" s="7">
        <f t="shared" si="9"/>
        <v>0</v>
      </c>
      <c r="E236" s="7">
        <f t="shared" si="10"/>
        <v>0</v>
      </c>
      <c r="F236" s="7">
        <f t="shared" si="11"/>
        <v>0</v>
      </c>
      <c r="G236" s="7">
        <f t="shared" si="12"/>
        <v>0</v>
      </c>
    </row>
    <row r="237" spans="1:7" hidden="1">
      <c r="A237" s="9" t="s">
        <v>185</v>
      </c>
      <c r="B237" s="109"/>
      <c r="C237" s="52"/>
      <c r="D237" s="7">
        <f t="shared" si="9"/>
        <v>0</v>
      </c>
      <c r="E237" s="7">
        <f t="shared" si="10"/>
        <v>0</v>
      </c>
      <c r="F237" s="7">
        <f t="shared" si="11"/>
        <v>0</v>
      </c>
      <c r="G237" s="7">
        <f t="shared" si="12"/>
        <v>0</v>
      </c>
    </row>
    <row r="238" spans="1:7">
      <c r="A238" s="9" t="s">
        <v>128</v>
      </c>
      <c r="B238" s="109">
        <v>45.557000000000002</v>
      </c>
      <c r="C238" s="52">
        <v>10.5</v>
      </c>
      <c r="D238" s="267">
        <f t="shared" si="9"/>
        <v>18752.593461538465</v>
      </c>
      <c r="E238" s="267">
        <f t="shared" si="10"/>
        <v>29100.234692307691</v>
      </c>
      <c r="F238" s="267">
        <f t="shared" si="11"/>
        <v>7450.5182630272966</v>
      </c>
      <c r="G238" s="7">
        <f t="shared" si="12"/>
        <v>55303.346416873457</v>
      </c>
    </row>
    <row r="239" spans="1:7" hidden="1">
      <c r="A239" s="9" t="s">
        <v>128</v>
      </c>
      <c r="B239" s="109"/>
      <c r="C239" s="52"/>
      <c r="D239" s="7">
        <f t="shared" si="9"/>
        <v>0</v>
      </c>
      <c r="E239" s="7">
        <f t="shared" si="10"/>
        <v>0</v>
      </c>
      <c r="F239" s="7">
        <f t="shared" si="11"/>
        <v>0</v>
      </c>
      <c r="G239" s="7">
        <f t="shared" si="12"/>
        <v>0</v>
      </c>
    </row>
    <row r="240" spans="1:7">
      <c r="A240" s="9" t="s">
        <v>144</v>
      </c>
      <c r="B240" s="109">
        <v>42.854999999999997</v>
      </c>
      <c r="C240" s="52">
        <v>10.5</v>
      </c>
      <c r="D240" s="267">
        <f t="shared" si="9"/>
        <v>18752.593461538465</v>
      </c>
      <c r="E240" s="267">
        <f t="shared" si="10"/>
        <v>29100.234692307691</v>
      </c>
      <c r="F240" s="267">
        <f t="shared" si="11"/>
        <v>7450.5182630272966</v>
      </c>
      <c r="G240" s="7">
        <f t="shared" si="12"/>
        <v>55303.346416873457</v>
      </c>
    </row>
    <row r="241" spans="1:10">
      <c r="A241" s="9" t="s">
        <v>145</v>
      </c>
      <c r="B241" s="127">
        <v>135.797</v>
      </c>
      <c r="C241" s="8">
        <v>30.5</v>
      </c>
      <c r="D241" s="267">
        <f t="shared" si="9"/>
        <v>54471.819102564106</v>
      </c>
      <c r="E241" s="267">
        <f t="shared" si="10"/>
        <v>84529.253153846148</v>
      </c>
      <c r="F241" s="267">
        <f t="shared" si="11"/>
        <v>21641.981621174527</v>
      </c>
      <c r="G241" s="7">
        <f t="shared" si="12"/>
        <v>160643.05387758478</v>
      </c>
    </row>
    <row r="242" spans="1:10" hidden="1">
      <c r="A242" s="9" t="s">
        <v>129</v>
      </c>
      <c r="B242" s="109"/>
      <c r="C242" s="52"/>
      <c r="D242" s="7">
        <f t="shared" si="9"/>
        <v>0</v>
      </c>
      <c r="E242" s="7">
        <f t="shared" si="10"/>
        <v>0</v>
      </c>
      <c r="F242" s="7">
        <f t="shared" si="11"/>
        <v>0</v>
      </c>
      <c r="G242" s="7">
        <f t="shared" si="12"/>
        <v>0</v>
      </c>
    </row>
    <row r="243" spans="1:10">
      <c r="A243" s="9" t="s">
        <v>130</v>
      </c>
      <c r="B243" s="109">
        <v>114.374</v>
      </c>
      <c r="C243" s="52">
        <v>9</v>
      </c>
      <c r="D243" s="267">
        <f t="shared" si="9"/>
        <v>16073.65153846154</v>
      </c>
      <c r="E243" s="267">
        <f t="shared" si="10"/>
        <v>24943.058307692307</v>
      </c>
      <c r="F243" s="267">
        <f t="shared" si="11"/>
        <v>6386.1585111662544</v>
      </c>
      <c r="G243" s="7">
        <f t="shared" si="12"/>
        <v>47402.868357320105</v>
      </c>
    </row>
    <row r="244" spans="1:10" hidden="1">
      <c r="A244" s="9" t="s">
        <v>198</v>
      </c>
      <c r="B244" s="109"/>
      <c r="C244" s="52"/>
      <c r="D244" s="7">
        <f t="shared" si="9"/>
        <v>0</v>
      </c>
      <c r="E244" s="7">
        <f t="shared" si="10"/>
        <v>0</v>
      </c>
      <c r="F244" s="7">
        <f t="shared" si="11"/>
        <v>0</v>
      </c>
      <c r="G244" s="7">
        <f t="shared" si="12"/>
        <v>0</v>
      </c>
    </row>
    <row r="245" spans="1:10">
      <c r="A245" s="9" t="s">
        <v>63</v>
      </c>
      <c r="B245" s="109">
        <v>9.6477000000000004</v>
      </c>
      <c r="C245" s="52">
        <v>0</v>
      </c>
      <c r="D245" s="267">
        <f t="shared" si="9"/>
        <v>0</v>
      </c>
      <c r="E245" s="267">
        <f t="shared" si="10"/>
        <v>0</v>
      </c>
      <c r="F245" s="267">
        <f t="shared" si="11"/>
        <v>0</v>
      </c>
      <c r="G245" s="7">
        <f t="shared" si="12"/>
        <v>0</v>
      </c>
    </row>
    <row r="246" spans="1:10" hidden="1">
      <c r="A246" s="9" t="s">
        <v>63</v>
      </c>
      <c r="B246" s="109"/>
      <c r="C246" s="52"/>
      <c r="D246" s="7">
        <f t="shared" si="9"/>
        <v>0</v>
      </c>
      <c r="E246" s="7">
        <f t="shared" si="10"/>
        <v>0</v>
      </c>
      <c r="F246" s="7">
        <f t="shared" si="11"/>
        <v>0</v>
      </c>
      <c r="G246" s="7">
        <f t="shared" si="12"/>
        <v>0</v>
      </c>
    </row>
    <row r="247" spans="1:10">
      <c r="A247" s="9" t="s">
        <v>131</v>
      </c>
      <c r="B247" s="109">
        <v>39.700000000000003</v>
      </c>
      <c r="C247" s="52">
        <v>8.5</v>
      </c>
      <c r="D247" s="267">
        <f t="shared" si="9"/>
        <v>15180.670897435897</v>
      </c>
      <c r="E247" s="267">
        <f t="shared" si="10"/>
        <v>23557.33284615384</v>
      </c>
      <c r="F247" s="267">
        <f t="shared" si="11"/>
        <v>6031.3719272125727</v>
      </c>
      <c r="G247" s="7">
        <f t="shared" si="12"/>
        <v>44769.375670802314</v>
      </c>
    </row>
    <row r="248" spans="1:10" hidden="1">
      <c r="A248" s="9" t="s">
        <v>131</v>
      </c>
      <c r="B248" s="109"/>
      <c r="C248" s="52"/>
      <c r="D248" s="7">
        <f t="shared" si="9"/>
        <v>0</v>
      </c>
      <c r="E248" s="7">
        <f t="shared" si="10"/>
        <v>0</v>
      </c>
      <c r="F248" s="7">
        <f t="shared" si="11"/>
        <v>0</v>
      </c>
      <c r="G248" s="7">
        <f t="shared" si="12"/>
        <v>0</v>
      </c>
    </row>
    <row r="249" spans="1:10" hidden="1">
      <c r="A249" s="9" t="s">
        <v>213</v>
      </c>
      <c r="B249" s="109"/>
      <c r="C249" s="52"/>
      <c r="D249" s="7">
        <f t="shared" si="9"/>
        <v>0</v>
      </c>
      <c r="E249" s="7">
        <f t="shared" si="10"/>
        <v>0</v>
      </c>
      <c r="F249" s="7">
        <f t="shared" si="11"/>
        <v>0</v>
      </c>
      <c r="G249" s="7">
        <f t="shared" si="12"/>
        <v>0</v>
      </c>
    </row>
    <row r="250" spans="1:10">
      <c r="A250" s="9" t="s">
        <v>132</v>
      </c>
      <c r="B250" s="109">
        <v>94.052000000000007</v>
      </c>
      <c r="C250" s="52">
        <v>20</v>
      </c>
      <c r="D250" s="267">
        <f t="shared" si="9"/>
        <v>35719.225641025638</v>
      </c>
      <c r="E250" s="267">
        <f t="shared" si="10"/>
        <v>55429.01846153845</v>
      </c>
      <c r="F250" s="267">
        <f t="shared" si="11"/>
        <v>14191.46335814723</v>
      </c>
      <c r="G250" s="7">
        <f t="shared" si="12"/>
        <v>105339.70746071132</v>
      </c>
    </row>
    <row r="251" spans="1:10" hidden="1">
      <c r="A251" s="9" t="s">
        <v>132</v>
      </c>
      <c r="B251" s="109"/>
      <c r="C251" s="52"/>
      <c r="D251" s="7">
        <f t="shared" si="9"/>
        <v>0</v>
      </c>
      <c r="E251" s="7">
        <f t="shared" si="10"/>
        <v>0</v>
      </c>
      <c r="F251" s="7">
        <f t="shared" si="11"/>
        <v>0</v>
      </c>
      <c r="G251" s="7">
        <f t="shared" si="12"/>
        <v>0</v>
      </c>
    </row>
    <row r="252" spans="1:10">
      <c r="A252" s="9" t="s">
        <v>134</v>
      </c>
      <c r="B252" s="109">
        <v>46.426000000000002</v>
      </c>
      <c r="C252" s="52">
        <v>10.5</v>
      </c>
      <c r="D252" s="267">
        <f t="shared" si="9"/>
        <v>18752.593461538465</v>
      </c>
      <c r="E252" s="267">
        <f t="shared" si="10"/>
        <v>29100.234692307691</v>
      </c>
      <c r="F252" s="267">
        <f t="shared" si="11"/>
        <v>7450.5182630272966</v>
      </c>
      <c r="G252" s="7">
        <f t="shared" si="12"/>
        <v>55303.346416873457</v>
      </c>
      <c r="J252" s="95"/>
    </row>
    <row r="253" spans="1:10" hidden="1">
      <c r="A253" s="9" t="s">
        <v>64</v>
      </c>
      <c r="B253" s="109"/>
      <c r="C253" s="52"/>
      <c r="D253" s="7">
        <f t="shared" si="9"/>
        <v>0</v>
      </c>
      <c r="E253" s="7">
        <f t="shared" si="10"/>
        <v>0</v>
      </c>
      <c r="F253" s="7">
        <f t="shared" si="11"/>
        <v>0</v>
      </c>
      <c r="G253" s="7">
        <f t="shared" si="12"/>
        <v>0</v>
      </c>
    </row>
    <row r="254" spans="1:10">
      <c r="A254" s="9" t="s">
        <v>65</v>
      </c>
      <c r="B254" s="109">
        <v>13.283799999999999</v>
      </c>
      <c r="C254" s="52">
        <v>0</v>
      </c>
      <c r="D254" s="267">
        <f t="shared" si="9"/>
        <v>0</v>
      </c>
      <c r="E254" s="267">
        <f t="shared" si="10"/>
        <v>0</v>
      </c>
      <c r="F254" s="267">
        <f t="shared" si="11"/>
        <v>0</v>
      </c>
      <c r="G254" s="7">
        <f t="shared" si="12"/>
        <v>0</v>
      </c>
    </row>
    <row r="255" spans="1:10" hidden="1">
      <c r="A255" s="9" t="s">
        <v>65</v>
      </c>
      <c r="B255" s="109"/>
      <c r="C255" s="52"/>
      <c r="D255" s="7">
        <f t="shared" si="9"/>
        <v>0</v>
      </c>
      <c r="E255" s="7">
        <f t="shared" si="10"/>
        <v>0</v>
      </c>
      <c r="F255" s="7">
        <f t="shared" si="11"/>
        <v>0</v>
      </c>
      <c r="G255" s="7">
        <f t="shared" si="12"/>
        <v>0</v>
      </c>
    </row>
    <row r="256" spans="1:10" hidden="1">
      <c r="A256" s="9" t="s">
        <v>133</v>
      </c>
      <c r="B256" s="109"/>
      <c r="C256" s="52"/>
      <c r="D256" s="7">
        <f t="shared" si="9"/>
        <v>0</v>
      </c>
      <c r="E256" s="7">
        <f t="shared" si="10"/>
        <v>0</v>
      </c>
      <c r="F256" s="7">
        <f t="shared" si="11"/>
        <v>0</v>
      </c>
      <c r="G256" s="7">
        <f t="shared" si="12"/>
        <v>0</v>
      </c>
    </row>
    <row r="257" spans="1:9">
      <c r="A257" s="9" t="s">
        <v>214</v>
      </c>
      <c r="B257" s="109">
        <v>16.494</v>
      </c>
      <c r="C257" s="52">
        <v>4</v>
      </c>
      <c r="D257" s="267">
        <f t="shared" si="9"/>
        <v>7143.8451282051283</v>
      </c>
      <c r="E257" s="267">
        <f t="shared" si="10"/>
        <v>11085.803692307691</v>
      </c>
      <c r="F257" s="267">
        <f t="shared" si="11"/>
        <v>2838.292671629446</v>
      </c>
      <c r="G257" s="7">
        <f t="shared" si="12"/>
        <v>21067.941492142265</v>
      </c>
      <c r="H257" s="254"/>
    </row>
    <row r="258" spans="1:9" hidden="1">
      <c r="A258" s="9" t="s">
        <v>146</v>
      </c>
      <c r="B258" s="127"/>
      <c r="C258" s="8"/>
      <c r="D258" s="7"/>
      <c r="E258" s="7"/>
      <c r="F258" s="7"/>
      <c r="G258" s="7"/>
    </row>
    <row r="259" spans="1:9" hidden="1">
      <c r="A259" s="9" t="s">
        <v>147</v>
      </c>
      <c r="B259" s="127"/>
      <c r="C259" s="8"/>
      <c r="D259" s="7"/>
      <c r="E259" s="7"/>
      <c r="F259" s="7"/>
      <c r="G259" s="7"/>
    </row>
    <row r="260" spans="1:9" hidden="1">
      <c r="A260" s="9" t="s">
        <v>148</v>
      </c>
      <c r="B260" s="127"/>
      <c r="C260" s="8"/>
      <c r="D260" s="7"/>
      <c r="E260" s="7"/>
      <c r="F260" s="7"/>
      <c r="G260" s="7"/>
    </row>
    <row r="261" spans="1:9" hidden="1">
      <c r="A261" s="9" t="s">
        <v>149</v>
      </c>
      <c r="B261" s="127"/>
      <c r="C261" s="8"/>
      <c r="D261" s="7"/>
      <c r="E261" s="7"/>
      <c r="F261" s="7"/>
      <c r="G261" s="7"/>
    </row>
    <row r="262" spans="1:9" hidden="1">
      <c r="A262" s="9" t="s">
        <v>150</v>
      </c>
      <c r="B262" s="127"/>
      <c r="C262" s="8"/>
      <c r="D262" s="7"/>
      <c r="E262" s="7"/>
      <c r="F262" s="7"/>
      <c r="G262" s="7"/>
    </row>
    <row r="263" spans="1:9" hidden="1">
      <c r="A263" s="92" t="s">
        <v>68</v>
      </c>
      <c r="B263" s="109"/>
      <c r="C263" s="52"/>
      <c r="D263" s="7"/>
      <c r="E263" s="7"/>
      <c r="F263" s="7"/>
      <c r="G263" s="7"/>
    </row>
    <row r="264" spans="1:9" hidden="1">
      <c r="A264" s="92" t="s">
        <v>69</v>
      </c>
      <c r="B264" s="109"/>
      <c r="C264" s="52"/>
      <c r="D264" s="7"/>
      <c r="E264" s="7"/>
      <c r="F264" s="7"/>
      <c r="G264" s="7"/>
    </row>
    <row r="265" spans="1:9">
      <c r="A265" s="92" t="s">
        <v>316</v>
      </c>
      <c r="B265" s="109"/>
      <c r="C265" s="52"/>
      <c r="D265" s="223">
        <v>0</v>
      </c>
      <c r="E265" s="223">
        <v>0</v>
      </c>
      <c r="F265" s="223">
        <f>8/31*F267</f>
        <v>38565.59225806452</v>
      </c>
      <c r="G265" s="223">
        <f>SUM(D265:F265)</f>
        <v>38565.59225806452</v>
      </c>
      <c r="H265" s="261" t="s">
        <v>335</v>
      </c>
      <c r="I265" s="270" t="s">
        <v>340</v>
      </c>
    </row>
    <row r="266" spans="1:9">
      <c r="A266" s="10" t="s">
        <v>51</v>
      </c>
      <c r="B266" s="104"/>
      <c r="C266" s="49">
        <f>SUM(C216:C265)</f>
        <v>195</v>
      </c>
      <c r="D266" s="12">
        <f>348262.45</f>
        <v>348262.45</v>
      </c>
      <c r="E266" s="12">
        <f>21794.25+364248.13+86262.55+68128</f>
        <v>540432.92999999993</v>
      </c>
      <c r="F266" s="12">
        <f>SUM(F267:F269)</f>
        <v>176932.36000000002</v>
      </c>
      <c r="G266" s="12">
        <f>SUM(D266:F266)</f>
        <v>1065627.74</v>
      </c>
      <c r="H266" s="71">
        <f>SUM(H267:H269)</f>
        <v>138366.7677419355</v>
      </c>
      <c r="I266" s="71">
        <f>F216+F230+F232+F234+F238+F240+F241+F243+F245+F247+F250+F252+F254+F257+[1]三项费用分配!$F$2810+[1]三项费用分配!$F$2837+[1]三项费用分配!$F$2840+[1]三项费用分配!$F$2849</f>
        <v>161607.78536283551</v>
      </c>
    </row>
    <row r="267" spans="1:9">
      <c r="A267" s="131" t="s">
        <v>317</v>
      </c>
      <c r="B267" s="116"/>
      <c r="C267" s="132"/>
      <c r="D267" s="13"/>
      <c r="E267" s="77" t="s">
        <v>70</v>
      </c>
      <c r="F267" s="75">
        <f>149441.67</f>
        <v>149441.67000000001</v>
      </c>
      <c r="G267" s="73">
        <f>F267/F266</f>
        <v>0.84462599153710494</v>
      </c>
      <c r="H267" s="71">
        <f>F267-F265</f>
        <v>110876.0777419355</v>
      </c>
      <c r="I267" s="71">
        <f>I266*G267</f>
        <v>136498.13595220057</v>
      </c>
    </row>
    <row r="268" spans="1:9" ht="25.2">
      <c r="A268" s="102" t="s">
        <v>318</v>
      </c>
      <c r="B268" s="116"/>
      <c r="C268" s="132"/>
      <c r="D268" s="13"/>
      <c r="E268" s="77" t="s">
        <v>72</v>
      </c>
      <c r="F268" s="75">
        <f>0</f>
        <v>0</v>
      </c>
      <c r="G268" s="73">
        <f>F268/F266</f>
        <v>0</v>
      </c>
      <c r="H268" s="71">
        <f>F268</f>
        <v>0</v>
      </c>
      <c r="I268" s="71">
        <f>0</f>
        <v>0</v>
      </c>
    </row>
    <row r="269" spans="1:9">
      <c r="A269" s="16"/>
      <c r="B269" s="116"/>
      <c r="C269" s="132"/>
      <c r="D269" s="13"/>
      <c r="E269" s="77" t="s">
        <v>71</v>
      </c>
      <c r="F269" s="75">
        <f>1230.77+2967.43+1282.05+8393.17+13617.27</f>
        <v>27490.690000000002</v>
      </c>
      <c r="G269" s="73">
        <f>F269/F266</f>
        <v>0.15537400846289509</v>
      </c>
      <c r="H269" s="71">
        <f>F269</f>
        <v>27490.690000000002</v>
      </c>
      <c r="I269" s="71">
        <f>I266*G269</f>
        <v>25109.649410634938</v>
      </c>
    </row>
    <row r="270" spans="1:9">
      <c r="A270" s="16"/>
      <c r="B270" s="116"/>
      <c r="C270" s="132"/>
      <c r="D270" s="13"/>
      <c r="E270" s="77"/>
      <c r="F270" s="75"/>
      <c r="G270" s="73"/>
      <c r="H270" s="71"/>
    </row>
    <row r="271" spans="1:9">
      <c r="A271" s="16"/>
      <c r="B271" s="116"/>
      <c r="C271" s="132"/>
      <c r="D271" s="13"/>
      <c r="E271" s="77"/>
      <c r="F271" s="75"/>
      <c r="G271" s="73"/>
      <c r="H271" s="53"/>
    </row>
    <row r="272" spans="1:9">
      <c r="A272" s="16"/>
      <c r="B272" s="116"/>
      <c r="C272" s="132"/>
      <c r="D272" s="13"/>
      <c r="E272" s="77"/>
      <c r="F272" s="75"/>
      <c r="G272" s="73"/>
      <c r="H272" s="53"/>
    </row>
    <row r="273" spans="1:8">
      <c r="A273" s="16"/>
      <c r="B273" s="116"/>
      <c r="C273" s="132"/>
      <c r="D273" s="13"/>
      <c r="E273" s="77"/>
      <c r="F273" s="75"/>
      <c r="G273" s="73"/>
      <c r="H273" s="53"/>
    </row>
    <row r="274" spans="1:8">
      <c r="A274" s="16"/>
      <c r="B274" s="116"/>
      <c r="C274" s="132"/>
      <c r="D274" s="13"/>
      <c r="E274" s="77"/>
      <c r="F274" s="75"/>
      <c r="G274" s="73"/>
      <c r="H274" s="53"/>
    </row>
    <row r="275" spans="1:8">
      <c r="A275" s="16"/>
      <c r="B275" s="116"/>
      <c r="C275" s="132"/>
      <c r="D275" s="13"/>
      <c r="E275" s="77"/>
      <c r="F275" s="75"/>
      <c r="G275" s="73"/>
      <c r="H275" s="53"/>
    </row>
    <row r="276" spans="1:8">
      <c r="A276" s="16"/>
      <c r="B276" s="116"/>
      <c r="C276" s="132"/>
      <c r="D276" s="13"/>
      <c r="E276" s="77"/>
      <c r="F276" s="75"/>
      <c r="G276" s="73"/>
      <c r="H276" s="53"/>
    </row>
    <row r="277" spans="1:8">
      <c r="A277" s="16"/>
      <c r="B277" s="116"/>
      <c r="C277" s="132"/>
      <c r="D277" s="13"/>
      <c r="E277" s="77"/>
      <c r="F277" s="75"/>
      <c r="G277" s="73"/>
      <c r="H277" s="53"/>
    </row>
    <row r="278" spans="1:8">
      <c r="A278" s="16"/>
      <c r="B278" s="116"/>
      <c r="C278" s="132"/>
      <c r="D278" s="13"/>
      <c r="E278" s="77"/>
      <c r="F278" s="75"/>
      <c r="G278" s="73"/>
      <c r="H278" s="53"/>
    </row>
    <row r="279" spans="1:8">
      <c r="A279" s="16"/>
      <c r="B279" s="116"/>
      <c r="C279" s="132"/>
      <c r="D279" s="13"/>
      <c r="E279" s="77"/>
      <c r="F279" s="75"/>
      <c r="G279" s="73"/>
      <c r="H279" s="53"/>
    </row>
    <row r="280" spans="1:8">
      <c r="A280" s="16"/>
      <c r="B280" s="116"/>
      <c r="C280" s="132"/>
      <c r="D280" s="13"/>
      <c r="E280" s="77"/>
      <c r="F280" s="75"/>
      <c r="G280" s="73"/>
      <c r="H280" s="53"/>
    </row>
    <row r="281" spans="1:8">
      <c r="A281" s="16"/>
      <c r="B281" s="116"/>
      <c r="C281" s="132"/>
      <c r="D281" s="13"/>
      <c r="E281" s="77"/>
      <c r="F281" s="75"/>
      <c r="G281" s="73"/>
      <c r="H281" s="53"/>
    </row>
    <row r="282" spans="1:8">
      <c r="A282" s="16"/>
      <c r="B282" s="116"/>
      <c r="C282" s="132"/>
      <c r="D282" s="13"/>
      <c r="E282" s="77"/>
      <c r="F282" s="75"/>
      <c r="G282" s="73"/>
      <c r="H282" s="53"/>
    </row>
    <row r="283" spans="1:8">
      <c r="A283" s="16"/>
      <c r="B283" s="116"/>
      <c r="C283" s="132"/>
      <c r="D283" s="13"/>
      <c r="E283" s="77"/>
      <c r="F283" s="75"/>
      <c r="G283" s="73"/>
      <c r="H283" s="53"/>
    </row>
    <row r="284" spans="1:8">
      <c r="A284" s="16"/>
      <c r="B284" s="116"/>
      <c r="C284" s="132"/>
      <c r="D284" s="13"/>
      <c r="E284" s="77"/>
      <c r="F284" s="75"/>
      <c r="G284" s="73"/>
      <c r="H284" s="53"/>
    </row>
    <row r="285" spans="1:8">
      <c r="A285" s="16"/>
      <c r="B285" s="116"/>
      <c r="C285" s="132"/>
      <c r="D285" s="13"/>
      <c r="E285" s="77"/>
      <c r="F285" s="75"/>
      <c r="G285" s="73"/>
      <c r="H285" s="53"/>
    </row>
    <row r="286" spans="1:8">
      <c r="A286" s="16"/>
      <c r="B286" s="116"/>
      <c r="C286" s="132"/>
      <c r="D286" s="13"/>
      <c r="E286" s="77"/>
      <c r="F286" s="75"/>
      <c r="G286" s="73"/>
      <c r="H286" s="53"/>
    </row>
    <row r="287" spans="1:8">
      <c r="A287" s="16"/>
      <c r="B287" s="116"/>
      <c r="C287" s="132"/>
      <c r="D287" s="13"/>
      <c r="E287" s="77"/>
      <c r="F287" s="75"/>
      <c r="G287" s="73"/>
      <c r="H287" s="53"/>
    </row>
    <row r="288" spans="1:8">
      <c r="A288" s="16"/>
      <c r="B288" s="116"/>
      <c r="C288" s="132"/>
      <c r="D288" s="13"/>
      <c r="E288" s="77"/>
      <c r="F288" s="75"/>
      <c r="G288" s="73"/>
      <c r="H288" s="53"/>
    </row>
    <row r="289" spans="1:9">
      <c r="A289" s="16"/>
      <c r="B289" s="116"/>
      <c r="C289" s="132"/>
      <c r="D289" s="13"/>
      <c r="E289" s="13"/>
      <c r="F289" s="13"/>
      <c r="G289" s="18"/>
    </row>
    <row r="290" spans="1:9" s="199" customFormat="1">
      <c r="A290" s="224"/>
      <c r="B290" s="225"/>
      <c r="C290" s="226"/>
      <c r="D290" s="227"/>
      <c r="E290" s="227"/>
      <c r="F290" s="227"/>
      <c r="G290" s="228"/>
      <c r="H290" s="253"/>
      <c r="I290" s="200"/>
    </row>
    <row r="291" spans="1:9">
      <c r="A291" s="13"/>
      <c r="B291" s="114"/>
      <c r="C291" s="132"/>
      <c r="D291" s="13"/>
      <c r="E291" s="13"/>
      <c r="F291" s="17"/>
      <c r="G291" s="18"/>
    </row>
    <row r="292" spans="1:9">
      <c r="A292" s="453" t="s">
        <v>224</v>
      </c>
      <c r="B292" s="453"/>
      <c r="C292" s="453"/>
      <c r="D292" s="453"/>
      <c r="E292" s="453"/>
      <c r="F292" s="453"/>
      <c r="G292" s="453"/>
    </row>
    <row r="293" spans="1:9">
      <c r="A293" s="5" t="s">
        <v>52</v>
      </c>
      <c r="B293" s="105" t="s">
        <v>45</v>
      </c>
      <c r="C293" s="6" t="s">
        <v>53</v>
      </c>
      <c r="D293" s="6" t="s">
        <v>54</v>
      </c>
      <c r="E293" s="6" t="s">
        <v>6</v>
      </c>
      <c r="F293" s="6" t="s">
        <v>55</v>
      </c>
      <c r="G293" s="6" t="s">
        <v>56</v>
      </c>
      <c r="H293" s="100" t="s">
        <v>337</v>
      </c>
    </row>
    <row r="294" spans="1:9" hidden="1">
      <c r="A294" s="80" t="s">
        <v>91</v>
      </c>
      <c r="B294" s="117"/>
      <c r="C294" s="6"/>
      <c r="D294" s="6"/>
      <c r="E294" s="7"/>
      <c r="F294" s="7"/>
      <c r="G294" s="7"/>
      <c r="H294" s="100"/>
    </row>
    <row r="295" spans="1:9" hidden="1">
      <c r="A295" s="80" t="s">
        <v>92</v>
      </c>
      <c r="B295" s="117"/>
      <c r="C295" s="6"/>
      <c r="D295" s="6"/>
      <c r="E295" s="7"/>
      <c r="F295" s="7"/>
      <c r="G295" s="7"/>
      <c r="H295" s="100"/>
    </row>
    <row r="296" spans="1:9">
      <c r="A296" s="80" t="s">
        <v>93</v>
      </c>
      <c r="B296" s="117">
        <v>76.991</v>
      </c>
      <c r="C296" s="6">
        <v>144</v>
      </c>
      <c r="D296" s="6">
        <v>384</v>
      </c>
      <c r="E296" s="267">
        <f>D296/D$313*E$313</f>
        <v>107906.63052631578</v>
      </c>
      <c r="F296" s="267">
        <f>C296/C$313*F$313</f>
        <v>85158.486885245904</v>
      </c>
      <c r="G296" s="267">
        <f>D296/D$313*I$313</f>
        <v>104153.99062818335</v>
      </c>
      <c r="H296" s="281">
        <f>SUM(E296:G296)</f>
        <v>297219.10803974501</v>
      </c>
    </row>
    <row r="297" spans="1:9" hidden="1">
      <c r="A297" s="80" t="s">
        <v>215</v>
      </c>
      <c r="B297" s="117"/>
      <c r="C297" s="6"/>
      <c r="D297" s="6"/>
      <c r="E297" s="7">
        <f t="shared" ref="E297:E304" si="13">D297/D$313*E$313</f>
        <v>0</v>
      </c>
      <c r="F297" s="7">
        <f t="shared" ref="F297:F304" si="14">C297/C$313*F$313</f>
        <v>0</v>
      </c>
      <c r="G297" s="7">
        <f t="shared" ref="G297:G304" si="15">D297/D$313*I$313</f>
        <v>0</v>
      </c>
      <c r="H297" s="281">
        <f t="shared" ref="H297:H304" si="16">SUM(E297:G297)</f>
        <v>0</v>
      </c>
    </row>
    <row r="298" spans="1:9" hidden="1">
      <c r="A298" s="80" t="s">
        <v>94</v>
      </c>
      <c r="B298" s="117"/>
      <c r="C298" s="6"/>
      <c r="D298" s="6"/>
      <c r="E298" s="7">
        <f t="shared" si="13"/>
        <v>0</v>
      </c>
      <c r="F298" s="7">
        <f t="shared" si="14"/>
        <v>0</v>
      </c>
      <c r="G298" s="7">
        <f t="shared" si="15"/>
        <v>0</v>
      </c>
      <c r="H298" s="281">
        <f t="shared" si="16"/>
        <v>0</v>
      </c>
    </row>
    <row r="299" spans="1:9">
      <c r="A299" s="80" t="s">
        <v>95</v>
      </c>
      <c r="B299" s="117">
        <v>88.015000000000001</v>
      </c>
      <c r="C299" s="6">
        <v>272</v>
      </c>
      <c r="D299" s="6">
        <v>640</v>
      </c>
      <c r="E299" s="267">
        <f t="shared" si="13"/>
        <v>179844.3842105263</v>
      </c>
      <c r="F299" s="267">
        <f t="shared" si="14"/>
        <v>160854.91967213116</v>
      </c>
      <c r="G299" s="267">
        <f t="shared" si="15"/>
        <v>173589.9843803056</v>
      </c>
      <c r="H299" s="281">
        <f t="shared" si="16"/>
        <v>514289.28826296306</v>
      </c>
    </row>
    <row r="300" spans="1:9" hidden="1">
      <c r="A300" s="80" t="s">
        <v>95</v>
      </c>
      <c r="B300" s="117"/>
      <c r="C300" s="6"/>
      <c r="D300" s="6"/>
      <c r="E300" s="7">
        <f t="shared" si="13"/>
        <v>0</v>
      </c>
      <c r="F300" s="7">
        <f t="shared" si="14"/>
        <v>0</v>
      </c>
      <c r="G300" s="7">
        <f t="shared" si="15"/>
        <v>0</v>
      </c>
      <c r="H300" s="281">
        <f t="shared" si="16"/>
        <v>0</v>
      </c>
    </row>
    <row r="301" spans="1:9" hidden="1">
      <c r="A301" s="80" t="s">
        <v>96</v>
      </c>
      <c r="B301" s="117"/>
      <c r="C301" s="6"/>
      <c r="D301" s="6"/>
      <c r="E301" s="7">
        <f t="shared" si="13"/>
        <v>0</v>
      </c>
      <c r="F301" s="7">
        <f t="shared" si="14"/>
        <v>0</v>
      </c>
      <c r="G301" s="7">
        <f t="shared" si="15"/>
        <v>0</v>
      </c>
      <c r="H301" s="281">
        <f t="shared" si="16"/>
        <v>0</v>
      </c>
    </row>
    <row r="302" spans="1:9" hidden="1">
      <c r="A302" s="80" t="s">
        <v>96</v>
      </c>
      <c r="B302" s="117"/>
      <c r="C302" s="6"/>
      <c r="D302" s="6"/>
      <c r="E302" s="7">
        <f t="shared" si="13"/>
        <v>0</v>
      </c>
      <c r="F302" s="7">
        <f t="shared" si="14"/>
        <v>0</v>
      </c>
      <c r="G302" s="7">
        <f t="shared" si="15"/>
        <v>0</v>
      </c>
      <c r="H302" s="281">
        <f t="shared" si="16"/>
        <v>0</v>
      </c>
    </row>
    <row r="303" spans="1:9">
      <c r="A303" s="80" t="s">
        <v>135</v>
      </c>
      <c r="B303" s="117">
        <v>23.471</v>
      </c>
      <c r="C303" s="6">
        <v>48</v>
      </c>
      <c r="D303" s="6">
        <v>128</v>
      </c>
      <c r="E303" s="267">
        <f t="shared" si="13"/>
        <v>35968.876842105266</v>
      </c>
      <c r="F303" s="267">
        <f t="shared" si="14"/>
        <v>28386.162295081969</v>
      </c>
      <c r="G303" s="267">
        <f t="shared" si="15"/>
        <v>34717.996876061123</v>
      </c>
      <c r="H303" s="281">
        <f t="shared" si="16"/>
        <v>99073.036013248362</v>
      </c>
    </row>
    <row r="304" spans="1:9">
      <c r="A304" s="274" t="s">
        <v>135</v>
      </c>
      <c r="B304" s="268"/>
      <c r="C304" s="88">
        <v>24</v>
      </c>
      <c r="D304" s="88">
        <v>64</v>
      </c>
      <c r="E304" s="269">
        <f t="shared" si="13"/>
        <v>17984.438421052633</v>
      </c>
      <c r="F304" s="269">
        <f t="shared" si="14"/>
        <v>14193.081147540985</v>
      </c>
      <c r="G304" s="269">
        <f t="shared" si="15"/>
        <v>17358.998438030561</v>
      </c>
      <c r="H304" s="283">
        <f t="shared" si="16"/>
        <v>49536.518006624181</v>
      </c>
    </row>
    <row r="305" spans="1:10" hidden="1">
      <c r="A305" s="80" t="s">
        <v>97</v>
      </c>
      <c r="B305" s="117"/>
      <c r="C305" s="6"/>
      <c r="D305" s="6"/>
      <c r="E305" s="7"/>
      <c r="F305" s="7"/>
      <c r="G305" s="7"/>
      <c r="H305" s="255"/>
    </row>
    <row r="306" spans="1:10" hidden="1">
      <c r="A306" s="80" t="s">
        <v>136</v>
      </c>
      <c r="B306" s="117"/>
      <c r="C306" s="6"/>
      <c r="D306" s="6"/>
      <c r="E306" s="7"/>
      <c r="F306" s="7"/>
      <c r="G306" s="7"/>
      <c r="H306" s="255"/>
    </row>
    <row r="307" spans="1:10" hidden="1">
      <c r="A307" s="80" t="s">
        <v>170</v>
      </c>
      <c r="B307" s="117"/>
      <c r="C307" s="6"/>
      <c r="D307" s="6"/>
      <c r="E307" s="7"/>
      <c r="F307" s="7"/>
      <c r="G307" s="7"/>
      <c r="H307" s="255"/>
    </row>
    <row r="308" spans="1:10" hidden="1">
      <c r="A308" s="80" t="s">
        <v>216</v>
      </c>
      <c r="B308" s="117"/>
      <c r="C308" s="6"/>
      <c r="D308" s="6"/>
      <c r="E308" s="7"/>
      <c r="F308" s="7"/>
      <c r="G308" s="7"/>
      <c r="H308" s="255"/>
    </row>
    <row r="309" spans="1:10" hidden="1">
      <c r="A309" s="80" t="s">
        <v>98</v>
      </c>
      <c r="B309" s="117"/>
      <c r="C309" s="6"/>
      <c r="D309" s="6"/>
      <c r="E309" s="7"/>
      <c r="F309" s="7"/>
      <c r="G309" s="7"/>
      <c r="H309" s="100"/>
    </row>
    <row r="310" spans="1:10" hidden="1">
      <c r="A310" s="80" t="s">
        <v>99</v>
      </c>
      <c r="B310" s="117"/>
      <c r="C310" s="6"/>
      <c r="D310" s="6"/>
      <c r="E310" s="7"/>
      <c r="F310" s="7"/>
      <c r="G310" s="7"/>
      <c r="H310" s="100"/>
    </row>
    <row r="311" spans="1:10" hidden="1">
      <c r="A311" s="80" t="s">
        <v>179</v>
      </c>
      <c r="B311" s="117"/>
      <c r="C311" s="6"/>
      <c r="D311" s="6"/>
      <c r="E311" s="7"/>
      <c r="F311" s="7"/>
      <c r="G311" s="7"/>
      <c r="H311" s="100"/>
    </row>
    <row r="312" spans="1:10">
      <c r="A312" s="229" t="s">
        <v>316</v>
      </c>
      <c r="B312" s="117"/>
      <c r="C312" s="6"/>
      <c r="D312" s="6"/>
      <c r="E312" s="223">
        <v>0</v>
      </c>
      <c r="F312" s="277">
        <v>0</v>
      </c>
      <c r="G312" s="278">
        <f>8/31*G314</f>
        <v>57013.10967741935</v>
      </c>
      <c r="H312" s="279">
        <f>SUM(E312:G312)</f>
        <v>57013.10967741935</v>
      </c>
      <c r="I312" s="261" t="s">
        <v>335</v>
      </c>
      <c r="J312" s="270" t="s">
        <v>342</v>
      </c>
    </row>
    <row r="313" spans="1:10">
      <c r="A313" s="44" t="s">
        <v>44</v>
      </c>
      <c r="B313" s="113"/>
      <c r="C313" s="15">
        <f>SUM(C294:C312)</f>
        <v>488</v>
      </c>
      <c r="D313" s="15">
        <f>SUM(D294:D312)</f>
        <v>1216</v>
      </c>
      <c r="E313" s="12">
        <f>341704.33</f>
        <v>341704.33</v>
      </c>
      <c r="F313" s="12">
        <f>122599.25+7027.5+31798.65+127167.25</f>
        <v>288592.65000000002</v>
      </c>
      <c r="G313" s="275">
        <f>SUM(G314:G316)</f>
        <v>386834.08</v>
      </c>
      <c r="H313" s="282">
        <f>SUM(E313:G313)</f>
        <v>1017131.06</v>
      </c>
      <c r="I313" s="280">
        <f>G313-G312</f>
        <v>329820.97032258066</v>
      </c>
      <c r="J313" s="280">
        <f>G296+G299+G303</f>
        <v>312461.97188455012</v>
      </c>
    </row>
    <row r="314" spans="1:10">
      <c r="A314" s="131" t="s">
        <v>317</v>
      </c>
      <c r="B314" s="129"/>
      <c r="C314" s="81"/>
      <c r="D314" s="81"/>
      <c r="E314" s="81"/>
      <c r="F314" s="77" t="s">
        <v>70</v>
      </c>
      <c r="G314" s="82">
        <f>220925.8</f>
        <v>220925.8</v>
      </c>
      <c r="H314" s="276">
        <f>G314/G313</f>
        <v>0.57111255554319307</v>
      </c>
      <c r="I314" s="280">
        <f>I313*H314</f>
        <v>188364.89723266469</v>
      </c>
      <c r="J314" s="280">
        <f>H314*J313</f>
        <v>178450.95527305076</v>
      </c>
    </row>
    <row r="315" spans="1:10" ht="25.2">
      <c r="A315" s="102" t="s">
        <v>318</v>
      </c>
      <c r="B315" s="124"/>
      <c r="C315" s="57"/>
      <c r="D315" s="42"/>
      <c r="E315" s="42"/>
      <c r="F315" s="77" t="s">
        <v>72</v>
      </c>
      <c r="G315" s="18">
        <f>123676.07</f>
        <v>123676.07</v>
      </c>
      <c r="H315" s="276">
        <f>G315/G313</f>
        <v>0.31971348026006396</v>
      </c>
      <c r="I315" s="280">
        <f>I313*H315</f>
        <v>105448.21028458353</v>
      </c>
      <c r="J315" s="280">
        <f>H315*J313</f>
        <v>99898.304480131774</v>
      </c>
    </row>
    <row r="316" spans="1:10">
      <c r="A316" s="273" t="s">
        <v>341</v>
      </c>
      <c r="B316" s="118"/>
      <c r="C316" s="17"/>
      <c r="D316" s="18"/>
      <c r="E316" s="42"/>
      <c r="F316" s="77" t="s">
        <v>71</v>
      </c>
      <c r="G316" s="18">
        <f>6495.72+35736.49</f>
        <v>42232.21</v>
      </c>
      <c r="H316" s="276">
        <f>G316/G313</f>
        <v>0.10917396419674295</v>
      </c>
      <c r="I316" s="280">
        <f>I313*H316</f>
        <v>36007.862805332443</v>
      </c>
      <c r="J316" s="280">
        <f>H316*J313</f>
        <v>34112.712131367582</v>
      </c>
    </row>
    <row r="317" spans="1:10">
      <c r="A317" s="18"/>
      <c r="B317" s="118"/>
      <c r="C317" s="17"/>
      <c r="D317" s="18"/>
      <c r="E317" s="42"/>
      <c r="F317" s="77"/>
      <c r="G317" s="18"/>
      <c r="H317" s="256"/>
    </row>
    <row r="318" spans="1:10">
      <c r="A318" s="18"/>
      <c r="B318" s="118"/>
      <c r="C318" s="17"/>
      <c r="D318" s="18"/>
      <c r="E318" s="42"/>
      <c r="F318" s="77"/>
      <c r="G318" s="18"/>
      <c r="H318" s="256"/>
    </row>
    <row r="319" spans="1:10">
      <c r="A319" s="18"/>
      <c r="B319" s="118"/>
      <c r="C319" s="17"/>
      <c r="D319" s="18"/>
      <c r="E319" s="42"/>
      <c r="F319" s="77"/>
      <c r="G319" s="18"/>
      <c r="H319" s="256"/>
    </row>
    <row r="320" spans="1:10">
      <c r="A320" s="18"/>
      <c r="B320" s="118"/>
      <c r="C320" s="17"/>
      <c r="D320" s="18"/>
      <c r="E320" s="42"/>
      <c r="F320" s="77"/>
      <c r="G320" s="18"/>
      <c r="H320" s="256"/>
    </row>
    <row r="321" spans="1:9">
      <c r="A321" s="18"/>
      <c r="B321" s="118"/>
      <c r="C321" s="17"/>
      <c r="D321" s="18"/>
      <c r="E321" s="42"/>
      <c r="F321" s="77"/>
      <c r="G321" s="18"/>
      <c r="H321" s="256"/>
    </row>
    <row r="322" spans="1:9">
      <c r="A322" s="18"/>
      <c r="B322" s="118"/>
      <c r="C322" s="17"/>
      <c r="D322" s="18"/>
      <c r="E322" s="42"/>
      <c r="F322" s="77"/>
      <c r="G322" s="18"/>
      <c r="H322" s="256"/>
    </row>
    <row r="323" spans="1:9">
      <c r="A323" s="18"/>
      <c r="B323" s="118"/>
      <c r="C323" s="17"/>
      <c r="D323" s="18"/>
      <c r="E323" s="42"/>
      <c r="F323" s="77"/>
      <c r="G323" s="18"/>
      <c r="H323" s="256"/>
    </row>
    <row r="324" spans="1:9">
      <c r="A324" s="18"/>
      <c r="B324" s="118"/>
      <c r="C324" s="17"/>
      <c r="D324" s="18"/>
      <c r="E324" s="42"/>
      <c r="F324" s="77"/>
      <c r="G324" s="18"/>
      <c r="H324" s="256"/>
    </row>
    <row r="325" spans="1:9">
      <c r="A325" s="18"/>
      <c r="B325" s="118"/>
      <c r="C325" s="17"/>
      <c r="D325" s="18"/>
      <c r="E325" s="42"/>
      <c r="F325" s="77"/>
      <c r="G325" s="18"/>
      <c r="H325" s="256"/>
    </row>
    <row r="326" spans="1:9">
      <c r="A326" s="18"/>
      <c r="B326" s="118"/>
      <c r="C326" s="17"/>
      <c r="D326" s="18"/>
      <c r="E326" s="42"/>
      <c r="F326" s="77"/>
      <c r="G326" s="18"/>
      <c r="H326" s="256"/>
    </row>
    <row r="327" spans="1:9">
      <c r="A327" s="18"/>
      <c r="B327" s="118"/>
      <c r="C327" s="17"/>
      <c r="D327" s="18"/>
      <c r="E327" s="42"/>
      <c r="F327" s="77"/>
      <c r="G327" s="18"/>
      <c r="H327" s="256"/>
    </row>
    <row r="328" spans="1:9">
      <c r="A328" s="18"/>
      <c r="B328" s="118"/>
      <c r="C328" s="17"/>
      <c r="D328" s="18"/>
      <c r="E328" s="42"/>
      <c r="F328" s="77"/>
      <c r="G328" s="18"/>
      <c r="H328" s="256"/>
    </row>
    <row r="329" spans="1:9">
      <c r="A329" s="18"/>
      <c r="B329" s="118"/>
      <c r="C329" s="17"/>
      <c r="D329" s="18"/>
      <c r="E329" s="42"/>
      <c r="F329" s="77"/>
      <c r="G329" s="18"/>
      <c r="H329" s="256"/>
    </row>
    <row r="330" spans="1:9">
      <c r="A330" s="18"/>
      <c r="B330" s="118"/>
      <c r="C330" s="17"/>
      <c r="D330" s="18"/>
      <c r="E330" s="42"/>
      <c r="F330" s="77"/>
      <c r="G330" s="18"/>
      <c r="H330" s="256"/>
    </row>
    <row r="331" spans="1:9">
      <c r="A331" s="18"/>
      <c r="B331" s="118"/>
      <c r="C331" s="17"/>
      <c r="D331" s="18"/>
      <c r="E331" s="42"/>
      <c r="F331" s="77"/>
      <c r="G331" s="18"/>
      <c r="H331" s="256"/>
    </row>
    <row r="332" spans="1:9">
      <c r="A332" s="18"/>
      <c r="B332" s="118"/>
      <c r="C332" s="17"/>
      <c r="D332" s="18"/>
      <c r="E332" s="42"/>
      <c r="F332" s="77"/>
      <c r="G332" s="18"/>
      <c r="H332" s="256"/>
    </row>
    <row r="333" spans="1:9">
      <c r="A333" s="18"/>
      <c r="B333" s="118"/>
      <c r="C333" s="17"/>
      <c r="D333" s="18"/>
      <c r="E333" s="42"/>
      <c r="F333" s="77"/>
      <c r="G333" s="18"/>
      <c r="H333" s="256"/>
    </row>
    <row r="334" spans="1:9">
      <c r="A334" s="18"/>
      <c r="B334" s="118"/>
      <c r="C334" s="17"/>
      <c r="D334" s="18"/>
      <c r="E334" s="42"/>
      <c r="F334" s="77"/>
      <c r="G334" s="18"/>
      <c r="H334" s="256"/>
    </row>
    <row r="335" spans="1:9" s="199" customFormat="1">
      <c r="A335" s="228"/>
      <c r="B335" s="230"/>
      <c r="C335" s="231"/>
      <c r="D335" s="228"/>
      <c r="E335" s="232"/>
      <c r="F335" s="204"/>
      <c r="G335" s="228"/>
      <c r="H335" s="257"/>
      <c r="I335" s="200"/>
    </row>
    <row r="336" spans="1:9">
      <c r="A336" s="18"/>
      <c r="B336" s="118"/>
      <c r="C336" s="17"/>
      <c r="D336" s="18"/>
      <c r="E336" s="42"/>
      <c r="F336" s="77"/>
      <c r="G336" s="18"/>
      <c r="H336" s="256"/>
    </row>
    <row r="337" spans="1:7">
      <c r="A337" s="453" t="s">
        <v>225</v>
      </c>
      <c r="B337" s="453"/>
      <c r="C337" s="453"/>
      <c r="D337" s="453"/>
      <c r="E337" s="453"/>
      <c r="F337" s="453"/>
      <c r="G337" s="453"/>
    </row>
    <row r="338" spans="1:7">
      <c r="A338" s="5" t="s">
        <v>4</v>
      </c>
      <c r="B338" s="105" t="s">
        <v>45</v>
      </c>
      <c r="C338" s="6" t="s">
        <v>11</v>
      </c>
      <c r="D338" s="6" t="s">
        <v>6</v>
      </c>
      <c r="E338" s="6" t="s">
        <v>7</v>
      </c>
      <c r="F338" s="6" t="s">
        <v>8</v>
      </c>
      <c r="G338" s="6" t="s">
        <v>9</v>
      </c>
    </row>
    <row r="339" spans="1:7" hidden="1">
      <c r="A339" s="83" t="s">
        <v>100</v>
      </c>
      <c r="B339" s="119"/>
      <c r="C339" s="6"/>
      <c r="D339" s="6"/>
      <c r="E339" s="6"/>
      <c r="F339" s="6"/>
      <c r="G339" s="6"/>
    </row>
    <row r="340" spans="1:7" hidden="1">
      <c r="A340" s="83" t="s">
        <v>100</v>
      </c>
      <c r="B340" s="119"/>
      <c r="C340" s="6"/>
      <c r="D340" s="6"/>
      <c r="E340" s="6"/>
      <c r="F340" s="6"/>
      <c r="G340" s="6"/>
    </row>
    <row r="341" spans="1:7">
      <c r="A341" s="94" t="s">
        <v>168</v>
      </c>
      <c r="B341" s="119">
        <v>1.8720000000000001</v>
      </c>
      <c r="C341" s="6">
        <v>6</v>
      </c>
      <c r="D341" s="267">
        <f>C341/C$360*D$360</f>
        <v>3199.4409375000005</v>
      </c>
      <c r="E341" s="267">
        <f>C341/C$360*E$360</f>
        <v>7751.6484375</v>
      </c>
      <c r="F341" s="267">
        <f>C341/C$360*H$360</f>
        <v>1801.102303427419</v>
      </c>
      <c r="G341" s="7">
        <f>SUM(D341:F341)</f>
        <v>12752.191678427418</v>
      </c>
    </row>
    <row r="342" spans="1:7">
      <c r="A342" s="83" t="s">
        <v>101</v>
      </c>
      <c r="B342" s="119">
        <v>3.0750000000000002</v>
      </c>
      <c r="C342" s="6">
        <v>10</v>
      </c>
      <c r="D342" s="267">
        <f t="shared" ref="D342:D356" si="17">C342/C$360*D$360</f>
        <v>5332.4015625000002</v>
      </c>
      <c r="E342" s="267">
        <f t="shared" ref="E342:E358" si="18">C342/C$360*E$360</f>
        <v>12919.4140625</v>
      </c>
      <c r="F342" s="267">
        <f t="shared" ref="F342:F356" si="19">C342/C$360*H$360</f>
        <v>3001.8371723790319</v>
      </c>
      <c r="G342" s="7">
        <f t="shared" ref="G342:G358" si="20">SUM(D342:F342)</f>
        <v>21253.652797379033</v>
      </c>
    </row>
    <row r="343" spans="1:7" hidden="1">
      <c r="A343" s="83" t="s">
        <v>101</v>
      </c>
      <c r="B343" s="119"/>
      <c r="C343" s="6"/>
      <c r="D343" s="7">
        <f t="shared" si="17"/>
        <v>0</v>
      </c>
      <c r="E343" s="7">
        <f t="shared" si="18"/>
        <v>0</v>
      </c>
      <c r="F343" s="7">
        <f t="shared" si="19"/>
        <v>0</v>
      </c>
      <c r="G343" s="7">
        <f t="shared" si="20"/>
        <v>0</v>
      </c>
    </row>
    <row r="344" spans="1:7" hidden="1">
      <c r="A344" s="83" t="s">
        <v>110</v>
      </c>
      <c r="B344" s="119"/>
      <c r="C344" s="6"/>
      <c r="D344" s="7">
        <f t="shared" si="17"/>
        <v>0</v>
      </c>
      <c r="E344" s="7">
        <f t="shared" si="18"/>
        <v>0</v>
      </c>
      <c r="F344" s="7">
        <f t="shared" si="19"/>
        <v>0</v>
      </c>
      <c r="G344" s="7">
        <f t="shared" si="20"/>
        <v>0</v>
      </c>
    </row>
    <row r="345" spans="1:7">
      <c r="A345" s="83" t="s">
        <v>102</v>
      </c>
      <c r="B345" s="119">
        <v>10.757999999999999</v>
      </c>
      <c r="C345" s="6">
        <v>24</v>
      </c>
      <c r="D345" s="267">
        <f t="shared" si="17"/>
        <v>12797.763750000002</v>
      </c>
      <c r="E345" s="267">
        <f t="shared" si="18"/>
        <v>31006.59375</v>
      </c>
      <c r="F345" s="267">
        <f t="shared" si="19"/>
        <v>7204.4092137096759</v>
      </c>
      <c r="G345" s="7">
        <f t="shared" si="20"/>
        <v>51008.766713709672</v>
      </c>
    </row>
    <row r="346" spans="1:7" hidden="1">
      <c r="A346" s="83" t="s">
        <v>102</v>
      </c>
      <c r="B346" s="119"/>
      <c r="C346" s="6"/>
      <c r="D346" s="7">
        <f t="shared" si="17"/>
        <v>0</v>
      </c>
      <c r="E346" s="7">
        <f t="shared" si="18"/>
        <v>0</v>
      </c>
      <c r="F346" s="7">
        <f t="shared" si="19"/>
        <v>0</v>
      </c>
      <c r="G346" s="7">
        <f t="shared" si="20"/>
        <v>0</v>
      </c>
    </row>
    <row r="347" spans="1:7" hidden="1">
      <c r="A347" s="85" t="s">
        <v>103</v>
      </c>
      <c r="B347" s="119"/>
      <c r="C347" s="6"/>
      <c r="D347" s="7">
        <f t="shared" si="17"/>
        <v>0</v>
      </c>
      <c r="E347" s="7">
        <f t="shared" si="18"/>
        <v>0</v>
      </c>
      <c r="F347" s="7">
        <f t="shared" si="19"/>
        <v>0</v>
      </c>
      <c r="G347" s="7">
        <f t="shared" si="20"/>
        <v>0</v>
      </c>
    </row>
    <row r="348" spans="1:7" hidden="1">
      <c r="A348" s="85" t="s">
        <v>103</v>
      </c>
      <c r="B348" s="119"/>
      <c r="C348" s="6"/>
      <c r="D348" s="7">
        <f t="shared" si="17"/>
        <v>0</v>
      </c>
      <c r="E348" s="7">
        <f t="shared" si="18"/>
        <v>0</v>
      </c>
      <c r="F348" s="7">
        <f t="shared" si="19"/>
        <v>0</v>
      </c>
      <c r="G348" s="7">
        <f t="shared" si="20"/>
        <v>0</v>
      </c>
    </row>
    <row r="349" spans="1:7">
      <c r="A349" s="89" t="s">
        <v>104</v>
      </c>
      <c r="B349" s="119">
        <v>0.72499999999999998</v>
      </c>
      <c r="C349" s="6">
        <v>14</v>
      </c>
      <c r="D349" s="267">
        <f t="shared" si="17"/>
        <v>7465.3621875000008</v>
      </c>
      <c r="E349" s="267">
        <f t="shared" si="18"/>
        <v>18087.1796875</v>
      </c>
      <c r="F349" s="267">
        <f t="shared" si="19"/>
        <v>4202.5720413306444</v>
      </c>
      <c r="G349" s="7">
        <f t="shared" si="20"/>
        <v>29755.113916330647</v>
      </c>
    </row>
    <row r="350" spans="1:7" hidden="1">
      <c r="A350" s="89" t="s">
        <v>112</v>
      </c>
      <c r="B350" s="119"/>
      <c r="C350" s="6"/>
      <c r="D350" s="7">
        <f t="shared" si="17"/>
        <v>0</v>
      </c>
      <c r="E350" s="7">
        <f t="shared" si="18"/>
        <v>0</v>
      </c>
      <c r="F350" s="7">
        <f t="shared" si="19"/>
        <v>0</v>
      </c>
      <c r="G350" s="7">
        <f t="shared" si="20"/>
        <v>0</v>
      </c>
    </row>
    <row r="351" spans="1:7" hidden="1">
      <c r="A351" s="83" t="s">
        <v>109</v>
      </c>
      <c r="B351" s="119"/>
      <c r="C351" s="8"/>
      <c r="D351" s="7">
        <f t="shared" si="17"/>
        <v>0</v>
      </c>
      <c r="E351" s="7">
        <f t="shared" si="18"/>
        <v>0</v>
      </c>
      <c r="F351" s="7">
        <f t="shared" si="19"/>
        <v>0</v>
      </c>
      <c r="G351" s="7">
        <f t="shared" si="20"/>
        <v>0</v>
      </c>
    </row>
    <row r="352" spans="1:7" hidden="1">
      <c r="A352" s="83" t="s">
        <v>105</v>
      </c>
      <c r="B352" s="119"/>
      <c r="C352" s="8"/>
      <c r="D352" s="7">
        <f t="shared" si="17"/>
        <v>0</v>
      </c>
      <c r="E352" s="7">
        <f t="shared" si="18"/>
        <v>0</v>
      </c>
      <c r="F352" s="7">
        <f t="shared" si="19"/>
        <v>0</v>
      </c>
      <c r="G352" s="7">
        <f t="shared" si="20"/>
        <v>0</v>
      </c>
    </row>
    <row r="353" spans="1:9" hidden="1">
      <c r="A353" s="83" t="s">
        <v>106</v>
      </c>
      <c r="B353" s="119"/>
      <c r="C353" s="6"/>
      <c r="D353" s="7">
        <f t="shared" si="17"/>
        <v>0</v>
      </c>
      <c r="E353" s="7">
        <f t="shared" si="18"/>
        <v>0</v>
      </c>
      <c r="F353" s="7">
        <f t="shared" si="19"/>
        <v>0</v>
      </c>
      <c r="G353" s="7">
        <f t="shared" si="20"/>
        <v>0</v>
      </c>
    </row>
    <row r="354" spans="1:9" hidden="1">
      <c r="A354" s="83" t="s">
        <v>169</v>
      </c>
      <c r="B354" s="119"/>
      <c r="C354" s="6"/>
      <c r="D354" s="7">
        <f t="shared" si="17"/>
        <v>0</v>
      </c>
      <c r="E354" s="7">
        <f t="shared" si="18"/>
        <v>0</v>
      </c>
      <c r="F354" s="7">
        <f t="shared" si="19"/>
        <v>0</v>
      </c>
      <c r="G354" s="7">
        <f t="shared" si="20"/>
        <v>0</v>
      </c>
    </row>
    <row r="355" spans="1:9">
      <c r="A355" s="83" t="s">
        <v>107</v>
      </c>
      <c r="B355" s="119">
        <v>10.237</v>
      </c>
      <c r="C355" s="6">
        <v>4</v>
      </c>
      <c r="D355" s="267">
        <f t="shared" si="17"/>
        <v>2132.9606250000002</v>
      </c>
      <c r="E355" s="267">
        <f t="shared" si="18"/>
        <v>5167.765625</v>
      </c>
      <c r="F355" s="267">
        <f t="shared" si="19"/>
        <v>1200.7348689516127</v>
      </c>
      <c r="G355" s="7">
        <f t="shared" si="20"/>
        <v>8501.4611189516127</v>
      </c>
    </row>
    <row r="356" spans="1:9">
      <c r="A356" s="83" t="s">
        <v>108</v>
      </c>
      <c r="B356" s="119">
        <v>21.518999999999998</v>
      </c>
      <c r="C356" s="6">
        <v>70</v>
      </c>
      <c r="D356" s="267">
        <f t="shared" si="17"/>
        <v>37326.810937500006</v>
      </c>
      <c r="E356" s="267">
        <f t="shared" si="18"/>
        <v>90435.8984375</v>
      </c>
      <c r="F356" s="267">
        <f t="shared" si="19"/>
        <v>21012.860206653222</v>
      </c>
      <c r="G356" s="7">
        <f t="shared" si="20"/>
        <v>148775.56958165322</v>
      </c>
    </row>
    <row r="357" spans="1:9" hidden="1">
      <c r="A357" s="83" t="s">
        <v>137</v>
      </c>
      <c r="B357" s="119"/>
      <c r="C357" s="6"/>
      <c r="D357" s="6"/>
      <c r="E357" s="6">
        <f t="shared" si="18"/>
        <v>0</v>
      </c>
      <c r="F357" s="6"/>
      <c r="G357" s="6">
        <f t="shared" si="20"/>
        <v>0</v>
      </c>
    </row>
    <row r="358" spans="1:9" hidden="1">
      <c r="A358" s="94" t="s">
        <v>207</v>
      </c>
      <c r="B358" s="119"/>
      <c r="C358" s="6"/>
      <c r="D358" s="6"/>
      <c r="E358" s="6">
        <f t="shared" si="18"/>
        <v>0</v>
      </c>
      <c r="F358" s="6"/>
      <c r="G358" s="6">
        <f t="shared" si="20"/>
        <v>0</v>
      </c>
      <c r="H358" s="254"/>
    </row>
    <row r="359" spans="1:9">
      <c r="A359" s="94" t="s">
        <v>316</v>
      </c>
      <c r="B359" s="119"/>
      <c r="C359" s="6"/>
      <c r="D359" s="223">
        <v>0</v>
      </c>
      <c r="E359" s="223">
        <v>0</v>
      </c>
      <c r="F359" s="223">
        <f>16/31*F361</f>
        <v>40282.854193548388</v>
      </c>
      <c r="G359" s="223">
        <f>SUM(D359:F359)</f>
        <v>40282.854193548388</v>
      </c>
      <c r="H359" s="261" t="s">
        <v>335</v>
      </c>
      <c r="I359" s="270" t="s">
        <v>340</v>
      </c>
    </row>
    <row r="360" spans="1:9">
      <c r="A360" s="87" t="s">
        <v>111</v>
      </c>
      <c r="B360" s="119"/>
      <c r="C360" s="6">
        <f>SUM(C339:C359)</f>
        <v>128</v>
      </c>
      <c r="D360" s="44">
        <f>68254.74</f>
        <v>68254.740000000005</v>
      </c>
      <c r="E360" s="44">
        <f>15172.5+86084.25+22493.5+41618.25</f>
        <v>165368.5</v>
      </c>
      <c r="F360" s="12">
        <f>SUM(F361:F363)</f>
        <v>78706.37</v>
      </c>
      <c r="G360" s="12">
        <f>SUM(D360:F360)</f>
        <v>312329.61</v>
      </c>
      <c r="H360" s="284">
        <f>F360-F359</f>
        <v>38423.515806451607</v>
      </c>
      <c r="I360" s="71">
        <v>54542.552999434047</v>
      </c>
    </row>
    <row r="361" spans="1:9">
      <c r="A361" s="131" t="s">
        <v>338</v>
      </c>
      <c r="B361" s="126"/>
      <c r="C361" s="4"/>
      <c r="D361" s="3"/>
      <c r="E361" s="77" t="s">
        <v>70</v>
      </c>
      <c r="F361" s="72">
        <f>78048.03</f>
        <v>78048.03</v>
      </c>
      <c r="G361" s="70">
        <f>F361/F360</f>
        <v>0.99163549278158813</v>
      </c>
      <c r="H361" s="71">
        <f>G361*H360</f>
        <v>38102.122031131781</v>
      </c>
      <c r="I361" s="71">
        <f>G361*I360</f>
        <v>54086.331421159666</v>
      </c>
    </row>
    <row r="362" spans="1:9" ht="25.2">
      <c r="A362" s="102" t="s">
        <v>339</v>
      </c>
      <c r="B362" s="126"/>
      <c r="C362" s="4"/>
      <c r="D362" s="3"/>
      <c r="E362" s="77" t="s">
        <v>72</v>
      </c>
      <c r="F362" s="72">
        <f>0</f>
        <v>0</v>
      </c>
      <c r="G362" s="70">
        <f>F362/F360</f>
        <v>0</v>
      </c>
      <c r="H362" s="71">
        <f>F362*H360</f>
        <v>0</v>
      </c>
      <c r="I362" s="71">
        <f>G362*I360</f>
        <v>0</v>
      </c>
    </row>
    <row r="363" spans="1:9">
      <c r="A363" s="3"/>
      <c r="B363" s="126"/>
      <c r="C363" s="4"/>
      <c r="D363" s="3"/>
      <c r="E363" s="77" t="s">
        <v>71</v>
      </c>
      <c r="F363" s="72">
        <f>658.34</f>
        <v>658.34</v>
      </c>
      <c r="G363" s="70">
        <f>F363/F360</f>
        <v>8.3645072184119294E-3</v>
      </c>
      <c r="H363" s="71">
        <f>G363*H360+0.01</f>
        <v>321.40377531982932</v>
      </c>
      <c r="I363" s="71">
        <f>G363*I360</f>
        <v>456.22157827438133</v>
      </c>
    </row>
    <row r="364" spans="1:9">
      <c r="A364" s="3"/>
      <c r="B364" s="126"/>
      <c r="C364" s="4"/>
      <c r="D364" s="3"/>
      <c r="E364" s="77"/>
      <c r="F364" s="72"/>
      <c r="G364" s="70"/>
      <c r="H364" s="53"/>
    </row>
    <row r="365" spans="1:9">
      <c r="A365" s="3"/>
      <c r="B365" s="126"/>
      <c r="C365" s="4"/>
      <c r="D365" s="3"/>
      <c r="E365" s="77"/>
      <c r="F365" s="72"/>
      <c r="G365" s="70"/>
      <c r="H365" s="53"/>
    </row>
    <row r="366" spans="1:9">
      <c r="A366" s="3"/>
      <c r="B366" s="126"/>
      <c r="C366" s="4"/>
      <c r="D366" s="3"/>
      <c r="E366" s="77"/>
      <c r="F366" s="72"/>
      <c r="G366" s="70"/>
      <c r="H366" s="53"/>
    </row>
    <row r="367" spans="1:9">
      <c r="A367" s="3"/>
      <c r="B367" s="126"/>
      <c r="C367" s="4"/>
      <c r="D367" s="3"/>
      <c r="E367" s="77"/>
      <c r="F367" s="72"/>
      <c r="G367" s="70"/>
      <c r="H367" s="53"/>
    </row>
    <row r="368" spans="1:9">
      <c r="A368" s="3"/>
      <c r="B368" s="126"/>
      <c r="C368" s="4"/>
      <c r="D368" s="3"/>
      <c r="E368" s="77"/>
      <c r="F368" s="72"/>
      <c r="G368" s="70"/>
      <c r="H368" s="53"/>
    </row>
    <row r="369" spans="1:9">
      <c r="A369" s="3"/>
      <c r="B369" s="126"/>
      <c r="C369" s="4"/>
      <c r="D369" s="3"/>
      <c r="E369" s="77"/>
      <c r="F369" s="72"/>
      <c r="G369" s="70"/>
      <c r="H369" s="53"/>
    </row>
    <row r="370" spans="1:9">
      <c r="A370" s="3"/>
      <c r="B370" s="126"/>
      <c r="C370" s="4"/>
      <c r="D370" s="3"/>
      <c r="E370" s="77"/>
      <c r="F370" s="72"/>
      <c r="G370" s="70"/>
      <c r="H370" s="53"/>
    </row>
    <row r="371" spans="1:9">
      <c r="A371" s="3"/>
      <c r="B371" s="126"/>
      <c r="C371" s="4"/>
      <c r="D371" s="3"/>
      <c r="E371" s="77"/>
      <c r="F371" s="72"/>
      <c r="G371" s="70"/>
      <c r="H371" s="53"/>
    </row>
    <row r="372" spans="1:9">
      <c r="A372" s="3"/>
      <c r="B372" s="126"/>
      <c r="C372" s="4"/>
      <c r="D372" s="3"/>
      <c r="E372" s="77"/>
      <c r="F372" s="72"/>
      <c r="G372" s="70"/>
      <c r="H372" s="53"/>
    </row>
    <row r="373" spans="1:9">
      <c r="A373" s="3"/>
      <c r="B373" s="126"/>
      <c r="C373" s="4"/>
      <c r="D373" s="3"/>
      <c r="E373" s="77"/>
      <c r="F373" s="72"/>
      <c r="G373" s="70"/>
      <c r="H373" s="53"/>
    </row>
    <row r="374" spans="1:9">
      <c r="A374" s="3"/>
      <c r="B374" s="126"/>
      <c r="C374" s="4"/>
      <c r="D374" s="3"/>
      <c r="E374" s="77"/>
      <c r="F374" s="72"/>
      <c r="G374" s="70"/>
      <c r="H374" s="53"/>
    </row>
    <row r="375" spans="1:9">
      <c r="A375" s="3"/>
      <c r="B375" s="126"/>
      <c r="C375" s="4"/>
      <c r="D375" s="3"/>
      <c r="E375" s="77"/>
      <c r="F375" s="72"/>
      <c r="G375" s="70"/>
      <c r="H375" s="53"/>
    </row>
    <row r="376" spans="1:9">
      <c r="A376" s="3"/>
      <c r="B376" s="126"/>
      <c r="C376" s="4"/>
      <c r="D376" s="3"/>
      <c r="E376" s="77"/>
      <c r="F376" s="72"/>
      <c r="G376" s="70"/>
      <c r="H376" s="53"/>
    </row>
    <row r="377" spans="1:9">
      <c r="A377" s="3"/>
      <c r="B377" s="126"/>
      <c r="C377" s="4"/>
      <c r="D377" s="3"/>
      <c r="E377" s="77"/>
      <c r="F377" s="72"/>
      <c r="G377" s="70"/>
      <c r="H377" s="53"/>
    </row>
    <row r="378" spans="1:9">
      <c r="A378" s="3"/>
      <c r="B378" s="126"/>
      <c r="C378" s="4"/>
      <c r="D378" s="3"/>
      <c r="E378" s="77"/>
      <c r="F378" s="72"/>
      <c r="G378" s="70"/>
      <c r="H378" s="53"/>
    </row>
    <row r="379" spans="1:9" s="199" customFormat="1">
      <c r="A379" s="233"/>
      <c r="B379" s="234"/>
      <c r="C379" s="235"/>
      <c r="D379" s="233"/>
      <c r="E379" s="204"/>
      <c r="F379" s="236"/>
      <c r="G379" s="237"/>
      <c r="H379" s="238"/>
      <c r="I379" s="200"/>
    </row>
    <row r="380" spans="1:9">
      <c r="A380" s="19"/>
      <c r="B380" s="120"/>
      <c r="C380" s="4"/>
      <c r="D380" s="19"/>
      <c r="E380" s="86"/>
      <c r="F380" s="72"/>
      <c r="G380" s="70"/>
    </row>
    <row r="381" spans="1:9">
      <c r="A381" s="453" t="s">
        <v>226</v>
      </c>
      <c r="B381" s="453"/>
      <c r="C381" s="453"/>
      <c r="D381" s="453"/>
      <c r="E381" s="453"/>
      <c r="F381" s="453"/>
      <c r="G381" s="453"/>
    </row>
    <row r="382" spans="1:9">
      <c r="A382" s="5" t="s">
        <v>4</v>
      </c>
      <c r="B382" s="105" t="s">
        <v>45</v>
      </c>
      <c r="C382" s="6" t="s">
        <v>5</v>
      </c>
      <c r="D382" s="6" t="s">
        <v>6</v>
      </c>
      <c r="E382" s="6" t="s">
        <v>7</v>
      </c>
      <c r="F382" s="6" t="s">
        <v>8</v>
      </c>
      <c r="G382" s="6" t="s">
        <v>9</v>
      </c>
    </row>
    <row r="383" spans="1:9">
      <c r="A383" s="6" t="s">
        <v>180</v>
      </c>
      <c r="B383" s="105"/>
      <c r="C383" s="6"/>
      <c r="D383" s="7">
        <v>7601.97</v>
      </c>
      <c r="E383" s="7">
        <v>0</v>
      </c>
      <c r="F383" s="7">
        <v>0</v>
      </c>
      <c r="G383" s="7">
        <f>SUM(D383:F383)</f>
        <v>7601.97</v>
      </c>
    </row>
    <row r="384" spans="1:9">
      <c r="A384" s="10" t="s">
        <v>10</v>
      </c>
      <c r="B384" s="105"/>
      <c r="C384" s="6"/>
      <c r="D384" s="12">
        <v>7601.97</v>
      </c>
      <c r="E384" s="12">
        <v>0</v>
      </c>
      <c r="F384" s="12">
        <f>SUM(F385:F387)</f>
        <v>0</v>
      </c>
      <c r="G384" s="12">
        <f>SUM(D384:F384)</f>
        <v>7601.97</v>
      </c>
    </row>
    <row r="385" spans="1:9">
      <c r="A385" s="239" t="s">
        <v>322</v>
      </c>
      <c r="B385" s="120"/>
      <c r="C385" s="4"/>
      <c r="D385" s="3"/>
      <c r="E385" s="77" t="s">
        <v>70</v>
      </c>
      <c r="F385" s="3">
        <v>0</v>
      </c>
      <c r="G385" s="70" t="e">
        <f>F385/F384</f>
        <v>#DIV/0!</v>
      </c>
    </row>
    <row r="386" spans="1:9">
      <c r="A386" s="19"/>
      <c r="B386" s="120"/>
      <c r="C386" s="4"/>
      <c r="D386" s="3"/>
      <c r="E386" s="77" t="s">
        <v>72</v>
      </c>
      <c r="F386" s="3">
        <v>0</v>
      </c>
      <c r="G386" s="70" t="e">
        <f>F386/F384</f>
        <v>#DIV/0!</v>
      </c>
    </row>
    <row r="387" spans="1:9">
      <c r="A387" s="19"/>
      <c r="B387" s="120"/>
      <c r="C387" s="4"/>
      <c r="D387" s="3"/>
      <c r="E387" s="77" t="s">
        <v>71</v>
      </c>
      <c r="F387" s="3">
        <v>0</v>
      </c>
      <c r="G387" s="3" t="e">
        <f>F387/F384</f>
        <v>#DIV/0!</v>
      </c>
    </row>
    <row r="388" spans="1:9">
      <c r="A388" s="19"/>
      <c r="B388" s="120"/>
      <c r="C388" s="4"/>
      <c r="D388" s="3"/>
      <c r="E388" s="77"/>
      <c r="F388" s="3"/>
      <c r="G388" s="3"/>
    </row>
    <row r="389" spans="1:9" s="199" customFormat="1">
      <c r="A389" s="240"/>
      <c r="B389" s="241"/>
      <c r="C389" s="235"/>
      <c r="D389" s="233"/>
      <c r="E389" s="204"/>
      <c r="F389" s="233"/>
      <c r="G389" s="233"/>
      <c r="H389" s="253"/>
      <c r="I389" s="200"/>
    </row>
    <row r="390" spans="1:9">
      <c r="A390" s="19"/>
      <c r="B390" s="120"/>
      <c r="C390" s="4"/>
      <c r="D390" s="3"/>
      <c r="E390" s="77"/>
      <c r="F390" s="3"/>
      <c r="G390" s="3"/>
    </row>
    <row r="391" spans="1:9">
      <c r="A391" s="452" t="s">
        <v>227</v>
      </c>
      <c r="B391" s="453"/>
      <c r="C391" s="453"/>
      <c r="D391" s="453"/>
      <c r="E391" s="453"/>
      <c r="F391" s="453"/>
      <c r="G391" s="453"/>
    </row>
    <row r="392" spans="1:9">
      <c r="A392" s="5" t="s">
        <v>4</v>
      </c>
      <c r="B392" s="133" t="s">
        <v>45</v>
      </c>
      <c r="C392" s="6" t="s">
        <v>5</v>
      </c>
      <c r="D392" s="6" t="s">
        <v>6</v>
      </c>
      <c r="E392" s="6" t="s">
        <v>7</v>
      </c>
      <c r="F392" s="6" t="s">
        <v>8</v>
      </c>
      <c r="G392" s="6" t="s">
        <v>9</v>
      </c>
    </row>
    <row r="393" spans="1:9" hidden="1">
      <c r="A393" s="6" t="s">
        <v>188</v>
      </c>
      <c r="B393" s="134"/>
      <c r="C393" s="6"/>
      <c r="D393" s="6"/>
      <c r="E393" s="6"/>
      <c r="F393" s="6"/>
      <c r="G393" s="6"/>
    </row>
    <row r="394" spans="1:9" hidden="1">
      <c r="A394" s="6" t="s">
        <v>189</v>
      </c>
      <c r="B394" s="134"/>
      <c r="C394" s="6"/>
      <c r="D394" s="6"/>
      <c r="E394" s="6"/>
      <c r="F394" s="6"/>
      <c r="G394" s="6"/>
    </row>
    <row r="395" spans="1:9" hidden="1">
      <c r="A395" s="6" t="s">
        <v>189</v>
      </c>
      <c r="B395" s="134"/>
      <c r="C395" s="6"/>
      <c r="D395" s="6"/>
      <c r="E395" s="6"/>
      <c r="F395" s="6"/>
      <c r="G395" s="6"/>
    </row>
    <row r="396" spans="1:9" hidden="1">
      <c r="A396" s="6" t="s">
        <v>78</v>
      </c>
      <c r="B396" s="134"/>
      <c r="C396" s="6"/>
      <c r="D396" s="6"/>
      <c r="E396" s="6"/>
      <c r="F396" s="6"/>
      <c r="G396" s="6"/>
    </row>
    <row r="397" spans="1:9" hidden="1">
      <c r="A397" s="6" t="s">
        <v>122</v>
      </c>
      <c r="B397" s="134"/>
      <c r="C397" s="6"/>
      <c r="D397" s="6"/>
      <c r="E397" s="6"/>
      <c r="F397" s="6"/>
      <c r="G397" s="6"/>
    </row>
    <row r="398" spans="1:9" hidden="1">
      <c r="A398" s="6" t="s">
        <v>75</v>
      </c>
      <c r="B398" s="134"/>
      <c r="C398" s="6"/>
      <c r="D398" s="6"/>
      <c r="E398" s="6"/>
      <c r="F398" s="6"/>
      <c r="G398" s="6"/>
    </row>
    <row r="399" spans="1:9" hidden="1">
      <c r="A399" s="6" t="s">
        <v>79</v>
      </c>
      <c r="B399" s="134"/>
      <c r="C399" s="6"/>
      <c r="D399" s="6"/>
      <c r="E399" s="6"/>
      <c r="F399" s="6"/>
      <c r="G399" s="6"/>
    </row>
    <row r="400" spans="1:9" hidden="1">
      <c r="A400" s="6" t="s">
        <v>80</v>
      </c>
      <c r="B400" s="134"/>
      <c r="C400" s="6"/>
      <c r="D400" s="6"/>
      <c r="E400" s="6"/>
      <c r="F400" s="6"/>
      <c r="G400" s="6"/>
    </row>
    <row r="401" spans="1:7" hidden="1">
      <c r="A401" s="6" t="s">
        <v>81</v>
      </c>
      <c r="B401" s="134"/>
      <c r="C401" s="6"/>
      <c r="D401" s="6"/>
      <c r="E401" s="6"/>
      <c r="F401" s="6"/>
      <c r="G401" s="6"/>
    </row>
    <row r="402" spans="1:7" hidden="1">
      <c r="A402" s="6" t="s">
        <v>82</v>
      </c>
      <c r="B402" s="134"/>
      <c r="C402" s="6"/>
      <c r="D402" s="6"/>
      <c r="E402" s="6"/>
      <c r="F402" s="6"/>
      <c r="G402" s="6"/>
    </row>
    <row r="403" spans="1:7" hidden="1">
      <c r="A403" s="6" t="s">
        <v>83</v>
      </c>
      <c r="B403" s="134"/>
      <c r="C403" s="6"/>
      <c r="D403" s="6"/>
      <c r="E403" s="6"/>
      <c r="F403" s="6"/>
      <c r="G403" s="6"/>
    </row>
    <row r="404" spans="1:7" hidden="1">
      <c r="A404" s="6" t="s">
        <v>122</v>
      </c>
      <c r="B404" s="134"/>
      <c r="C404" s="6"/>
      <c r="D404" s="6"/>
      <c r="E404" s="6"/>
      <c r="F404" s="6"/>
      <c r="G404" s="6"/>
    </row>
    <row r="405" spans="1:7" hidden="1">
      <c r="A405" s="6" t="s">
        <v>190</v>
      </c>
      <c r="B405" s="134"/>
      <c r="C405" s="6"/>
      <c r="D405" s="6"/>
      <c r="E405" s="6"/>
      <c r="F405" s="6"/>
      <c r="G405" s="6"/>
    </row>
    <row r="406" spans="1:7" hidden="1">
      <c r="A406" s="6" t="s">
        <v>84</v>
      </c>
      <c r="B406" s="134"/>
      <c r="C406" s="6"/>
      <c r="D406" s="6"/>
      <c r="E406" s="6"/>
      <c r="F406" s="6"/>
      <c r="G406" s="6"/>
    </row>
    <row r="407" spans="1:7" hidden="1">
      <c r="A407" s="6" t="s">
        <v>85</v>
      </c>
      <c r="B407" s="134"/>
      <c r="C407" s="6"/>
      <c r="D407" s="6"/>
      <c r="E407" s="6"/>
      <c r="F407" s="6"/>
      <c r="G407" s="6"/>
    </row>
    <row r="408" spans="1:7" hidden="1">
      <c r="A408" s="6" t="s">
        <v>89</v>
      </c>
      <c r="B408" s="134"/>
      <c r="C408" s="10"/>
      <c r="D408" s="6"/>
      <c r="E408" s="6"/>
      <c r="F408" s="6"/>
      <c r="G408" s="6"/>
    </row>
    <row r="409" spans="1:7" hidden="1">
      <c r="A409" s="6" t="s">
        <v>86</v>
      </c>
      <c r="B409" s="134"/>
      <c r="C409" s="10"/>
      <c r="D409" s="6"/>
      <c r="E409" s="6"/>
      <c r="F409" s="6"/>
      <c r="G409" s="6"/>
    </row>
    <row r="410" spans="1:7" hidden="1">
      <c r="A410" s="6" t="s">
        <v>87</v>
      </c>
      <c r="B410" s="134"/>
      <c r="C410" s="10"/>
      <c r="D410" s="6"/>
      <c r="E410" s="6"/>
      <c r="F410" s="6"/>
      <c r="G410" s="6"/>
    </row>
    <row r="411" spans="1:7" hidden="1">
      <c r="A411" s="6" t="s">
        <v>88</v>
      </c>
      <c r="B411" s="134"/>
      <c r="C411" s="10"/>
      <c r="D411" s="6"/>
      <c r="E411" s="6"/>
      <c r="F411" s="6"/>
      <c r="G411" s="6"/>
    </row>
    <row r="412" spans="1:7" hidden="1">
      <c r="A412" s="6" t="s">
        <v>90</v>
      </c>
      <c r="B412" s="134"/>
      <c r="C412" s="10"/>
      <c r="D412" s="6"/>
      <c r="E412" s="6"/>
      <c r="F412" s="6"/>
      <c r="G412" s="6"/>
    </row>
    <row r="413" spans="1:7" hidden="1">
      <c r="A413" s="6" t="s">
        <v>204</v>
      </c>
      <c r="B413" s="134"/>
      <c r="C413" s="6"/>
      <c r="D413" s="7"/>
      <c r="E413" s="7"/>
      <c r="F413" s="7"/>
      <c r="G413" s="7"/>
    </row>
    <row r="414" spans="1:7" hidden="1">
      <c r="A414" s="6" t="s">
        <v>57</v>
      </c>
      <c r="B414" s="134"/>
      <c r="C414" s="6"/>
      <c r="D414" s="6"/>
      <c r="E414" s="6"/>
      <c r="F414" s="6"/>
      <c r="G414" s="6"/>
    </row>
    <row r="415" spans="1:7">
      <c r="A415" s="54" t="s">
        <v>323</v>
      </c>
      <c r="B415" s="134"/>
      <c r="C415" s="6"/>
      <c r="D415" s="223">
        <v>905.33</v>
      </c>
      <c r="E415" s="223">
        <v>0</v>
      </c>
      <c r="F415" s="223">
        <v>135208.51999999999</v>
      </c>
      <c r="G415" s="223">
        <v>136113.84999999998</v>
      </c>
    </row>
    <row r="416" spans="1:7">
      <c r="A416" s="10" t="s">
        <v>10</v>
      </c>
      <c r="B416" s="135"/>
      <c r="C416" s="10"/>
      <c r="D416" s="12">
        <f>905.33</f>
        <v>905.33</v>
      </c>
      <c r="E416" s="12">
        <f>0</f>
        <v>0</v>
      </c>
      <c r="F416" s="12">
        <f>SUM(F417:F419)</f>
        <v>135208.51999999999</v>
      </c>
      <c r="G416" s="12">
        <f>SUM(D416:F416)</f>
        <v>136113.84999999998</v>
      </c>
    </row>
    <row r="417" spans="1:9">
      <c r="A417" s="101" t="s">
        <v>319</v>
      </c>
      <c r="B417" s="121"/>
      <c r="C417" s="47"/>
      <c r="D417" s="47"/>
      <c r="E417" s="77" t="s">
        <v>70</v>
      </c>
      <c r="F417" s="74">
        <f>135204.9</f>
        <v>135204.9</v>
      </c>
      <c r="G417" s="73">
        <f>F417/F416</f>
        <v>0.99997322653927434</v>
      </c>
      <c r="H417" s="53"/>
    </row>
    <row r="418" spans="1:9">
      <c r="E418" s="77" t="s">
        <v>72</v>
      </c>
      <c r="F418" s="74">
        <f>0</f>
        <v>0</v>
      </c>
      <c r="G418" s="73">
        <f>F418/F416</f>
        <v>0</v>
      </c>
      <c r="H418" s="53"/>
    </row>
    <row r="419" spans="1:9">
      <c r="E419" s="77" t="s">
        <v>71</v>
      </c>
      <c r="F419" s="74">
        <f>3.62</f>
        <v>3.62</v>
      </c>
      <c r="G419" s="73">
        <f>F419/F416</f>
        <v>2.6773460725699832E-5</v>
      </c>
      <c r="H419" s="53"/>
    </row>
    <row r="429" spans="1:9" s="381" customFormat="1">
      <c r="B429" s="382"/>
      <c r="H429" s="383"/>
      <c r="I429" s="384"/>
    </row>
    <row r="431" spans="1:9">
      <c r="A431" s="20" t="s">
        <v>347</v>
      </c>
      <c r="B431" s="104"/>
      <c r="C431" s="2"/>
      <c r="D431" s="21"/>
      <c r="E431" s="21"/>
      <c r="F431" s="21"/>
      <c r="G431" s="21"/>
    </row>
    <row r="432" spans="1:9">
      <c r="A432" s="23" t="s">
        <v>12</v>
      </c>
      <c r="B432" s="105" t="s">
        <v>45</v>
      </c>
      <c r="C432" s="6" t="s">
        <v>5</v>
      </c>
      <c r="D432" s="21" t="s">
        <v>13</v>
      </c>
      <c r="E432" s="21" t="s">
        <v>14</v>
      </c>
      <c r="F432" s="21" t="s">
        <v>15</v>
      </c>
      <c r="G432" s="21" t="s">
        <v>16</v>
      </c>
    </row>
    <row r="433" spans="1:8">
      <c r="A433" s="23" t="s">
        <v>0</v>
      </c>
      <c r="B433" s="106">
        <v>6902.7619999999997</v>
      </c>
      <c r="C433" s="24">
        <v>840</v>
      </c>
      <c r="D433" s="266">
        <f>C433/C$444*D$444</f>
        <v>211499.25719999999</v>
      </c>
      <c r="E433" s="266">
        <f>C433/C$444*E$444</f>
        <v>197307.16320000001</v>
      </c>
      <c r="F433" s="266">
        <f>C433/C444*(F444-F443)</f>
        <v>118972.73970000001</v>
      </c>
      <c r="G433" s="24">
        <f>SUM(D433:F433)</f>
        <v>527779.16009999998</v>
      </c>
    </row>
    <row r="434" spans="1:8" hidden="1">
      <c r="A434" s="59" t="s">
        <v>217</v>
      </c>
      <c r="B434" s="106"/>
      <c r="C434" s="24"/>
      <c r="D434" s="24">
        <f t="shared" ref="D434:D435" si="21">C434/C$444*D$444</f>
        <v>0</v>
      </c>
      <c r="E434" s="24">
        <f t="shared" ref="E434:E435" si="22">C434/C$444*E$444</f>
        <v>0</v>
      </c>
      <c r="F434" s="24"/>
      <c r="G434" s="24">
        <f t="shared" ref="G434:G435" si="23">SUM(D434:F434)</f>
        <v>0</v>
      </c>
    </row>
    <row r="435" spans="1:8">
      <c r="A435" s="23" t="s">
        <v>17</v>
      </c>
      <c r="B435" s="106">
        <v>1360</v>
      </c>
      <c r="C435" s="24">
        <v>160</v>
      </c>
      <c r="D435" s="266">
        <f t="shared" si="21"/>
        <v>40285.572800000002</v>
      </c>
      <c r="E435" s="266">
        <f t="shared" si="22"/>
        <v>37582.316800000001</v>
      </c>
      <c r="F435" s="266">
        <f>C435/C444*(F444-F443)</f>
        <v>22661.474228571431</v>
      </c>
      <c r="G435" s="24">
        <f t="shared" si="23"/>
        <v>100529.36382857143</v>
      </c>
    </row>
    <row r="436" spans="1:8" hidden="1">
      <c r="A436" s="59" t="s">
        <v>203</v>
      </c>
      <c r="B436" s="106"/>
      <c r="C436" s="24"/>
      <c r="D436" s="24"/>
      <c r="E436" s="24"/>
      <c r="F436" s="24"/>
      <c r="G436" s="24"/>
    </row>
    <row r="437" spans="1:8" hidden="1">
      <c r="A437" s="58" t="s">
        <v>67</v>
      </c>
      <c r="B437" s="22"/>
      <c r="C437" s="24"/>
      <c r="D437" s="24"/>
      <c r="E437" s="24"/>
      <c r="F437" s="24"/>
      <c r="G437" s="24"/>
    </row>
    <row r="438" spans="1:8" hidden="1">
      <c r="A438" s="23" t="s">
        <v>18</v>
      </c>
      <c r="B438" s="106"/>
      <c r="C438" s="24"/>
      <c r="D438" s="24"/>
      <c r="E438" s="24"/>
      <c r="F438" s="24"/>
      <c r="G438" s="24"/>
    </row>
    <row r="439" spans="1:8" hidden="1">
      <c r="A439" s="23" t="s">
        <v>19</v>
      </c>
      <c r="B439" s="106"/>
      <c r="C439" s="24"/>
      <c r="D439" s="24"/>
      <c r="E439" s="24"/>
      <c r="F439" s="24"/>
      <c r="G439" s="24"/>
    </row>
    <row r="440" spans="1:8" hidden="1">
      <c r="A440" s="23" t="s">
        <v>73</v>
      </c>
      <c r="B440" s="106"/>
      <c r="C440" s="24"/>
      <c r="D440" s="24"/>
      <c r="E440" s="24"/>
      <c r="F440" s="24"/>
      <c r="G440" s="24"/>
    </row>
    <row r="441" spans="1:8" hidden="1">
      <c r="A441" s="56" t="s">
        <v>202</v>
      </c>
      <c r="B441" s="106"/>
      <c r="C441" s="24"/>
      <c r="D441" s="24"/>
      <c r="E441" s="24"/>
      <c r="F441" s="24"/>
      <c r="G441" s="24"/>
      <c r="H441" s="252"/>
    </row>
    <row r="442" spans="1:8" hidden="1">
      <c r="A442" s="93" t="s">
        <v>167</v>
      </c>
      <c r="B442" s="106"/>
      <c r="C442" s="24"/>
      <c r="D442" s="24"/>
      <c r="E442" s="24"/>
      <c r="F442" s="24"/>
      <c r="G442" s="24"/>
      <c r="H442" s="252"/>
    </row>
    <row r="443" spans="1:8">
      <c r="A443" s="93" t="s">
        <v>315</v>
      </c>
      <c r="B443" s="106"/>
      <c r="C443" s="24"/>
      <c r="D443" s="24">
        <v>0</v>
      </c>
      <c r="E443" s="24">
        <v>0</v>
      </c>
      <c r="F443" s="24">
        <f>F445*5/28</f>
        <v>16496.81607142857</v>
      </c>
      <c r="G443" s="24">
        <f>SUM(D443:F443)</f>
        <v>16496.81607142857</v>
      </c>
      <c r="H443" s="252"/>
    </row>
    <row r="444" spans="1:8">
      <c r="A444" s="20" t="s">
        <v>20</v>
      </c>
      <c r="B444" s="104"/>
      <c r="C444" s="25">
        <f>SUM(C433:C443)</f>
        <v>1000</v>
      </c>
      <c r="D444" s="103">
        <f>251784.83</f>
        <v>251784.83</v>
      </c>
      <c r="E444" s="103">
        <f>118585.25+10127+78141.75+28035.48</f>
        <v>234889.48</v>
      </c>
      <c r="F444" s="103">
        <f>SUM(F445:F447)</f>
        <v>158131.03</v>
      </c>
      <c r="G444" s="103">
        <f>SUM(D444:F444)</f>
        <v>644805.34</v>
      </c>
      <c r="H444" s="261">
        <f>F433+F435</f>
        <v>141634.21392857144</v>
      </c>
    </row>
    <row r="445" spans="1:8">
      <c r="A445" s="397" t="s">
        <v>378</v>
      </c>
      <c r="B445" s="128"/>
      <c r="C445" s="65"/>
      <c r="D445" s="65"/>
      <c r="E445" s="77" t="s">
        <v>70</v>
      </c>
      <c r="F445" s="22">
        <v>92382.17</v>
      </c>
      <c r="G445" s="73">
        <f>F445/F444</f>
        <v>0.58421278859689962</v>
      </c>
      <c r="H445" s="71">
        <f>G445*H444-0.01</f>
        <v>82744.509079940559</v>
      </c>
    </row>
    <row r="446" spans="1:8">
      <c r="A446" s="102"/>
      <c r="B446" s="128"/>
      <c r="C446" s="62"/>
      <c r="D446" s="62"/>
      <c r="E446" s="77" t="s">
        <v>72</v>
      </c>
      <c r="F446" s="22">
        <v>64.84</v>
      </c>
      <c r="G446" s="73">
        <f>F446/F444</f>
        <v>4.1003969935565461E-4</v>
      </c>
      <c r="H446" s="71">
        <f>G446*H444</f>
        <v>58.075650497745904</v>
      </c>
    </row>
    <row r="447" spans="1:8">
      <c r="A447" s="61"/>
      <c r="B447" s="128"/>
      <c r="C447" s="62"/>
      <c r="D447" s="62"/>
      <c r="E447" s="77" t="s">
        <v>71</v>
      </c>
      <c r="F447" s="22">
        <f>13333.33+1367.52+50983.17</f>
        <v>65684.02</v>
      </c>
      <c r="G447" s="73">
        <f>F447/F444</f>
        <v>0.41537717170374472</v>
      </c>
      <c r="H447" s="71">
        <f>H444*G447</f>
        <v>58831.619198133129</v>
      </c>
    </row>
    <row r="448" spans="1:8">
      <c r="A448" s="61"/>
      <c r="B448" s="128"/>
      <c r="C448" s="62"/>
      <c r="D448" s="62"/>
      <c r="E448" s="77"/>
      <c r="G448" s="73"/>
      <c r="H448" s="71"/>
    </row>
    <row r="449" spans="1:8">
      <c r="A449" s="61"/>
      <c r="B449" s="128"/>
      <c r="C449" s="62"/>
      <c r="D449" s="62"/>
      <c r="E449" s="77"/>
      <c r="G449" s="73"/>
      <c r="H449" s="71"/>
    </row>
    <row r="450" spans="1:8">
      <c r="A450" s="61"/>
      <c r="B450" s="128"/>
      <c r="C450" s="62"/>
      <c r="D450" s="62"/>
      <c r="E450" s="77"/>
      <c r="G450" s="73"/>
      <c r="H450" s="71"/>
    </row>
    <row r="451" spans="1:8">
      <c r="A451" s="61"/>
      <c r="B451" s="128"/>
      <c r="C451" s="62"/>
      <c r="D451" s="62"/>
      <c r="E451" s="77"/>
      <c r="G451" s="73"/>
      <c r="H451" s="71"/>
    </row>
    <row r="452" spans="1:8">
      <c r="A452" s="61"/>
      <c r="B452" s="128"/>
      <c r="C452" s="62"/>
      <c r="D452" s="62"/>
      <c r="E452" s="77"/>
      <c r="G452" s="73"/>
      <c r="H452" s="71"/>
    </row>
    <row r="453" spans="1:8">
      <c r="A453" s="61"/>
      <c r="B453" s="128"/>
      <c r="C453" s="62"/>
      <c r="D453" s="62"/>
      <c r="E453" s="77"/>
      <c r="G453" s="73"/>
      <c r="H453" s="71"/>
    </row>
    <row r="454" spans="1:8">
      <c r="A454" s="61"/>
      <c r="B454" s="128"/>
      <c r="C454" s="62"/>
      <c r="D454" s="62"/>
      <c r="E454" s="77"/>
      <c r="G454" s="73"/>
      <c r="H454" s="71"/>
    </row>
    <row r="455" spans="1:8">
      <c r="A455" s="61"/>
      <c r="B455" s="128"/>
      <c r="C455" s="62"/>
      <c r="D455" s="62"/>
      <c r="E455" s="77"/>
      <c r="G455" s="73"/>
      <c r="H455" s="71"/>
    </row>
    <row r="456" spans="1:8">
      <c r="A456" s="61"/>
      <c r="B456" s="128"/>
      <c r="C456" s="62"/>
      <c r="D456" s="62"/>
      <c r="E456" s="77"/>
      <c r="G456" s="73"/>
      <c r="H456" s="71"/>
    </row>
    <row r="457" spans="1:8">
      <c r="A457" s="61"/>
      <c r="B457" s="128"/>
      <c r="C457" s="62"/>
      <c r="D457" s="62"/>
      <c r="E457" s="77"/>
      <c r="G457" s="73"/>
      <c r="H457" s="71"/>
    </row>
    <row r="458" spans="1:8">
      <c r="A458" s="61"/>
      <c r="B458" s="128"/>
      <c r="C458" s="62"/>
      <c r="D458" s="62"/>
      <c r="E458" s="77"/>
      <c r="G458" s="73"/>
      <c r="H458" s="71"/>
    </row>
    <row r="459" spans="1:8">
      <c r="A459" s="61"/>
      <c r="B459" s="128"/>
      <c r="C459" s="62"/>
      <c r="D459" s="62"/>
      <c r="E459" s="77"/>
      <c r="G459" s="73"/>
      <c r="H459" s="71"/>
    </row>
    <row r="460" spans="1:8">
      <c r="A460" s="61"/>
      <c r="B460" s="128"/>
      <c r="C460" s="62"/>
      <c r="D460" s="62"/>
      <c r="E460" s="77"/>
      <c r="G460" s="73"/>
      <c r="H460" s="71"/>
    </row>
    <row r="461" spans="1:8">
      <c r="A461" s="61"/>
      <c r="B461" s="128"/>
      <c r="C461" s="62"/>
      <c r="D461" s="62"/>
      <c r="E461" s="77"/>
      <c r="G461" s="73"/>
      <c r="H461" s="71"/>
    </row>
    <row r="462" spans="1:8">
      <c r="A462" s="61"/>
      <c r="B462" s="128"/>
      <c r="C462" s="62"/>
      <c r="D462" s="62"/>
      <c r="E462" s="77"/>
      <c r="G462" s="73"/>
      <c r="H462" s="71"/>
    </row>
    <row r="463" spans="1:8">
      <c r="A463" s="61"/>
      <c r="B463" s="128"/>
      <c r="C463" s="62"/>
      <c r="D463" s="62"/>
      <c r="E463" s="77"/>
      <c r="G463" s="73"/>
      <c r="H463" s="71"/>
    </row>
    <row r="464" spans="1:8">
      <c r="A464" s="61"/>
      <c r="B464" s="128"/>
      <c r="C464" s="62"/>
      <c r="D464" s="62"/>
      <c r="E464" s="77"/>
      <c r="G464" s="73"/>
      <c r="H464" s="71"/>
    </row>
    <row r="465" spans="1:8">
      <c r="A465" s="61"/>
      <c r="B465" s="128"/>
      <c r="C465" s="62"/>
      <c r="D465" s="62"/>
      <c r="E465" s="77"/>
      <c r="G465" s="73"/>
      <c r="H465" s="71"/>
    </row>
    <row r="466" spans="1:8">
      <c r="A466" s="61"/>
      <c r="B466" s="128"/>
      <c r="C466" s="62"/>
      <c r="D466" s="62"/>
      <c r="E466" s="77"/>
      <c r="G466" s="73"/>
      <c r="H466" s="71"/>
    </row>
    <row r="467" spans="1:8">
      <c r="A467" s="61"/>
      <c r="B467" s="128"/>
      <c r="C467" s="62"/>
      <c r="D467" s="62"/>
      <c r="E467" s="77"/>
      <c r="G467" s="73"/>
      <c r="H467" s="71"/>
    </row>
    <row r="470" spans="1:8">
      <c r="A470" s="20" t="s">
        <v>348</v>
      </c>
      <c r="B470" s="105" t="s">
        <v>45</v>
      </c>
      <c r="C470" s="6" t="s">
        <v>5</v>
      </c>
      <c r="D470" s="29" t="s">
        <v>6</v>
      </c>
      <c r="E470" s="29" t="s">
        <v>7</v>
      </c>
      <c r="F470" s="29" t="s">
        <v>8</v>
      </c>
      <c r="G470" s="29" t="s">
        <v>9</v>
      </c>
    </row>
    <row r="471" spans="1:8" hidden="1">
      <c r="A471" s="30" t="s">
        <v>21</v>
      </c>
      <c r="B471" s="127"/>
      <c r="C471" s="31"/>
      <c r="D471" s="31"/>
      <c r="E471" s="31"/>
      <c r="F471" s="31"/>
      <c r="G471" s="31"/>
    </row>
    <row r="472" spans="1:8" hidden="1">
      <c r="A472" s="56" t="s">
        <v>59</v>
      </c>
      <c r="B472" s="127"/>
      <c r="C472" s="31"/>
      <c r="D472" s="31"/>
      <c r="E472" s="31"/>
      <c r="F472" s="31"/>
      <c r="G472" s="31"/>
    </row>
    <row r="473" spans="1:8" hidden="1">
      <c r="A473" s="56" t="s">
        <v>201</v>
      </c>
      <c r="B473" s="127"/>
      <c r="C473" s="31"/>
      <c r="D473" s="31"/>
      <c r="E473" s="31"/>
      <c r="F473" s="31"/>
      <c r="G473" s="31"/>
    </row>
    <row r="474" spans="1:8" hidden="1">
      <c r="A474" s="56" t="s">
        <v>58</v>
      </c>
      <c r="B474" s="127"/>
      <c r="C474" s="14"/>
      <c r="D474" s="31"/>
      <c r="E474" s="31"/>
      <c r="F474" s="31"/>
      <c r="G474" s="31"/>
    </row>
    <row r="475" spans="1:8" hidden="1">
      <c r="A475" s="30" t="s">
        <v>22</v>
      </c>
      <c r="B475" s="127"/>
      <c r="C475" s="14"/>
      <c r="D475" s="31"/>
      <c r="E475" s="31"/>
      <c r="F475" s="31"/>
      <c r="G475" s="31"/>
    </row>
    <row r="476" spans="1:8" hidden="1">
      <c r="A476" s="30" t="s">
        <v>23</v>
      </c>
      <c r="B476" s="109"/>
      <c r="C476" s="31"/>
      <c r="D476" s="31"/>
      <c r="E476" s="31"/>
      <c r="F476" s="31"/>
      <c r="G476" s="31"/>
    </row>
    <row r="477" spans="1:8" hidden="1">
      <c r="A477" s="30" t="s">
        <v>24</v>
      </c>
      <c r="B477" s="127"/>
      <c r="C477" s="31"/>
      <c r="D477" s="31"/>
      <c r="E477" s="31"/>
      <c r="F477" s="31"/>
      <c r="G477" s="31"/>
    </row>
    <row r="478" spans="1:8" hidden="1">
      <c r="A478" s="30" t="s">
        <v>25</v>
      </c>
      <c r="B478" s="109"/>
      <c r="C478" s="31"/>
      <c r="D478" s="31"/>
      <c r="E478" s="31"/>
      <c r="F478" s="31"/>
      <c r="G478" s="31"/>
    </row>
    <row r="479" spans="1:8" hidden="1">
      <c r="A479" s="30" t="s">
        <v>26</v>
      </c>
      <c r="B479" s="109"/>
      <c r="C479" s="31"/>
      <c r="D479" s="31"/>
      <c r="E479" s="31"/>
      <c r="F479" s="31"/>
      <c r="G479" s="31"/>
    </row>
    <row r="480" spans="1:8" hidden="1">
      <c r="A480" s="23" t="s">
        <v>199</v>
      </c>
      <c r="B480" s="109"/>
      <c r="C480" s="14"/>
      <c r="D480" s="31"/>
      <c r="E480" s="31"/>
      <c r="F480" s="31"/>
      <c r="G480" s="31"/>
    </row>
    <row r="481" spans="1:7">
      <c r="A481" s="56" t="s">
        <v>320</v>
      </c>
      <c r="B481" s="109"/>
      <c r="C481" s="14"/>
      <c r="D481" s="31">
        <v>46124.67</v>
      </c>
      <c r="E481" s="31">
        <v>0</v>
      </c>
      <c r="F481" s="31">
        <v>323832.99</v>
      </c>
      <c r="G481" s="31">
        <v>369957.66</v>
      </c>
    </row>
    <row r="482" spans="1:7" hidden="1">
      <c r="A482" s="56" t="s">
        <v>202</v>
      </c>
      <c r="B482" s="109"/>
      <c r="C482" s="14"/>
      <c r="D482" s="31"/>
      <c r="E482" s="31"/>
      <c r="F482" s="31"/>
      <c r="G482" s="31"/>
    </row>
    <row r="483" spans="1:7">
      <c r="A483" s="20" t="s">
        <v>20</v>
      </c>
      <c r="B483" s="104"/>
      <c r="C483" s="25"/>
      <c r="D483" s="25">
        <f>46124.67</f>
        <v>46124.67</v>
      </c>
      <c r="E483" s="25">
        <v>0</v>
      </c>
      <c r="F483" s="25">
        <f>SUM(F484:F486)</f>
        <v>323832.99</v>
      </c>
      <c r="G483" s="25">
        <f>SUM(D483:F483)</f>
        <v>369957.66</v>
      </c>
    </row>
    <row r="484" spans="1:7">
      <c r="A484" s="101" t="s">
        <v>379</v>
      </c>
      <c r="B484" s="110"/>
      <c r="C484" s="27"/>
      <c r="D484" s="27"/>
      <c r="E484" s="77" t="s">
        <v>70</v>
      </c>
      <c r="F484" s="63">
        <v>281280.92</v>
      </c>
      <c r="G484" s="64">
        <f>F484/F483</f>
        <v>0.86859871812319056</v>
      </c>
    </row>
    <row r="485" spans="1:7">
      <c r="A485" s="101"/>
      <c r="B485" s="110"/>
      <c r="C485" s="27"/>
      <c r="D485" s="27"/>
      <c r="E485" s="77" t="s">
        <v>72</v>
      </c>
      <c r="F485" s="63">
        <v>162.09</v>
      </c>
      <c r="G485" s="64">
        <f>F485/F483</f>
        <v>5.0053578543680802E-4</v>
      </c>
    </row>
    <row r="486" spans="1:7">
      <c r="A486" s="102"/>
      <c r="B486" s="110"/>
      <c r="C486" s="27"/>
      <c r="E486" s="77" t="s">
        <v>71</v>
      </c>
      <c r="F486" s="22">
        <f>13333.33+846.15+28210.5</f>
        <v>42389.979999999996</v>
      </c>
      <c r="G486" s="64">
        <f>F486/F483</f>
        <v>0.13090074609137259</v>
      </c>
    </row>
    <row r="506" spans="1:7">
      <c r="A506" s="20" t="s">
        <v>349</v>
      </c>
      <c r="B506" s="105" t="s">
        <v>45</v>
      </c>
      <c r="C506" s="6" t="s">
        <v>5</v>
      </c>
      <c r="D506" s="21" t="s">
        <v>13</v>
      </c>
      <c r="E506" s="21" t="s">
        <v>14</v>
      </c>
      <c r="F506" s="21" t="s">
        <v>15</v>
      </c>
      <c r="G506" s="21" t="s">
        <v>16</v>
      </c>
    </row>
    <row r="507" spans="1:7" hidden="1">
      <c r="A507" s="23" t="s">
        <v>27</v>
      </c>
      <c r="B507" s="106"/>
      <c r="C507" s="34"/>
      <c r="D507" s="35"/>
      <c r="E507" s="35"/>
      <c r="F507" s="35"/>
      <c r="G507" s="35"/>
    </row>
    <row r="508" spans="1:7">
      <c r="A508" s="23" t="s">
        <v>28</v>
      </c>
      <c r="B508" s="127">
        <v>1097.79</v>
      </c>
      <c r="C508" s="34">
        <f>48*28</f>
        <v>1344</v>
      </c>
      <c r="D508" s="265">
        <f>C508/C$523*D$523</f>
        <v>84004.14</v>
      </c>
      <c r="E508" s="265">
        <f>C508/C$523*E$523</f>
        <v>16224.038571428569</v>
      </c>
      <c r="F508" s="265">
        <f>C508/C523*(F523-F522)</f>
        <v>45077.940765306128</v>
      </c>
      <c r="G508" s="35">
        <f>SUM(D508:F508)</f>
        <v>145306.1193367347</v>
      </c>
    </row>
    <row r="509" spans="1:7">
      <c r="A509" s="23" t="s">
        <v>29</v>
      </c>
      <c r="B509" s="127">
        <v>400.46</v>
      </c>
      <c r="C509" s="34">
        <f>28*48</f>
        <v>1344</v>
      </c>
      <c r="D509" s="265">
        <f t="shared" ref="D509:D514" si="24">C509/C$523*D$523</f>
        <v>84004.14</v>
      </c>
      <c r="E509" s="265">
        <f t="shared" ref="E509:E514" si="25">C509/C$523*E$523</f>
        <v>16224.038571428569</v>
      </c>
      <c r="F509" s="265">
        <f>C509/C523*(F523-F522)</f>
        <v>45077.940765306128</v>
      </c>
      <c r="G509" s="35">
        <f t="shared" ref="G509:G514" si="26">SUM(D509:F509)</f>
        <v>145306.1193367347</v>
      </c>
    </row>
    <row r="510" spans="1:7" hidden="1">
      <c r="A510" s="23" t="s">
        <v>30</v>
      </c>
      <c r="B510" s="127"/>
      <c r="C510" s="34"/>
      <c r="D510" s="35"/>
      <c r="E510" s="35"/>
      <c r="F510" s="35"/>
      <c r="G510" s="35"/>
    </row>
    <row r="511" spans="1:7" hidden="1">
      <c r="A511" s="59" t="s">
        <v>200</v>
      </c>
      <c r="B511" s="127"/>
      <c r="C511" s="34"/>
      <c r="D511" s="35"/>
      <c r="E511" s="35"/>
      <c r="F511" s="35"/>
      <c r="G511" s="35"/>
    </row>
    <row r="512" spans="1:7">
      <c r="A512" s="23" t="s">
        <v>31</v>
      </c>
      <c r="B512" s="106">
        <v>90400</v>
      </c>
      <c r="C512" s="34">
        <f>18*12</f>
        <v>216</v>
      </c>
      <c r="D512" s="265">
        <f t="shared" si="24"/>
        <v>13500.665357142856</v>
      </c>
      <c r="E512" s="265">
        <f t="shared" si="25"/>
        <v>2607.4347704081629</v>
      </c>
      <c r="F512" s="265">
        <f>C512/C523*(F523-F522)</f>
        <v>7244.6690515670552</v>
      </c>
      <c r="G512" s="35">
        <f t="shared" si="26"/>
        <v>23352.769179118073</v>
      </c>
    </row>
    <row r="513" spans="1:8">
      <c r="A513" s="23" t="s">
        <v>32</v>
      </c>
      <c r="B513" s="106">
        <v>36100</v>
      </c>
      <c r="C513" s="34">
        <f>20*8</f>
        <v>160</v>
      </c>
      <c r="D513" s="265">
        <f t="shared" si="24"/>
        <v>10000.492857142857</v>
      </c>
      <c r="E513" s="265">
        <f t="shared" si="25"/>
        <v>1931.4331632653059</v>
      </c>
      <c r="F513" s="265">
        <f>C513/C523*(F523-F522)</f>
        <v>5366.4215196793011</v>
      </c>
      <c r="G513" s="35">
        <f t="shared" si="26"/>
        <v>17298.347540087467</v>
      </c>
    </row>
    <row r="514" spans="1:8">
      <c r="A514" s="23" t="s">
        <v>33</v>
      </c>
      <c r="B514" s="106">
        <v>4700</v>
      </c>
      <c r="C514" s="34">
        <f>3*24</f>
        <v>72</v>
      </c>
      <c r="D514" s="265">
        <f t="shared" si="24"/>
        <v>4500.2217857142859</v>
      </c>
      <c r="E514" s="265">
        <f t="shared" si="25"/>
        <v>869.14492346938778</v>
      </c>
      <c r="F514" s="265">
        <f>C514/C523*(F523-F522)</f>
        <v>2414.8896838556857</v>
      </c>
      <c r="G514" s="35">
        <f t="shared" si="26"/>
        <v>7784.2563930393599</v>
      </c>
      <c r="H514" s="262"/>
    </row>
    <row r="515" spans="1:8" hidden="1">
      <c r="A515" s="23" t="s">
        <v>34</v>
      </c>
      <c r="B515" s="127"/>
      <c r="C515" s="2"/>
      <c r="D515" s="35"/>
      <c r="E515" s="35"/>
      <c r="F515" s="258"/>
      <c r="G515" s="35"/>
      <c r="H515" s="262"/>
    </row>
    <row r="516" spans="1:8" hidden="1">
      <c r="A516" s="23" t="s">
        <v>35</v>
      </c>
      <c r="B516" s="106"/>
      <c r="C516" s="34"/>
      <c r="D516" s="35"/>
      <c r="E516" s="35"/>
      <c r="F516" s="258"/>
      <c r="G516" s="35"/>
      <c r="H516" s="262"/>
    </row>
    <row r="517" spans="1:8" hidden="1">
      <c r="A517" s="23" t="s">
        <v>36</v>
      </c>
      <c r="B517" s="127"/>
      <c r="C517" s="34"/>
      <c r="D517" s="35"/>
      <c r="E517" s="35"/>
      <c r="F517" s="258"/>
      <c r="G517" s="35"/>
      <c r="H517" s="262"/>
    </row>
    <row r="518" spans="1:8" hidden="1">
      <c r="A518" s="23" t="s">
        <v>199</v>
      </c>
      <c r="B518" s="106"/>
      <c r="C518" s="34"/>
      <c r="D518" s="35"/>
      <c r="E518" s="35"/>
      <c r="F518" s="258"/>
      <c r="G518" s="35"/>
      <c r="H518" s="263"/>
    </row>
    <row r="519" spans="1:8" hidden="1">
      <c r="A519" s="59" t="s">
        <v>66</v>
      </c>
      <c r="B519" s="106"/>
      <c r="C519" s="34"/>
      <c r="D519" s="35"/>
      <c r="E519" s="35"/>
      <c r="F519" s="258"/>
      <c r="G519" s="35"/>
      <c r="H519" s="262"/>
    </row>
    <row r="520" spans="1:8" hidden="1">
      <c r="A520" s="58" t="s">
        <v>315</v>
      </c>
      <c r="B520" s="106"/>
      <c r="C520" s="34"/>
      <c r="D520" s="35"/>
      <c r="E520" s="35"/>
      <c r="F520" s="258"/>
      <c r="G520" s="38"/>
      <c r="H520" s="261" t="s">
        <v>335</v>
      </c>
    </row>
    <row r="521" spans="1:8" hidden="1">
      <c r="A521" s="58" t="s">
        <v>206</v>
      </c>
      <c r="B521" s="106"/>
      <c r="C521" s="34"/>
      <c r="D521" s="35"/>
      <c r="E521" s="35"/>
      <c r="F521" s="258"/>
      <c r="G521" s="38"/>
      <c r="H521" s="261"/>
    </row>
    <row r="522" spans="1:8">
      <c r="A522" s="58" t="s">
        <v>380</v>
      </c>
      <c r="B522" s="106"/>
      <c r="C522" s="34"/>
      <c r="D522" s="35">
        <v>0</v>
      </c>
      <c r="E522" s="35">
        <v>0</v>
      </c>
      <c r="F522" s="258">
        <f>F524*5/28</f>
        <v>9435.8982142857149</v>
      </c>
      <c r="G522" s="38">
        <f>SUM(D522:F522)</f>
        <v>9435.8982142857149</v>
      </c>
      <c r="H522" s="261"/>
    </row>
    <row r="523" spans="1:8">
      <c r="A523" s="20" t="s">
        <v>20</v>
      </c>
      <c r="B523" s="104"/>
      <c r="C523" s="36">
        <f>SUM(C507:C522)</f>
        <v>3136</v>
      </c>
      <c r="D523" s="37">
        <f>196009.66</f>
        <v>196009.66</v>
      </c>
      <c r="E523" s="37">
        <f>19826+14189.25+3840.84</f>
        <v>37856.089999999997</v>
      </c>
      <c r="F523" s="260">
        <f>SUM(F524:F526)</f>
        <v>114617.76000000001</v>
      </c>
      <c r="G523" s="38">
        <f>SUM(D523:F523)</f>
        <v>348483.51</v>
      </c>
      <c r="H523" s="261">
        <f>F523-F522</f>
        <v>105181.8617857143</v>
      </c>
    </row>
    <row r="524" spans="1:8">
      <c r="A524" s="397" t="s">
        <v>378</v>
      </c>
      <c r="B524" s="110"/>
      <c r="C524" s="39"/>
      <c r="D524" s="40"/>
      <c r="E524" s="76" t="s">
        <v>70</v>
      </c>
      <c r="F524" s="251">
        <v>52841.03</v>
      </c>
      <c r="G524" s="60">
        <f>F524/F523</f>
        <v>0.4610195662522108</v>
      </c>
      <c r="H524" s="71">
        <f>H523*G524</f>
        <v>48490.896298049993</v>
      </c>
    </row>
    <row r="525" spans="1:8">
      <c r="A525" s="102"/>
      <c r="B525" s="110"/>
      <c r="C525" s="39"/>
      <c r="D525" s="40"/>
      <c r="E525" s="76" t="s">
        <v>72</v>
      </c>
      <c r="F525" s="40">
        <f>321.41+27027.03</f>
        <v>27348.44</v>
      </c>
      <c r="G525" s="60">
        <f>F525/F523</f>
        <v>0.23860560527443561</v>
      </c>
      <c r="H525" s="71">
        <f>H523*G525</f>
        <v>25096.98179527239</v>
      </c>
    </row>
    <row r="526" spans="1:8">
      <c r="A526" s="28"/>
      <c r="B526" s="108"/>
      <c r="C526" s="39"/>
      <c r="D526" s="40"/>
      <c r="E526" s="76" t="s">
        <v>71</v>
      </c>
      <c r="F526" s="40">
        <f>21110.56+13317.73</f>
        <v>34428.29</v>
      </c>
      <c r="G526" s="60">
        <f>F526/F523</f>
        <v>0.30037482847335351</v>
      </c>
      <c r="H526" s="71">
        <f>H523*G526</f>
        <v>31593.983692391907</v>
      </c>
    </row>
    <row r="527" spans="1:8">
      <c r="A527" s="28"/>
      <c r="B527" s="108"/>
      <c r="C527" s="39"/>
      <c r="D527" s="40"/>
      <c r="E527" s="76"/>
      <c r="F527" s="40"/>
      <c r="G527" s="60"/>
      <c r="H527" s="71"/>
    </row>
    <row r="528" spans="1:8">
      <c r="A528" s="28"/>
      <c r="B528" s="108"/>
      <c r="C528" s="39"/>
      <c r="D528" s="40"/>
      <c r="E528" s="76"/>
      <c r="F528" s="40"/>
      <c r="G528" s="60"/>
      <c r="H528" s="71"/>
    </row>
    <row r="529" spans="1:8">
      <c r="A529" s="28"/>
      <c r="B529" s="108"/>
      <c r="C529" s="39"/>
      <c r="D529" s="40"/>
      <c r="E529" s="76"/>
      <c r="F529" s="40"/>
      <c r="G529" s="60"/>
      <c r="H529" s="71"/>
    </row>
    <row r="530" spans="1:8">
      <c r="A530" s="28"/>
      <c r="B530" s="108"/>
      <c r="C530" s="39"/>
      <c r="D530" s="40"/>
      <c r="E530" s="76"/>
      <c r="F530" s="40"/>
      <c r="G530" s="60"/>
      <c r="H530" s="71"/>
    </row>
    <row r="531" spans="1:8">
      <c r="A531" s="28"/>
      <c r="B531" s="108"/>
      <c r="C531" s="39"/>
      <c r="D531" s="40"/>
      <c r="E531" s="76"/>
      <c r="F531" s="40"/>
      <c r="G531" s="60"/>
      <c r="H531" s="71"/>
    </row>
    <row r="532" spans="1:8">
      <c r="A532" s="28"/>
      <c r="B532" s="108"/>
      <c r="C532" s="39"/>
      <c r="D532" s="40"/>
      <c r="E532" s="76"/>
      <c r="F532" s="40"/>
      <c r="G532" s="60"/>
      <c r="H532" s="71"/>
    </row>
    <row r="533" spans="1:8">
      <c r="A533" s="28"/>
      <c r="B533" s="108"/>
      <c r="C533" s="39"/>
      <c r="D533" s="40"/>
      <c r="E533" s="76"/>
      <c r="F533" s="40"/>
      <c r="G533" s="60"/>
      <c r="H533" s="71"/>
    </row>
    <row r="534" spans="1:8">
      <c r="A534" s="28"/>
      <c r="B534" s="108"/>
      <c r="C534" s="39"/>
      <c r="D534" s="40"/>
      <c r="E534" s="76"/>
      <c r="F534" s="40"/>
      <c r="G534" s="60"/>
      <c r="H534" s="71"/>
    </row>
    <row r="535" spans="1:8">
      <c r="A535" s="28"/>
      <c r="B535" s="108"/>
      <c r="C535" s="39"/>
      <c r="D535" s="40"/>
      <c r="E535" s="76"/>
      <c r="F535" s="40"/>
      <c r="G535" s="60"/>
      <c r="H535" s="71"/>
    </row>
    <row r="536" spans="1:8">
      <c r="A536" s="28"/>
      <c r="B536" s="108"/>
      <c r="C536" s="39"/>
      <c r="D536" s="40"/>
      <c r="E536" s="76"/>
      <c r="F536" s="40"/>
      <c r="G536" s="60"/>
      <c r="H536" s="71"/>
    </row>
    <row r="537" spans="1:8">
      <c r="A537" s="28"/>
      <c r="B537" s="108"/>
      <c r="C537" s="39"/>
      <c r="D537" s="40"/>
      <c r="E537" s="76"/>
      <c r="F537" s="40"/>
      <c r="G537" s="60"/>
      <c r="H537" s="71"/>
    </row>
    <row r="538" spans="1:8">
      <c r="A538" s="28"/>
      <c r="B538" s="108"/>
      <c r="C538" s="39"/>
      <c r="D538" s="40"/>
      <c r="E538" s="76"/>
      <c r="F538" s="40"/>
      <c r="G538" s="60"/>
      <c r="H538" s="71"/>
    </row>
    <row r="539" spans="1:8">
      <c r="A539" s="28"/>
      <c r="B539" s="108"/>
      <c r="C539" s="39"/>
      <c r="D539" s="40"/>
      <c r="E539" s="76"/>
      <c r="F539" s="40"/>
      <c r="G539" s="60"/>
      <c r="H539" s="71"/>
    </row>
    <row r="540" spans="1:8">
      <c r="A540" s="28"/>
      <c r="B540" s="108"/>
      <c r="C540" s="39"/>
      <c r="D540" s="40"/>
      <c r="E540" s="76"/>
      <c r="F540" s="40"/>
      <c r="G540" s="60"/>
      <c r="H540" s="71"/>
    </row>
    <row r="541" spans="1:8">
      <c r="A541" s="28"/>
      <c r="B541" s="108"/>
      <c r="C541" s="39"/>
      <c r="D541" s="40"/>
      <c r="E541" s="76"/>
      <c r="F541" s="40"/>
      <c r="G541" s="60"/>
      <c r="H541" s="71"/>
    </row>
    <row r="542" spans="1:8">
      <c r="A542" s="28"/>
      <c r="B542" s="108"/>
      <c r="C542" s="39"/>
      <c r="D542" s="40"/>
      <c r="E542" s="76"/>
      <c r="F542" s="40"/>
      <c r="G542" s="60"/>
      <c r="H542" s="71"/>
    </row>
    <row r="547" spans="1:8">
      <c r="A547" s="20" t="s">
        <v>350</v>
      </c>
      <c r="B547" s="105" t="s">
        <v>45</v>
      </c>
      <c r="C547" s="6" t="s">
        <v>5</v>
      </c>
      <c r="D547" s="21" t="s">
        <v>13</v>
      </c>
      <c r="E547" s="21" t="s">
        <v>14</v>
      </c>
      <c r="F547" s="21" t="s">
        <v>15</v>
      </c>
      <c r="G547" s="21" t="s">
        <v>16</v>
      </c>
    </row>
    <row r="548" spans="1:8" hidden="1">
      <c r="A548" s="56" t="s">
        <v>74</v>
      </c>
      <c r="B548" s="105"/>
      <c r="C548" s="6"/>
      <c r="D548" s="51"/>
      <c r="E548" s="51"/>
      <c r="F548" s="51"/>
      <c r="G548" s="51"/>
    </row>
    <row r="549" spans="1:8" hidden="1">
      <c r="A549" s="56" t="s">
        <v>77</v>
      </c>
      <c r="B549" s="105"/>
      <c r="C549" s="5"/>
      <c r="D549" s="90"/>
      <c r="E549" s="90"/>
      <c r="F549" s="90"/>
      <c r="G549" s="51"/>
    </row>
    <row r="550" spans="1:8" hidden="1">
      <c r="A550" s="23" t="s">
        <v>43</v>
      </c>
      <c r="B550" s="106"/>
      <c r="C550" s="34"/>
      <c r="D550" s="99"/>
      <c r="E550" s="99"/>
      <c r="F550" s="99"/>
      <c r="G550" s="99"/>
    </row>
    <row r="551" spans="1:8">
      <c r="A551" s="23" t="s">
        <v>3</v>
      </c>
      <c r="B551" s="106"/>
      <c r="C551" s="34"/>
      <c r="D551" s="99">
        <v>78845.039999999994</v>
      </c>
      <c r="E551" s="99">
        <v>71008.899999999994</v>
      </c>
      <c r="F551" s="99">
        <v>61857.348571428578</v>
      </c>
      <c r="G551" s="99">
        <v>211711.28857142857</v>
      </c>
    </row>
    <row r="552" spans="1:8" hidden="1">
      <c r="A552" s="59" t="s">
        <v>315</v>
      </c>
      <c r="B552" s="106"/>
      <c r="C552" s="34"/>
      <c r="D552" s="90">
        <v>0</v>
      </c>
      <c r="E552" s="90">
        <v>0</v>
      </c>
      <c r="F552" s="90">
        <f>F554*5/28</f>
        <v>12666.871428571427</v>
      </c>
      <c r="G552" s="90">
        <f>SUM(D552:F552)</f>
        <v>12666.871428571427</v>
      </c>
    </row>
    <row r="553" spans="1:8">
      <c r="A553" s="20" t="s">
        <v>20</v>
      </c>
      <c r="B553" s="104"/>
      <c r="C553" s="36"/>
      <c r="D553" s="37">
        <v>78845.039999999994</v>
      </c>
      <c r="E553" s="37">
        <f>56712.25+10598+3698.65</f>
        <v>71008.899999999994</v>
      </c>
      <c r="F553" s="37">
        <f>SUM(F554:F556)</f>
        <v>74524.22</v>
      </c>
      <c r="G553" s="98">
        <f>SUM(D553:F553)</f>
        <v>224378.16</v>
      </c>
      <c r="H553" s="84" t="s">
        <v>336</v>
      </c>
    </row>
    <row r="554" spans="1:8">
      <c r="A554" s="397" t="s">
        <v>383</v>
      </c>
      <c r="B554" s="110"/>
      <c r="C554" s="45"/>
      <c r="D554" s="46"/>
      <c r="E554" s="77" t="s">
        <v>70</v>
      </c>
      <c r="F554" s="40">
        <v>70934.48</v>
      </c>
      <c r="G554" s="60">
        <f>F554/F553</f>
        <v>0.95183123016919857</v>
      </c>
      <c r="H554" s="53"/>
    </row>
    <row r="555" spans="1:8">
      <c r="A555" s="102"/>
      <c r="B555" s="110"/>
      <c r="C555" s="45"/>
      <c r="D555" s="46"/>
      <c r="E555" s="77" t="s">
        <v>72</v>
      </c>
      <c r="F555" s="40">
        <v>3589.74</v>
      </c>
      <c r="G555" s="60">
        <f>F555/F553</f>
        <v>4.816876983080131E-2</v>
      </c>
      <c r="H555" s="53"/>
    </row>
    <row r="556" spans="1:8">
      <c r="A556" s="101"/>
      <c r="B556" s="110"/>
      <c r="C556" s="45"/>
      <c r="D556" s="46"/>
      <c r="E556" s="77" t="s">
        <v>71</v>
      </c>
      <c r="F556" s="40">
        <v>0</v>
      </c>
      <c r="G556" s="60">
        <f>F556/F553</f>
        <v>0</v>
      </c>
      <c r="H556" s="53"/>
    </row>
    <row r="575" spans="1:7">
      <c r="A575" s="453" t="s">
        <v>351</v>
      </c>
      <c r="B575" s="453"/>
      <c r="C575" s="453"/>
      <c r="D575" s="453"/>
      <c r="E575" s="453"/>
      <c r="F575" s="453"/>
      <c r="G575" s="453"/>
    </row>
    <row r="576" spans="1:7">
      <c r="A576" s="5" t="s">
        <v>4</v>
      </c>
      <c r="B576" s="105" t="s">
        <v>45</v>
      </c>
      <c r="C576" s="6" t="s">
        <v>5</v>
      </c>
      <c r="D576" s="6" t="s">
        <v>6</v>
      </c>
      <c r="E576" s="6" t="s">
        <v>7</v>
      </c>
      <c r="F576" s="6" t="s">
        <v>8</v>
      </c>
      <c r="G576" s="6" t="s">
        <v>9</v>
      </c>
    </row>
    <row r="577" spans="1:7" hidden="1">
      <c r="A577" s="6" t="s">
        <v>173</v>
      </c>
      <c r="B577" s="117"/>
      <c r="C577" s="6"/>
      <c r="D577" s="6"/>
      <c r="E577" s="6"/>
      <c r="F577" s="6"/>
      <c r="G577" s="6"/>
    </row>
    <row r="578" spans="1:7" hidden="1">
      <c r="A578" s="6" t="s">
        <v>113</v>
      </c>
      <c r="B578" s="117"/>
      <c r="C578" s="6"/>
      <c r="D578" s="7"/>
      <c r="E578" s="7"/>
      <c r="F578" s="7"/>
      <c r="G578" s="7"/>
    </row>
    <row r="579" spans="1:7" hidden="1">
      <c r="A579" s="6" t="s">
        <v>113</v>
      </c>
      <c r="C579" s="6"/>
      <c r="D579" s="7"/>
      <c r="E579" s="7"/>
      <c r="F579" s="7"/>
      <c r="G579" s="7"/>
    </row>
    <row r="580" spans="1:7">
      <c r="A580" s="88" t="s">
        <v>114</v>
      </c>
      <c r="B580" s="268"/>
      <c r="C580" s="88">
        <v>10.5</v>
      </c>
      <c r="D580" s="269">
        <f>C580/C$630*D$630</f>
        <v>16110.87394736842</v>
      </c>
      <c r="E580" s="269">
        <f>C580/C$630*E$630</f>
        <v>26568.882488038278</v>
      </c>
      <c r="F580" s="269">
        <f>C580/C$630*H$630</f>
        <v>11165.512428229666</v>
      </c>
      <c r="G580" s="269">
        <f>SUM(D580:F580)</f>
        <v>53845.268863636367</v>
      </c>
    </row>
    <row r="581" spans="1:7" hidden="1">
      <c r="A581" s="6" t="s">
        <v>115</v>
      </c>
      <c r="B581" s="117"/>
      <c r="C581" s="6"/>
      <c r="D581" s="7">
        <f t="shared" ref="D581:D626" si="27">C581/C$630*D$630</f>
        <v>0</v>
      </c>
      <c r="E581" s="7">
        <f t="shared" ref="E581:E626" si="28">C581/C$630*E$630</f>
        <v>0</v>
      </c>
      <c r="F581" s="7">
        <f t="shared" ref="F581:F626" si="29">C581/C$630*H$630</f>
        <v>0</v>
      </c>
      <c r="G581" s="7">
        <f t="shared" ref="G581:G626" si="30">SUM(D581:F581)</f>
        <v>0</v>
      </c>
    </row>
    <row r="582" spans="1:7">
      <c r="A582" s="6" t="s">
        <v>186</v>
      </c>
      <c r="B582" s="117">
        <v>182.77699999999999</v>
      </c>
      <c r="C582" s="6">
        <v>47.5</v>
      </c>
      <c r="D582" s="267">
        <f t="shared" si="27"/>
        <v>72882.524999999994</v>
      </c>
      <c r="E582" s="267">
        <f t="shared" si="28"/>
        <v>120192.56363636364</v>
      </c>
      <c r="F582" s="267">
        <f t="shared" si="29"/>
        <v>50510.651461038957</v>
      </c>
      <c r="G582" s="7">
        <f t="shared" si="30"/>
        <v>243585.74009740259</v>
      </c>
    </row>
    <row r="583" spans="1:7" hidden="1">
      <c r="A583" s="6" t="s">
        <v>116</v>
      </c>
      <c r="B583" s="117"/>
      <c r="C583" s="6"/>
      <c r="D583" s="7">
        <f t="shared" si="27"/>
        <v>0</v>
      </c>
      <c r="E583" s="7">
        <f t="shared" si="28"/>
        <v>0</v>
      </c>
      <c r="F583" s="7">
        <f t="shared" si="29"/>
        <v>0</v>
      </c>
      <c r="G583" s="7">
        <f t="shared" si="30"/>
        <v>0</v>
      </c>
    </row>
    <row r="584" spans="1:7" hidden="1">
      <c r="A584" s="6" t="s">
        <v>181</v>
      </c>
      <c r="B584" s="117"/>
      <c r="C584" s="6"/>
      <c r="D584" s="7">
        <f t="shared" si="27"/>
        <v>0</v>
      </c>
      <c r="E584" s="7">
        <f t="shared" si="28"/>
        <v>0</v>
      </c>
      <c r="F584" s="7">
        <f t="shared" si="29"/>
        <v>0</v>
      </c>
      <c r="G584" s="7">
        <f t="shared" si="30"/>
        <v>0</v>
      </c>
    </row>
    <row r="585" spans="1:7" hidden="1">
      <c r="A585" s="6" t="s">
        <v>182</v>
      </c>
      <c r="B585" s="117"/>
      <c r="C585" s="6"/>
      <c r="D585" s="7">
        <f t="shared" si="27"/>
        <v>0</v>
      </c>
      <c r="E585" s="7">
        <f t="shared" si="28"/>
        <v>0</v>
      </c>
      <c r="F585" s="7">
        <f t="shared" si="29"/>
        <v>0</v>
      </c>
      <c r="G585" s="7">
        <f t="shared" si="30"/>
        <v>0</v>
      </c>
    </row>
    <row r="586" spans="1:7" hidden="1">
      <c r="A586" s="6" t="s">
        <v>183</v>
      </c>
      <c r="B586" s="117"/>
      <c r="C586" s="6"/>
      <c r="D586" s="7">
        <f t="shared" si="27"/>
        <v>0</v>
      </c>
      <c r="E586" s="7">
        <f t="shared" si="28"/>
        <v>0</v>
      </c>
      <c r="F586" s="7">
        <f t="shared" si="29"/>
        <v>0</v>
      </c>
      <c r="G586" s="7">
        <f t="shared" si="30"/>
        <v>0</v>
      </c>
    </row>
    <row r="587" spans="1:7" hidden="1">
      <c r="A587" s="6" t="s">
        <v>117</v>
      </c>
      <c r="B587" s="117"/>
      <c r="C587" s="6"/>
      <c r="D587" s="7">
        <f t="shared" si="27"/>
        <v>0</v>
      </c>
      <c r="E587" s="7">
        <f t="shared" si="28"/>
        <v>0</v>
      </c>
      <c r="F587" s="7">
        <f t="shared" si="29"/>
        <v>0</v>
      </c>
      <c r="G587" s="7">
        <f t="shared" si="30"/>
        <v>0</v>
      </c>
    </row>
    <row r="588" spans="1:7" hidden="1">
      <c r="A588" s="6" t="s">
        <v>118</v>
      </c>
      <c r="B588" s="117"/>
      <c r="C588" s="6"/>
      <c r="D588" s="7">
        <f t="shared" si="27"/>
        <v>0</v>
      </c>
      <c r="E588" s="7">
        <f t="shared" si="28"/>
        <v>0</v>
      </c>
      <c r="F588" s="7">
        <f t="shared" si="29"/>
        <v>0</v>
      </c>
      <c r="G588" s="7">
        <f t="shared" si="30"/>
        <v>0</v>
      </c>
    </row>
    <row r="589" spans="1:7" hidden="1">
      <c r="A589" s="6" t="s">
        <v>118</v>
      </c>
      <c r="B589" s="117"/>
      <c r="C589" s="6"/>
      <c r="D589" s="7">
        <f t="shared" si="27"/>
        <v>0</v>
      </c>
      <c r="E589" s="7">
        <f t="shared" si="28"/>
        <v>0</v>
      </c>
      <c r="F589" s="7">
        <f t="shared" si="29"/>
        <v>0</v>
      </c>
      <c r="G589" s="7">
        <f t="shared" si="30"/>
        <v>0</v>
      </c>
    </row>
    <row r="590" spans="1:7">
      <c r="A590" s="6" t="s">
        <v>119</v>
      </c>
      <c r="B590" s="117">
        <v>90.296999999999997</v>
      </c>
      <c r="C590" s="6">
        <v>19</v>
      </c>
      <c r="D590" s="267">
        <f t="shared" si="27"/>
        <v>29153.01</v>
      </c>
      <c r="E590" s="267">
        <f t="shared" si="28"/>
        <v>48077.025454545459</v>
      </c>
      <c r="F590" s="267">
        <f t="shared" si="29"/>
        <v>20204.260584415584</v>
      </c>
      <c r="G590" s="7">
        <f t="shared" si="30"/>
        <v>97434.296038961038</v>
      </c>
    </row>
    <row r="591" spans="1:7" hidden="1">
      <c r="A591" s="6" t="s">
        <v>152</v>
      </c>
      <c r="B591" s="117"/>
      <c r="C591" s="6"/>
      <c r="D591" s="7">
        <f t="shared" si="27"/>
        <v>0</v>
      </c>
      <c r="E591" s="7">
        <f t="shared" si="28"/>
        <v>0</v>
      </c>
      <c r="F591" s="7">
        <f t="shared" si="29"/>
        <v>0</v>
      </c>
      <c r="G591" s="7">
        <f t="shared" si="30"/>
        <v>0</v>
      </c>
    </row>
    <row r="592" spans="1:7">
      <c r="A592" s="6" t="s">
        <v>187</v>
      </c>
      <c r="B592" s="117">
        <v>43.344999999999999</v>
      </c>
      <c r="C592" s="6">
        <v>0</v>
      </c>
      <c r="D592" s="267">
        <f t="shared" si="27"/>
        <v>0</v>
      </c>
      <c r="E592" s="267">
        <f t="shared" si="28"/>
        <v>0</v>
      </c>
      <c r="F592" s="267">
        <f t="shared" si="29"/>
        <v>0</v>
      </c>
      <c r="G592" s="7">
        <f t="shared" si="30"/>
        <v>0</v>
      </c>
    </row>
    <row r="593" spans="1:7" hidden="1">
      <c r="A593" s="6" t="s">
        <v>153</v>
      </c>
      <c r="B593" s="117"/>
      <c r="C593" s="6"/>
      <c r="D593" s="267">
        <f t="shared" si="27"/>
        <v>0</v>
      </c>
      <c r="E593" s="267">
        <f t="shared" si="28"/>
        <v>0</v>
      </c>
      <c r="F593" s="267">
        <f t="shared" si="29"/>
        <v>0</v>
      </c>
      <c r="G593" s="7">
        <f t="shared" si="30"/>
        <v>0</v>
      </c>
    </row>
    <row r="594" spans="1:7">
      <c r="A594" s="6" t="s">
        <v>154</v>
      </c>
      <c r="B594" s="117">
        <v>131.303</v>
      </c>
      <c r="C594" s="6">
        <v>0</v>
      </c>
      <c r="D594" s="267">
        <f t="shared" si="27"/>
        <v>0</v>
      </c>
      <c r="E594" s="267">
        <f t="shared" si="28"/>
        <v>0</v>
      </c>
      <c r="F594" s="267">
        <f t="shared" si="29"/>
        <v>0</v>
      </c>
      <c r="G594" s="7">
        <f t="shared" si="30"/>
        <v>0</v>
      </c>
    </row>
    <row r="595" spans="1:7">
      <c r="A595" s="78" t="s">
        <v>155</v>
      </c>
      <c r="B595" s="127">
        <v>46.372</v>
      </c>
      <c r="C595" s="6">
        <v>10.5</v>
      </c>
      <c r="D595" s="267">
        <f t="shared" si="27"/>
        <v>16110.87394736842</v>
      </c>
      <c r="E595" s="267">
        <f t="shared" si="28"/>
        <v>26568.882488038278</v>
      </c>
      <c r="F595" s="267">
        <f t="shared" si="29"/>
        <v>11165.512428229666</v>
      </c>
      <c r="G595" s="7">
        <f t="shared" si="30"/>
        <v>53845.268863636367</v>
      </c>
    </row>
    <row r="596" spans="1:7">
      <c r="A596" s="405" t="s">
        <v>155</v>
      </c>
      <c r="B596" s="406"/>
      <c r="C596" s="272">
        <v>10.5</v>
      </c>
      <c r="D596" s="269">
        <f t="shared" si="27"/>
        <v>16110.87394736842</v>
      </c>
      <c r="E596" s="269">
        <f t="shared" si="28"/>
        <v>26568.882488038278</v>
      </c>
      <c r="F596" s="269">
        <f t="shared" si="29"/>
        <v>11165.512428229666</v>
      </c>
      <c r="G596" s="269">
        <f t="shared" si="30"/>
        <v>53845.268863636367</v>
      </c>
    </row>
    <row r="597" spans="1:7">
      <c r="A597" s="78" t="s">
        <v>156</v>
      </c>
      <c r="B597" s="127">
        <v>139.803</v>
      </c>
      <c r="C597" s="52">
        <v>30.5</v>
      </c>
      <c r="D597" s="267">
        <f t="shared" si="27"/>
        <v>46798.252894736841</v>
      </c>
      <c r="E597" s="267">
        <f t="shared" si="28"/>
        <v>77176.277703349289</v>
      </c>
      <c r="F597" s="267">
        <f t="shared" si="29"/>
        <v>32433.155148667127</v>
      </c>
      <c r="G597" s="7">
        <f t="shared" si="30"/>
        <v>156407.68574675327</v>
      </c>
    </row>
    <row r="598" spans="1:7" hidden="1">
      <c r="A598" s="78" t="s">
        <v>156</v>
      </c>
      <c r="B598" s="109"/>
      <c r="C598" s="6"/>
      <c r="D598" s="7">
        <f t="shared" si="27"/>
        <v>0</v>
      </c>
      <c r="E598" s="7">
        <f t="shared" si="28"/>
        <v>0</v>
      </c>
      <c r="F598" s="7">
        <f t="shared" si="29"/>
        <v>0</v>
      </c>
      <c r="G598" s="7">
        <f t="shared" si="30"/>
        <v>0</v>
      </c>
    </row>
    <row r="599" spans="1:7">
      <c r="A599" s="405" t="s">
        <v>165</v>
      </c>
      <c r="B599" s="271"/>
      <c r="C599" s="88">
        <v>10.5</v>
      </c>
      <c r="D599" s="269">
        <f t="shared" si="27"/>
        <v>16110.87394736842</v>
      </c>
      <c r="E599" s="269">
        <f t="shared" si="28"/>
        <v>26568.882488038278</v>
      </c>
      <c r="F599" s="269">
        <f t="shared" si="29"/>
        <v>11165.512428229666</v>
      </c>
      <c r="G599" s="269">
        <f t="shared" si="30"/>
        <v>53845.268863636367</v>
      </c>
    </row>
    <row r="600" spans="1:7" hidden="1">
      <c r="A600" s="78" t="s">
        <v>210</v>
      </c>
      <c r="B600" s="109"/>
      <c r="C600" s="6"/>
      <c r="D600" s="7">
        <f t="shared" si="27"/>
        <v>0</v>
      </c>
      <c r="E600" s="7">
        <f t="shared" si="28"/>
        <v>0</v>
      </c>
      <c r="F600" s="7">
        <f t="shared" si="29"/>
        <v>0</v>
      </c>
      <c r="G600" s="7">
        <f t="shared" si="30"/>
        <v>0</v>
      </c>
    </row>
    <row r="601" spans="1:7" hidden="1">
      <c r="A601" s="78" t="s">
        <v>191</v>
      </c>
      <c r="B601" s="109"/>
      <c r="C601" s="6"/>
      <c r="D601" s="7">
        <f t="shared" si="27"/>
        <v>0</v>
      </c>
      <c r="E601" s="7">
        <f t="shared" si="28"/>
        <v>0</v>
      </c>
      <c r="F601" s="7">
        <f t="shared" si="29"/>
        <v>0</v>
      </c>
      <c r="G601" s="7">
        <f t="shared" si="30"/>
        <v>0</v>
      </c>
    </row>
    <row r="602" spans="1:7" hidden="1">
      <c r="A602" s="78" t="s">
        <v>157</v>
      </c>
      <c r="B602" s="109"/>
      <c r="C602" s="6"/>
      <c r="D602" s="7">
        <f t="shared" si="27"/>
        <v>0</v>
      </c>
      <c r="E602" s="7">
        <f t="shared" si="28"/>
        <v>0</v>
      </c>
      <c r="F602" s="7">
        <f t="shared" si="29"/>
        <v>0</v>
      </c>
      <c r="G602" s="7">
        <f t="shared" si="30"/>
        <v>0</v>
      </c>
    </row>
    <row r="603" spans="1:7">
      <c r="A603" s="78" t="s">
        <v>166</v>
      </c>
      <c r="B603" s="109">
        <v>8.6829999999999998</v>
      </c>
      <c r="C603" s="6">
        <v>2.5</v>
      </c>
      <c r="D603" s="267">
        <f t="shared" si="27"/>
        <v>3835.9223684210524</v>
      </c>
      <c r="E603" s="267">
        <f t="shared" si="28"/>
        <v>6325.924401913876</v>
      </c>
      <c r="F603" s="267">
        <f t="shared" si="29"/>
        <v>2658.455340054682</v>
      </c>
      <c r="G603" s="7">
        <f t="shared" si="30"/>
        <v>12820.30211038961</v>
      </c>
    </row>
    <row r="604" spans="1:7">
      <c r="A604" s="78" t="s">
        <v>120</v>
      </c>
      <c r="B604" s="109">
        <v>37.442</v>
      </c>
      <c r="C604" s="6">
        <v>8</v>
      </c>
      <c r="D604" s="267">
        <f t="shared" si="27"/>
        <v>12274.951578947368</v>
      </c>
      <c r="E604" s="267">
        <f t="shared" si="28"/>
        <v>20242.958086124403</v>
      </c>
      <c r="F604" s="267">
        <f t="shared" si="29"/>
        <v>8507.0570881749827</v>
      </c>
      <c r="G604" s="7">
        <f t="shared" si="30"/>
        <v>41024.96675324675</v>
      </c>
    </row>
    <row r="605" spans="1:7" hidden="1">
      <c r="A605" s="78" t="s">
        <v>192</v>
      </c>
      <c r="B605" s="109"/>
      <c r="C605" s="6"/>
      <c r="D605" s="7">
        <f t="shared" si="27"/>
        <v>0</v>
      </c>
      <c r="E605" s="7">
        <f t="shared" si="28"/>
        <v>0</v>
      </c>
      <c r="F605" s="7">
        <f t="shared" si="29"/>
        <v>0</v>
      </c>
      <c r="G605" s="7">
        <f t="shared" si="30"/>
        <v>0</v>
      </c>
    </row>
    <row r="606" spans="1:7" hidden="1">
      <c r="A606" s="78" t="s">
        <v>193</v>
      </c>
      <c r="B606" s="109"/>
      <c r="C606" s="6"/>
      <c r="D606" s="7">
        <f t="shared" si="27"/>
        <v>0</v>
      </c>
      <c r="E606" s="7">
        <f t="shared" si="28"/>
        <v>0</v>
      </c>
      <c r="F606" s="7">
        <f t="shared" si="29"/>
        <v>0</v>
      </c>
      <c r="G606" s="7">
        <f t="shared" si="30"/>
        <v>0</v>
      </c>
    </row>
    <row r="607" spans="1:7" hidden="1">
      <c r="A607" s="78" t="s">
        <v>158</v>
      </c>
      <c r="B607" s="109"/>
      <c r="C607" s="6"/>
      <c r="D607" s="7">
        <f t="shared" si="27"/>
        <v>0</v>
      </c>
      <c r="E607" s="7">
        <f t="shared" si="28"/>
        <v>0</v>
      </c>
      <c r="F607" s="7">
        <f t="shared" si="29"/>
        <v>0</v>
      </c>
      <c r="G607" s="7">
        <f t="shared" si="30"/>
        <v>0</v>
      </c>
    </row>
    <row r="608" spans="1:7" hidden="1">
      <c r="A608" s="78" t="s">
        <v>159</v>
      </c>
      <c r="B608" s="109"/>
      <c r="C608" s="6"/>
      <c r="D608" s="7">
        <f t="shared" si="27"/>
        <v>0</v>
      </c>
      <c r="E608" s="7">
        <f t="shared" si="28"/>
        <v>0</v>
      </c>
      <c r="F608" s="7">
        <f t="shared" si="29"/>
        <v>0</v>
      </c>
      <c r="G608" s="7">
        <f t="shared" si="30"/>
        <v>0</v>
      </c>
    </row>
    <row r="609" spans="1:7" hidden="1">
      <c r="A609" s="78" t="s">
        <v>160</v>
      </c>
      <c r="B609" s="109"/>
      <c r="C609" s="6"/>
      <c r="D609" s="7">
        <f t="shared" si="27"/>
        <v>0</v>
      </c>
      <c r="E609" s="7">
        <f t="shared" si="28"/>
        <v>0</v>
      </c>
      <c r="F609" s="7">
        <f t="shared" si="29"/>
        <v>0</v>
      </c>
      <c r="G609" s="7">
        <f t="shared" si="30"/>
        <v>0</v>
      </c>
    </row>
    <row r="610" spans="1:7" hidden="1">
      <c r="A610" s="78" t="s">
        <v>174</v>
      </c>
      <c r="B610" s="109"/>
      <c r="C610" s="6"/>
      <c r="D610" s="7">
        <f t="shared" si="27"/>
        <v>0</v>
      </c>
      <c r="E610" s="7">
        <f t="shared" si="28"/>
        <v>0</v>
      </c>
      <c r="F610" s="7">
        <f t="shared" si="29"/>
        <v>0</v>
      </c>
      <c r="G610" s="7">
        <f t="shared" si="30"/>
        <v>0</v>
      </c>
    </row>
    <row r="611" spans="1:7" hidden="1">
      <c r="A611" s="78" t="s">
        <v>161</v>
      </c>
      <c r="B611" s="109"/>
      <c r="C611" s="6"/>
      <c r="D611" s="7">
        <f t="shared" si="27"/>
        <v>0</v>
      </c>
      <c r="E611" s="7">
        <f t="shared" si="28"/>
        <v>0</v>
      </c>
      <c r="F611" s="7">
        <f t="shared" si="29"/>
        <v>0</v>
      </c>
      <c r="G611" s="7">
        <f t="shared" si="30"/>
        <v>0</v>
      </c>
    </row>
    <row r="612" spans="1:7" hidden="1">
      <c r="A612" s="78" t="s">
        <v>162</v>
      </c>
      <c r="B612" s="109"/>
      <c r="C612" s="8"/>
      <c r="D612" s="7">
        <f t="shared" si="27"/>
        <v>0</v>
      </c>
      <c r="E612" s="7">
        <f t="shared" si="28"/>
        <v>0</v>
      </c>
      <c r="F612" s="7">
        <f t="shared" si="29"/>
        <v>0</v>
      </c>
      <c r="G612" s="7">
        <f t="shared" si="30"/>
        <v>0</v>
      </c>
    </row>
    <row r="613" spans="1:7" hidden="1">
      <c r="A613" s="78" t="s">
        <v>194</v>
      </c>
      <c r="B613" s="109"/>
      <c r="C613" s="8"/>
      <c r="D613" s="7">
        <f t="shared" si="27"/>
        <v>0</v>
      </c>
      <c r="E613" s="7">
        <f t="shared" si="28"/>
        <v>0</v>
      </c>
      <c r="F613" s="7">
        <f t="shared" si="29"/>
        <v>0</v>
      </c>
      <c r="G613" s="7">
        <f t="shared" si="30"/>
        <v>0</v>
      </c>
    </row>
    <row r="614" spans="1:7">
      <c r="A614" s="78" t="s">
        <v>208</v>
      </c>
      <c r="B614" s="109">
        <v>134.04400000000001</v>
      </c>
      <c r="C614" s="8">
        <v>29</v>
      </c>
      <c r="D614" s="267">
        <f t="shared" si="27"/>
        <v>44496.69947368421</v>
      </c>
      <c r="E614" s="267">
        <f t="shared" si="28"/>
        <v>73380.723062200967</v>
      </c>
      <c r="F614" s="267">
        <f t="shared" si="29"/>
        <v>30838.081944634316</v>
      </c>
      <c r="G614" s="7">
        <f t="shared" si="30"/>
        <v>148715.50448051951</v>
      </c>
    </row>
    <row r="615" spans="1:7" hidden="1">
      <c r="A615" s="78" t="s">
        <v>175</v>
      </c>
      <c r="B615" s="109"/>
      <c r="C615" s="8"/>
      <c r="D615" s="7">
        <f t="shared" si="27"/>
        <v>0</v>
      </c>
      <c r="E615" s="7">
        <f t="shared" si="28"/>
        <v>0</v>
      </c>
      <c r="F615" s="7">
        <f t="shared" si="29"/>
        <v>0</v>
      </c>
      <c r="G615" s="7">
        <f t="shared" si="30"/>
        <v>0</v>
      </c>
    </row>
    <row r="616" spans="1:7" hidden="1">
      <c r="A616" s="78" t="s">
        <v>176</v>
      </c>
      <c r="B616" s="109"/>
      <c r="C616" s="8"/>
      <c r="D616" s="7">
        <f t="shared" si="27"/>
        <v>0</v>
      </c>
      <c r="E616" s="7">
        <f t="shared" si="28"/>
        <v>0</v>
      </c>
      <c r="F616" s="7">
        <f t="shared" si="29"/>
        <v>0</v>
      </c>
      <c r="G616" s="7">
        <f t="shared" si="30"/>
        <v>0</v>
      </c>
    </row>
    <row r="617" spans="1:7" hidden="1">
      <c r="A617" s="78" t="s">
        <v>195</v>
      </c>
      <c r="B617" s="109"/>
      <c r="C617" s="8"/>
      <c r="D617" s="7">
        <f t="shared" si="27"/>
        <v>0</v>
      </c>
      <c r="E617" s="7">
        <f t="shared" si="28"/>
        <v>0</v>
      </c>
      <c r="F617" s="7">
        <f t="shared" si="29"/>
        <v>0</v>
      </c>
      <c r="G617" s="7">
        <f t="shared" si="30"/>
        <v>0</v>
      </c>
    </row>
    <row r="618" spans="1:7" hidden="1">
      <c r="A618" s="78" t="s">
        <v>121</v>
      </c>
      <c r="B618" s="100"/>
      <c r="C618" s="8"/>
      <c r="D618" s="7">
        <f t="shared" si="27"/>
        <v>0</v>
      </c>
      <c r="E618" s="7">
        <f t="shared" si="28"/>
        <v>0</v>
      </c>
      <c r="F618" s="7">
        <f t="shared" si="29"/>
        <v>0</v>
      </c>
      <c r="G618" s="7">
        <f t="shared" si="30"/>
        <v>0</v>
      </c>
    </row>
    <row r="619" spans="1:7" hidden="1">
      <c r="A619" s="78" t="s">
        <v>196</v>
      </c>
      <c r="B619" s="100"/>
      <c r="C619" s="8"/>
      <c r="D619" s="7">
        <f t="shared" si="27"/>
        <v>0</v>
      </c>
      <c r="E619" s="7">
        <f t="shared" si="28"/>
        <v>0</v>
      </c>
      <c r="F619" s="7">
        <f t="shared" si="29"/>
        <v>0</v>
      </c>
      <c r="G619" s="7">
        <f t="shared" si="30"/>
        <v>0</v>
      </c>
    </row>
    <row r="620" spans="1:7" hidden="1">
      <c r="A620" s="78" t="s">
        <v>122</v>
      </c>
      <c r="B620" s="109"/>
      <c r="C620" s="8"/>
      <c r="D620" s="7">
        <f t="shared" si="27"/>
        <v>0</v>
      </c>
      <c r="E620" s="7">
        <f t="shared" si="28"/>
        <v>0</v>
      </c>
      <c r="F620" s="7">
        <f t="shared" si="29"/>
        <v>0</v>
      </c>
      <c r="G620" s="7">
        <f t="shared" si="30"/>
        <v>0</v>
      </c>
    </row>
    <row r="621" spans="1:7">
      <c r="A621" s="78" t="s">
        <v>164</v>
      </c>
      <c r="B621" s="127">
        <v>90.778000000000006</v>
      </c>
      <c r="C621" s="52">
        <v>20.5</v>
      </c>
      <c r="D621" s="267">
        <f t="shared" si="27"/>
        <v>31454.56342105263</v>
      </c>
      <c r="E621" s="267">
        <f t="shared" si="28"/>
        <v>51872.580095693782</v>
      </c>
      <c r="F621" s="267">
        <f t="shared" si="29"/>
        <v>21799.333788448395</v>
      </c>
      <c r="G621" s="7">
        <f t="shared" si="30"/>
        <v>105126.4773051948</v>
      </c>
    </row>
    <row r="622" spans="1:7" hidden="1">
      <c r="A622" s="78" t="s">
        <v>76</v>
      </c>
      <c r="B622" s="109"/>
      <c r="C622" s="8"/>
      <c r="D622" s="7">
        <f t="shared" si="27"/>
        <v>0</v>
      </c>
      <c r="E622" s="7">
        <f t="shared" si="28"/>
        <v>0</v>
      </c>
      <c r="F622" s="7">
        <f t="shared" si="29"/>
        <v>0</v>
      </c>
      <c r="G622" s="7">
        <f t="shared" si="30"/>
        <v>0</v>
      </c>
    </row>
    <row r="623" spans="1:7" hidden="1">
      <c r="A623" s="78" t="s">
        <v>163</v>
      </c>
      <c r="B623" s="109"/>
      <c r="C623" s="8"/>
      <c r="D623" s="7">
        <f t="shared" si="27"/>
        <v>0</v>
      </c>
      <c r="E623" s="7">
        <f t="shared" si="28"/>
        <v>0</v>
      </c>
      <c r="F623" s="7">
        <f t="shared" si="29"/>
        <v>0</v>
      </c>
      <c r="G623" s="7">
        <f t="shared" si="30"/>
        <v>0</v>
      </c>
    </row>
    <row r="624" spans="1:7" hidden="1">
      <c r="A624" s="78" t="s">
        <v>163</v>
      </c>
      <c r="B624" s="109"/>
      <c r="C624" s="8"/>
      <c r="D624" s="7">
        <f t="shared" si="27"/>
        <v>0</v>
      </c>
      <c r="E624" s="7">
        <f t="shared" si="28"/>
        <v>0</v>
      </c>
      <c r="F624" s="7">
        <f t="shared" si="29"/>
        <v>0</v>
      </c>
      <c r="G624" s="7">
        <f t="shared" si="30"/>
        <v>0</v>
      </c>
    </row>
    <row r="625" spans="1:9" hidden="1">
      <c r="A625" s="78" t="s">
        <v>177</v>
      </c>
      <c r="B625" s="109"/>
      <c r="C625" s="8"/>
      <c r="D625" s="7">
        <f t="shared" si="27"/>
        <v>0</v>
      </c>
      <c r="E625" s="7">
        <f t="shared" si="28"/>
        <v>0</v>
      </c>
      <c r="F625" s="7">
        <f t="shared" si="29"/>
        <v>0</v>
      </c>
      <c r="G625" s="7">
        <f t="shared" si="30"/>
        <v>0</v>
      </c>
    </row>
    <row r="626" spans="1:9">
      <c r="A626" s="405" t="s">
        <v>209</v>
      </c>
      <c r="B626" s="271"/>
      <c r="C626" s="407">
        <v>10</v>
      </c>
      <c r="D626" s="269">
        <f t="shared" si="27"/>
        <v>15343.68947368421</v>
      </c>
      <c r="E626" s="269">
        <f t="shared" si="28"/>
        <v>25303.697607655504</v>
      </c>
      <c r="F626" s="269">
        <f t="shared" si="29"/>
        <v>10633.821360218728</v>
      </c>
      <c r="G626" s="269">
        <f t="shared" si="30"/>
        <v>51281.20844155844</v>
      </c>
      <c r="H626" s="254"/>
    </row>
    <row r="627" spans="1:9" hidden="1">
      <c r="A627" s="78" t="s">
        <v>178</v>
      </c>
      <c r="B627" s="127"/>
      <c r="C627" s="52"/>
      <c r="D627" s="6"/>
      <c r="E627" s="6"/>
      <c r="F627" s="6"/>
      <c r="G627" s="6"/>
    </row>
    <row r="628" spans="1:9" hidden="1">
      <c r="A628" s="78" t="s">
        <v>42</v>
      </c>
      <c r="B628" s="127"/>
      <c r="C628" s="52"/>
      <c r="D628" s="6"/>
      <c r="E628" s="6"/>
      <c r="F628" s="6"/>
      <c r="G628" s="6"/>
    </row>
    <row r="629" spans="1:9">
      <c r="A629" s="218" t="s">
        <v>315</v>
      </c>
      <c r="B629" s="127"/>
      <c r="C629" s="52"/>
      <c r="D629" s="7">
        <v>0</v>
      </c>
      <c r="E629" s="7">
        <v>0</v>
      </c>
      <c r="F629" s="7">
        <f>F631*5/28</f>
        <v>29782.45357142857</v>
      </c>
      <c r="G629" s="7">
        <f>SUM(D629:F629)</f>
        <v>29782.45357142857</v>
      </c>
      <c r="H629" s="261" t="s">
        <v>335</v>
      </c>
      <c r="I629" s="270" t="s">
        <v>340</v>
      </c>
    </row>
    <row r="630" spans="1:9">
      <c r="A630" s="10" t="s">
        <v>10</v>
      </c>
      <c r="B630" s="113"/>
      <c r="C630" s="10">
        <f>SUM(C580:C629)</f>
        <v>209</v>
      </c>
      <c r="D630" s="11">
        <f>320683.11</f>
        <v>320683.11</v>
      </c>
      <c r="E630" s="12">
        <f>88619.25+21228.25+319332.75+99667.03</f>
        <v>528847.28</v>
      </c>
      <c r="F630" s="12">
        <f>SUM(F631:F633)</f>
        <v>252029.32</v>
      </c>
      <c r="G630" s="12">
        <f>SUM(D630:F630)</f>
        <v>1101559.71</v>
      </c>
      <c r="H630" s="71">
        <f>F630-F629</f>
        <v>222246.86642857143</v>
      </c>
      <c r="I630" s="71">
        <f>F582+F590+F592+F594+F595+F597+F603+F604+F614+F621+F148+F150</f>
        <v>222993.10005450371</v>
      </c>
    </row>
    <row r="631" spans="1:9">
      <c r="A631" s="397" t="s">
        <v>378</v>
      </c>
      <c r="B631" s="122"/>
      <c r="C631" s="55"/>
      <c r="E631" s="77" t="s">
        <v>70</v>
      </c>
      <c r="F631" s="41">
        <v>166781.74</v>
      </c>
      <c r="G631" s="67">
        <f>F631/F630</f>
        <v>0.66175530688254836</v>
      </c>
      <c r="H631" s="71"/>
      <c r="I631" s="71">
        <f>G631*I630</f>
        <v>147566.8673592589</v>
      </c>
    </row>
    <row r="632" spans="1:9">
      <c r="A632" s="102"/>
      <c r="B632" s="123"/>
      <c r="C632" s="66"/>
      <c r="D632" s="66"/>
      <c r="E632" s="77" t="s">
        <v>72</v>
      </c>
      <c r="F632" s="68">
        <f>518.69+33393.19</f>
        <v>33911.880000000005</v>
      </c>
      <c r="G632" s="69">
        <f>F632/F630</f>
        <v>0.13455529697893881</v>
      </c>
      <c r="H632" s="71"/>
      <c r="I632" s="71">
        <f>G632*I630</f>
        <v>30004.902802087963</v>
      </c>
    </row>
    <row r="633" spans="1:9">
      <c r="A633" s="66"/>
      <c r="B633" s="123"/>
      <c r="C633" s="66"/>
      <c r="D633" s="66"/>
      <c r="E633" s="77" t="s">
        <v>71</v>
      </c>
      <c r="F633" s="68">
        <f>500+13504.28+846.15+3307.69+33177.58</f>
        <v>51335.7</v>
      </c>
      <c r="G633" s="69">
        <f>F633/F630</f>
        <v>0.20368939613851275</v>
      </c>
      <c r="H633" s="71"/>
      <c r="I633" s="71">
        <f>G633*I630</f>
        <v>45421.329893156813</v>
      </c>
    </row>
    <row r="634" spans="1:9">
      <c r="A634" s="66"/>
      <c r="B634" s="123"/>
      <c r="C634" s="66"/>
      <c r="D634" s="66"/>
      <c r="E634" s="77"/>
      <c r="F634" s="68"/>
      <c r="G634" s="69"/>
      <c r="H634" s="71"/>
    </row>
    <row r="635" spans="1:9">
      <c r="A635" s="66"/>
      <c r="B635" s="123"/>
      <c r="C635" s="66"/>
      <c r="D635" s="66"/>
      <c r="E635" s="77"/>
      <c r="F635" s="68"/>
      <c r="G635" s="69"/>
      <c r="H635" s="71"/>
    </row>
    <row r="636" spans="1:9">
      <c r="A636" s="66"/>
      <c r="B636" s="123"/>
      <c r="C636" s="66"/>
      <c r="D636" s="66"/>
      <c r="E636" s="77"/>
      <c r="F636" s="68"/>
      <c r="G636" s="69"/>
      <c r="H636" s="71"/>
    </row>
    <row r="637" spans="1:9">
      <c r="A637" s="66"/>
      <c r="B637" s="123"/>
      <c r="C637" s="66"/>
      <c r="D637" s="66"/>
      <c r="E637" s="77"/>
      <c r="F637" s="68"/>
      <c r="G637" s="69"/>
      <c r="H637" s="71"/>
    </row>
    <row r="638" spans="1:9">
      <c r="A638" s="66"/>
      <c r="B638" s="123"/>
      <c r="C638" s="66"/>
      <c r="D638" s="66"/>
      <c r="E638" s="77"/>
      <c r="F638" s="68"/>
      <c r="G638" s="69"/>
      <c r="H638" s="71"/>
    </row>
    <row r="639" spans="1:9">
      <c r="A639" s="66"/>
      <c r="B639" s="123"/>
      <c r="C639" s="66"/>
      <c r="D639" s="66"/>
      <c r="E639" s="77"/>
      <c r="F639" s="68"/>
      <c r="G639" s="69"/>
      <c r="H639" s="71"/>
    </row>
    <row r="640" spans="1:9">
      <c r="A640" s="66"/>
      <c r="B640" s="123"/>
      <c r="C640" s="66"/>
      <c r="D640" s="66"/>
      <c r="E640" s="77"/>
      <c r="F640" s="68"/>
      <c r="G640" s="69"/>
      <c r="H640" s="71"/>
    </row>
    <row r="641" spans="1:8">
      <c r="A641" s="66"/>
      <c r="B641" s="123"/>
      <c r="C641" s="66"/>
      <c r="D641" s="66"/>
      <c r="E641" s="77"/>
      <c r="F641" s="68"/>
      <c r="G641" s="69"/>
      <c r="H641" s="71"/>
    </row>
    <row r="642" spans="1:8">
      <c r="A642" s="66"/>
      <c r="B642" s="123"/>
      <c r="C642" s="66"/>
      <c r="D642" s="66"/>
      <c r="E642" s="77"/>
      <c r="F642" s="68"/>
      <c r="G642" s="69"/>
      <c r="H642" s="71"/>
    </row>
    <row r="643" spans="1:8">
      <c r="A643" s="66"/>
      <c r="B643" s="123"/>
      <c r="C643" s="66"/>
      <c r="D643" s="66"/>
      <c r="E643" s="77"/>
      <c r="F643" s="68"/>
      <c r="G643" s="69"/>
      <c r="H643" s="71"/>
    </row>
    <row r="644" spans="1:8">
      <c r="A644" s="66"/>
      <c r="B644" s="123"/>
      <c r="C644" s="66"/>
      <c r="D644" s="66"/>
      <c r="E644" s="77"/>
      <c r="F644" s="68"/>
      <c r="G644" s="69"/>
      <c r="H644" s="71"/>
    </row>
    <row r="645" spans="1:8">
      <c r="A645" s="66"/>
      <c r="B645" s="123"/>
      <c r="C645" s="66"/>
      <c r="D645" s="66"/>
      <c r="E645" s="77"/>
      <c r="F645" s="68"/>
      <c r="G645" s="69"/>
      <c r="H645" s="71"/>
    </row>
    <row r="646" spans="1:8">
      <c r="A646" s="66"/>
      <c r="B646" s="123"/>
      <c r="C646" s="66"/>
      <c r="D646" s="66"/>
      <c r="E646" s="77"/>
      <c r="F646" s="68"/>
      <c r="G646" s="69"/>
      <c r="H646" s="71"/>
    </row>
    <row r="647" spans="1:8">
      <c r="A647" s="66"/>
      <c r="B647" s="123"/>
      <c r="C647" s="66"/>
      <c r="D647" s="66"/>
      <c r="E647" s="77"/>
      <c r="F647" s="68"/>
      <c r="G647" s="69"/>
      <c r="H647" s="71"/>
    </row>
    <row r="648" spans="1:8">
      <c r="A648" s="66"/>
      <c r="B648" s="123"/>
      <c r="C648" s="66"/>
      <c r="D648" s="66"/>
      <c r="E648" s="77"/>
      <c r="F648" s="68"/>
      <c r="G648" s="69"/>
      <c r="H648" s="71"/>
    </row>
    <row r="649" spans="1:8">
      <c r="A649" s="66"/>
      <c r="B649" s="123"/>
      <c r="C649" s="66"/>
      <c r="D649" s="66"/>
      <c r="E649" s="77"/>
      <c r="F649" s="68"/>
      <c r="G649" s="69"/>
      <c r="H649" s="71"/>
    </row>
    <row r="650" spans="1:8">
      <c r="A650" s="66"/>
      <c r="B650" s="123"/>
      <c r="C650" s="66"/>
      <c r="D650" s="66"/>
      <c r="E650" s="77"/>
      <c r="F650" s="68"/>
      <c r="G650" s="69"/>
      <c r="H650" s="71"/>
    </row>
    <row r="651" spans="1:8">
      <c r="A651" s="66"/>
      <c r="B651" s="123"/>
      <c r="C651" s="66"/>
      <c r="D651" s="66"/>
      <c r="E651" s="77"/>
      <c r="F651" s="68"/>
      <c r="G651" s="69"/>
      <c r="H651" s="71"/>
    </row>
    <row r="652" spans="1:8">
      <c r="A652" s="66"/>
      <c r="B652" s="123"/>
      <c r="C652" s="66"/>
      <c r="D652" s="66"/>
      <c r="E652" s="77"/>
      <c r="F652" s="68"/>
      <c r="G652" s="69"/>
      <c r="H652" s="71"/>
    </row>
    <row r="653" spans="1:8">
      <c r="A653" s="66"/>
      <c r="B653" s="123"/>
      <c r="C653" s="66"/>
      <c r="D653" s="66"/>
      <c r="E653" s="77"/>
      <c r="F653" s="68"/>
      <c r="G653" s="69"/>
      <c r="H653" s="71"/>
    </row>
    <row r="654" spans="1:8">
      <c r="A654" s="66"/>
      <c r="B654" s="123"/>
      <c r="C654" s="66"/>
      <c r="D654" s="66"/>
      <c r="E654" s="77"/>
      <c r="F654" s="68"/>
      <c r="G654" s="69"/>
      <c r="H654" s="71"/>
    </row>
    <row r="655" spans="1:8">
      <c r="A655" s="66"/>
      <c r="B655" s="123"/>
      <c r="C655" s="66"/>
      <c r="D655" s="66"/>
      <c r="E655" s="77"/>
      <c r="F655" s="68"/>
      <c r="G655" s="69"/>
      <c r="H655" s="71"/>
    </row>
    <row r="658" spans="1:7">
      <c r="A658" s="454" t="s">
        <v>352</v>
      </c>
      <c r="B658" s="455"/>
      <c r="C658" s="455"/>
      <c r="D658" s="455"/>
      <c r="E658" s="455"/>
      <c r="F658" s="455"/>
      <c r="G658" s="456"/>
    </row>
    <row r="659" spans="1:7">
      <c r="A659" s="5" t="s">
        <v>4</v>
      </c>
      <c r="B659" s="115" t="s">
        <v>45</v>
      </c>
      <c r="C659" s="50" t="s">
        <v>46</v>
      </c>
      <c r="D659" s="6" t="s">
        <v>47</v>
      </c>
      <c r="E659" s="6" t="s">
        <v>48</v>
      </c>
      <c r="F659" s="6" t="s">
        <v>49</v>
      </c>
      <c r="G659" s="6" t="s">
        <v>50</v>
      </c>
    </row>
    <row r="660" spans="1:7" hidden="1">
      <c r="A660" s="9" t="s">
        <v>60</v>
      </c>
      <c r="B660" s="109"/>
      <c r="C660" s="52"/>
      <c r="D660" s="7"/>
      <c r="E660" s="7"/>
      <c r="F660" s="7"/>
      <c r="G660" s="7"/>
    </row>
    <row r="661" spans="1:7" hidden="1">
      <c r="A661" s="9" t="s">
        <v>151</v>
      </c>
      <c r="B661" s="109"/>
      <c r="C661" s="52"/>
      <c r="D661" s="7"/>
      <c r="E661" s="7"/>
      <c r="F661" s="7"/>
      <c r="G661" s="7"/>
    </row>
    <row r="662" spans="1:7">
      <c r="A662" s="9" t="s">
        <v>123</v>
      </c>
      <c r="B662" s="109">
        <v>42.502000000000002</v>
      </c>
      <c r="C662" s="52">
        <v>10.5</v>
      </c>
      <c r="D662" s="267">
        <f>C662/C$713*D$713</f>
        <v>16094.587681159421</v>
      </c>
      <c r="E662" s="267">
        <f>C662/C$713*E$713</f>
        <v>26435.889057971017</v>
      </c>
      <c r="F662" s="267">
        <f>C662/C$713*H$713</f>
        <v>8249.0995652173915</v>
      </c>
      <c r="G662" s="7">
        <f>SUM(D662:F662)</f>
        <v>50779.576304347822</v>
      </c>
    </row>
    <row r="663" spans="1:7" hidden="1">
      <c r="A663" s="9" t="s">
        <v>138</v>
      </c>
      <c r="B663" s="109"/>
      <c r="C663" s="52"/>
      <c r="D663" s="7">
        <f t="shared" ref="D663:D704" si="31">C663/C$713*D$713</f>
        <v>0</v>
      </c>
      <c r="E663" s="7">
        <f t="shared" ref="E663:E704" si="32">C663/C$713*E$713</f>
        <v>0</v>
      </c>
      <c r="F663" s="7">
        <f t="shared" ref="F663:F704" si="33">C663/C$713*H$713</f>
        <v>0</v>
      </c>
      <c r="G663" s="7">
        <f t="shared" ref="G663:G704" si="34">SUM(D663:F663)</f>
        <v>0</v>
      </c>
    </row>
    <row r="664" spans="1:7" hidden="1">
      <c r="A664" s="9" t="s">
        <v>197</v>
      </c>
      <c r="B664" s="109"/>
      <c r="C664" s="52"/>
      <c r="D664" s="7">
        <f t="shared" si="31"/>
        <v>0</v>
      </c>
      <c r="E664" s="7">
        <f t="shared" si="32"/>
        <v>0</v>
      </c>
      <c r="F664" s="7">
        <f t="shared" si="33"/>
        <v>0</v>
      </c>
      <c r="G664" s="7">
        <f t="shared" si="34"/>
        <v>0</v>
      </c>
    </row>
    <row r="665" spans="1:7" hidden="1">
      <c r="A665" s="9" t="s">
        <v>61</v>
      </c>
      <c r="B665" s="109"/>
      <c r="C665" s="52"/>
      <c r="D665" s="7">
        <f t="shared" si="31"/>
        <v>0</v>
      </c>
      <c r="E665" s="7">
        <f t="shared" si="32"/>
        <v>0</v>
      </c>
      <c r="F665" s="7">
        <f t="shared" si="33"/>
        <v>0</v>
      </c>
      <c r="G665" s="7">
        <f t="shared" si="34"/>
        <v>0</v>
      </c>
    </row>
    <row r="666" spans="1:7">
      <c r="A666" s="9" t="s">
        <v>124</v>
      </c>
      <c r="B666" s="109">
        <v>76.994</v>
      </c>
      <c r="C666" s="52">
        <v>0</v>
      </c>
      <c r="D666" s="267">
        <f t="shared" si="31"/>
        <v>0</v>
      </c>
      <c r="E666" s="267">
        <f t="shared" si="32"/>
        <v>0</v>
      </c>
      <c r="F666" s="267">
        <f t="shared" si="33"/>
        <v>0</v>
      </c>
      <c r="G666" s="7">
        <f t="shared" si="34"/>
        <v>0</v>
      </c>
    </row>
    <row r="667" spans="1:7" hidden="1">
      <c r="A667" s="9" t="s">
        <v>124</v>
      </c>
      <c r="B667" s="109"/>
      <c r="C667" s="52"/>
      <c r="D667" s="7">
        <f t="shared" si="31"/>
        <v>0</v>
      </c>
      <c r="E667" s="7">
        <f t="shared" si="32"/>
        <v>0</v>
      </c>
      <c r="F667" s="7">
        <f t="shared" si="33"/>
        <v>0</v>
      </c>
      <c r="G667" s="7">
        <f t="shared" si="34"/>
        <v>0</v>
      </c>
    </row>
    <row r="668" spans="1:7" hidden="1">
      <c r="A668" s="9" t="s">
        <v>139</v>
      </c>
      <c r="B668" s="109"/>
      <c r="C668" s="52"/>
      <c r="D668" s="7">
        <f t="shared" si="31"/>
        <v>0</v>
      </c>
      <c r="E668" s="7">
        <f t="shared" si="32"/>
        <v>0</v>
      </c>
      <c r="F668" s="7">
        <f t="shared" si="33"/>
        <v>0</v>
      </c>
      <c r="G668" s="7">
        <f t="shared" si="34"/>
        <v>0</v>
      </c>
    </row>
    <row r="669" spans="1:7">
      <c r="A669" s="9" t="s">
        <v>171</v>
      </c>
      <c r="B669" s="109">
        <v>39.893000000000001</v>
      </c>
      <c r="C669" s="52">
        <v>10</v>
      </c>
      <c r="D669" s="267">
        <f t="shared" si="31"/>
        <v>15328.178743961353</v>
      </c>
      <c r="E669" s="267">
        <f t="shared" si="32"/>
        <v>25177.037198067635</v>
      </c>
      <c r="F669" s="267">
        <f t="shared" si="33"/>
        <v>7856.2853002070397</v>
      </c>
      <c r="G669" s="7">
        <f t="shared" si="34"/>
        <v>48361.501242236031</v>
      </c>
    </row>
    <row r="670" spans="1:7" hidden="1">
      <c r="A670" s="9" t="s">
        <v>184</v>
      </c>
      <c r="B670" s="109"/>
      <c r="C670" s="52"/>
      <c r="D670" s="7">
        <f t="shared" si="31"/>
        <v>0</v>
      </c>
      <c r="E670" s="7">
        <f t="shared" si="32"/>
        <v>0</v>
      </c>
      <c r="F670" s="7">
        <f t="shared" si="33"/>
        <v>0</v>
      </c>
      <c r="G670" s="7">
        <f t="shared" si="34"/>
        <v>0</v>
      </c>
    </row>
    <row r="671" spans="1:7" hidden="1">
      <c r="A671" s="9" t="s">
        <v>125</v>
      </c>
      <c r="B671" s="109"/>
      <c r="C671" s="52"/>
      <c r="D671" s="7">
        <f t="shared" si="31"/>
        <v>0</v>
      </c>
      <c r="E671" s="7">
        <f t="shared" si="32"/>
        <v>0</v>
      </c>
      <c r="F671" s="7">
        <f t="shared" si="33"/>
        <v>0</v>
      </c>
      <c r="G671" s="7">
        <f t="shared" si="34"/>
        <v>0</v>
      </c>
    </row>
    <row r="672" spans="1:7" hidden="1">
      <c r="A672" s="9" t="s">
        <v>140</v>
      </c>
      <c r="B672" s="109"/>
      <c r="C672" s="52"/>
      <c r="D672" s="7">
        <f t="shared" si="31"/>
        <v>0</v>
      </c>
      <c r="E672" s="7">
        <f t="shared" si="32"/>
        <v>0</v>
      </c>
      <c r="F672" s="7">
        <f t="shared" si="33"/>
        <v>0</v>
      </c>
      <c r="G672" s="7">
        <f t="shared" si="34"/>
        <v>0</v>
      </c>
    </row>
    <row r="673" spans="1:7" hidden="1">
      <c r="A673" s="9" t="s">
        <v>141</v>
      </c>
      <c r="B673" s="109"/>
      <c r="C673" s="52"/>
      <c r="D673" s="7">
        <f t="shared" si="31"/>
        <v>0</v>
      </c>
      <c r="E673" s="7">
        <f t="shared" si="32"/>
        <v>0</v>
      </c>
      <c r="F673" s="7">
        <f t="shared" si="33"/>
        <v>0</v>
      </c>
      <c r="G673" s="7">
        <f t="shared" si="34"/>
        <v>0</v>
      </c>
    </row>
    <row r="674" spans="1:7">
      <c r="A674" s="96" t="s">
        <v>211</v>
      </c>
      <c r="B674" s="271"/>
      <c r="C674" s="272">
        <v>3</v>
      </c>
      <c r="D674" s="269">
        <f t="shared" si="31"/>
        <v>4598.4536231884058</v>
      </c>
      <c r="E674" s="269">
        <f t="shared" si="32"/>
        <v>7553.1111594202903</v>
      </c>
      <c r="F674" s="269">
        <f t="shared" si="33"/>
        <v>2356.885590062112</v>
      </c>
      <c r="G674" s="269">
        <f t="shared" si="34"/>
        <v>14508.45037267081</v>
      </c>
    </row>
    <row r="675" spans="1:7" hidden="1">
      <c r="A675" s="9" t="s">
        <v>142</v>
      </c>
      <c r="B675" s="127"/>
      <c r="C675" s="8"/>
      <c r="D675" s="7">
        <f t="shared" si="31"/>
        <v>0</v>
      </c>
      <c r="E675" s="7">
        <f t="shared" si="32"/>
        <v>0</v>
      </c>
      <c r="F675" s="7">
        <f t="shared" si="33"/>
        <v>0</v>
      </c>
      <c r="G675" s="7">
        <f t="shared" si="34"/>
        <v>0</v>
      </c>
    </row>
    <row r="676" spans="1:7" hidden="1">
      <c r="A676" s="9" t="s">
        <v>126</v>
      </c>
      <c r="B676" s="109"/>
      <c r="C676" s="52"/>
      <c r="D676" s="7">
        <f t="shared" si="31"/>
        <v>0</v>
      </c>
      <c r="E676" s="7">
        <f t="shared" si="32"/>
        <v>0</v>
      </c>
      <c r="F676" s="7">
        <f t="shared" si="33"/>
        <v>0</v>
      </c>
      <c r="G676" s="7">
        <f t="shared" si="34"/>
        <v>0</v>
      </c>
    </row>
    <row r="677" spans="1:7" hidden="1">
      <c r="A677" s="9" t="s">
        <v>172</v>
      </c>
      <c r="B677" s="109"/>
      <c r="C677" s="52"/>
      <c r="D677" s="7">
        <f t="shared" si="31"/>
        <v>0</v>
      </c>
      <c r="E677" s="7">
        <f t="shared" si="32"/>
        <v>0</v>
      </c>
      <c r="F677" s="7">
        <f t="shared" si="33"/>
        <v>0</v>
      </c>
      <c r="G677" s="7">
        <f t="shared" si="34"/>
        <v>0</v>
      </c>
    </row>
    <row r="678" spans="1:7">
      <c r="A678" s="9" t="s">
        <v>127</v>
      </c>
      <c r="B678" s="109">
        <v>183.97399999999999</v>
      </c>
      <c r="C678" s="52">
        <v>16.5</v>
      </c>
      <c r="D678" s="267">
        <f t="shared" si="31"/>
        <v>25291.494927536231</v>
      </c>
      <c r="E678" s="267">
        <f t="shared" si="32"/>
        <v>41542.111376811597</v>
      </c>
      <c r="F678" s="267">
        <f t="shared" si="33"/>
        <v>12962.870745341614</v>
      </c>
      <c r="G678" s="7">
        <f t="shared" si="34"/>
        <v>79796.477049689449</v>
      </c>
    </row>
    <row r="679" spans="1:7" hidden="1">
      <c r="A679" s="9" t="s">
        <v>127</v>
      </c>
      <c r="B679" s="109"/>
      <c r="C679" s="52"/>
      <c r="D679" s="7">
        <f t="shared" si="31"/>
        <v>0</v>
      </c>
      <c r="E679" s="7">
        <f t="shared" si="32"/>
        <v>0</v>
      </c>
      <c r="F679" s="7">
        <f t="shared" si="33"/>
        <v>0</v>
      </c>
      <c r="G679" s="7">
        <f t="shared" si="34"/>
        <v>0</v>
      </c>
    </row>
    <row r="680" spans="1:7">
      <c r="A680" s="9" t="s">
        <v>212</v>
      </c>
      <c r="B680" s="109">
        <v>13.983000000000001</v>
      </c>
      <c r="C680" s="52">
        <v>3</v>
      </c>
      <c r="D680" s="267">
        <f t="shared" si="31"/>
        <v>4598.4536231884058</v>
      </c>
      <c r="E680" s="267">
        <f t="shared" si="32"/>
        <v>7553.1111594202903</v>
      </c>
      <c r="F680" s="267">
        <f t="shared" si="33"/>
        <v>2356.885590062112</v>
      </c>
      <c r="G680" s="7">
        <f t="shared" si="34"/>
        <v>14508.45037267081</v>
      </c>
    </row>
    <row r="681" spans="1:7" hidden="1">
      <c r="A681" s="9" t="s">
        <v>143</v>
      </c>
      <c r="B681" s="127"/>
      <c r="C681" s="8"/>
      <c r="D681" s="7">
        <f t="shared" si="31"/>
        <v>0</v>
      </c>
      <c r="E681" s="7">
        <f t="shared" si="32"/>
        <v>0</v>
      </c>
      <c r="F681" s="7">
        <f t="shared" si="33"/>
        <v>0</v>
      </c>
      <c r="G681" s="7">
        <f t="shared" si="34"/>
        <v>0</v>
      </c>
    </row>
    <row r="682" spans="1:7" hidden="1">
      <c r="A682" s="9" t="s">
        <v>62</v>
      </c>
      <c r="B682" s="109"/>
      <c r="C682" s="52"/>
      <c r="D682" s="7">
        <f t="shared" si="31"/>
        <v>0</v>
      </c>
      <c r="E682" s="7">
        <f t="shared" si="32"/>
        <v>0</v>
      </c>
      <c r="F682" s="7">
        <f t="shared" si="33"/>
        <v>0</v>
      </c>
      <c r="G682" s="7">
        <f t="shared" si="34"/>
        <v>0</v>
      </c>
    </row>
    <row r="683" spans="1:7" hidden="1">
      <c r="A683" s="9" t="s">
        <v>185</v>
      </c>
      <c r="B683" s="109"/>
      <c r="C683" s="52"/>
      <c r="D683" s="7">
        <f t="shared" si="31"/>
        <v>0</v>
      </c>
      <c r="E683" s="7">
        <f t="shared" si="32"/>
        <v>0</v>
      </c>
      <c r="F683" s="7">
        <f t="shared" si="33"/>
        <v>0</v>
      </c>
      <c r="G683" s="7">
        <f t="shared" si="34"/>
        <v>0</v>
      </c>
    </row>
    <row r="684" spans="1:7">
      <c r="A684" s="9" t="s">
        <v>128</v>
      </c>
      <c r="B684" s="109">
        <v>48.256</v>
      </c>
      <c r="C684" s="52">
        <v>11</v>
      </c>
      <c r="D684" s="267">
        <f t="shared" si="31"/>
        <v>16860.996618357487</v>
      </c>
      <c r="E684" s="267">
        <f t="shared" si="32"/>
        <v>27694.740917874398</v>
      </c>
      <c r="F684" s="267">
        <f t="shared" si="33"/>
        <v>8641.9138302277443</v>
      </c>
      <c r="G684" s="7">
        <f t="shared" si="34"/>
        <v>53197.651366459628</v>
      </c>
    </row>
    <row r="685" spans="1:7" hidden="1">
      <c r="A685" s="9" t="s">
        <v>128</v>
      </c>
      <c r="B685" s="109"/>
      <c r="C685" s="52"/>
      <c r="D685" s="7">
        <f t="shared" si="31"/>
        <v>0</v>
      </c>
      <c r="E685" s="7">
        <f t="shared" si="32"/>
        <v>0</v>
      </c>
      <c r="F685" s="7">
        <f t="shared" si="33"/>
        <v>0</v>
      </c>
      <c r="G685" s="7">
        <f t="shared" si="34"/>
        <v>0</v>
      </c>
    </row>
    <row r="686" spans="1:7" hidden="1">
      <c r="A686" s="9" t="s">
        <v>144</v>
      </c>
      <c r="B686" s="109"/>
      <c r="C686" s="52"/>
      <c r="D686" s="7">
        <f t="shared" si="31"/>
        <v>0</v>
      </c>
      <c r="E686" s="7">
        <f t="shared" si="32"/>
        <v>0</v>
      </c>
      <c r="F686" s="7">
        <f t="shared" si="33"/>
        <v>0</v>
      </c>
      <c r="G686" s="7">
        <f t="shared" si="34"/>
        <v>0</v>
      </c>
    </row>
    <row r="687" spans="1:7">
      <c r="A687" s="9" t="s">
        <v>145</v>
      </c>
      <c r="B687" s="127">
        <v>46.548000000000002</v>
      </c>
      <c r="C687" s="8">
        <v>10.5</v>
      </c>
      <c r="D687" s="267">
        <f t="shared" si="31"/>
        <v>16094.587681159421</v>
      </c>
      <c r="E687" s="267">
        <f t="shared" si="32"/>
        <v>26435.889057971017</v>
      </c>
      <c r="F687" s="267">
        <f t="shared" si="33"/>
        <v>8249.0995652173915</v>
      </c>
      <c r="G687" s="7">
        <f t="shared" si="34"/>
        <v>50779.576304347822</v>
      </c>
    </row>
    <row r="688" spans="1:7">
      <c r="A688" s="9" t="s">
        <v>129</v>
      </c>
      <c r="B688" s="109">
        <v>89.397999999999996</v>
      </c>
      <c r="C688" s="52">
        <v>20</v>
      </c>
      <c r="D688" s="267">
        <f t="shared" si="31"/>
        <v>30656.357487922705</v>
      </c>
      <c r="E688" s="267">
        <f t="shared" si="32"/>
        <v>50354.074396135271</v>
      </c>
      <c r="F688" s="267">
        <f t="shared" si="33"/>
        <v>15712.570600414079</v>
      </c>
      <c r="G688" s="7">
        <f t="shared" si="34"/>
        <v>96723.002484472061</v>
      </c>
    </row>
    <row r="689" spans="1:8">
      <c r="A689" s="9" t="s">
        <v>130</v>
      </c>
      <c r="B689" s="109">
        <v>107.357</v>
      </c>
      <c r="C689" s="52">
        <v>28</v>
      </c>
      <c r="D689" s="267">
        <f t="shared" si="31"/>
        <v>42918.900483091784</v>
      </c>
      <c r="E689" s="267">
        <f t="shared" si="32"/>
        <v>70495.704154589374</v>
      </c>
      <c r="F689" s="267">
        <f t="shared" si="33"/>
        <v>21997.598840579711</v>
      </c>
      <c r="G689" s="7">
        <f t="shared" si="34"/>
        <v>135412.20347826087</v>
      </c>
    </row>
    <row r="690" spans="1:8" hidden="1">
      <c r="A690" s="9" t="s">
        <v>198</v>
      </c>
      <c r="B690" s="109"/>
      <c r="C690" s="52"/>
      <c r="D690" s="7">
        <f t="shared" si="31"/>
        <v>0</v>
      </c>
      <c r="E690" s="7">
        <f t="shared" si="32"/>
        <v>0</v>
      </c>
      <c r="F690" s="7">
        <f t="shared" si="33"/>
        <v>0</v>
      </c>
      <c r="G690" s="7">
        <f t="shared" si="34"/>
        <v>0</v>
      </c>
    </row>
    <row r="691" spans="1:8">
      <c r="A691" s="96" t="s">
        <v>63</v>
      </c>
      <c r="B691" s="271"/>
      <c r="C691" s="272">
        <v>4.5</v>
      </c>
      <c r="D691" s="269">
        <f t="shared" si="31"/>
        <v>6897.6804347826082</v>
      </c>
      <c r="E691" s="269">
        <f t="shared" si="32"/>
        <v>11329.666739130435</v>
      </c>
      <c r="F691" s="269">
        <f t="shared" si="33"/>
        <v>3535.3283850931675</v>
      </c>
      <c r="G691" s="269">
        <f t="shared" si="34"/>
        <v>21762.675559006209</v>
      </c>
    </row>
    <row r="692" spans="1:8" hidden="1">
      <c r="A692" s="9" t="s">
        <v>63</v>
      </c>
      <c r="B692" s="109"/>
      <c r="C692" s="52"/>
      <c r="D692" s="7">
        <f t="shared" si="31"/>
        <v>0</v>
      </c>
      <c r="E692" s="7">
        <f t="shared" si="32"/>
        <v>0</v>
      </c>
      <c r="F692" s="7">
        <f t="shared" si="33"/>
        <v>0</v>
      </c>
      <c r="G692" s="7">
        <f t="shared" si="34"/>
        <v>0</v>
      </c>
    </row>
    <row r="693" spans="1:8">
      <c r="A693" s="9" t="s">
        <v>131</v>
      </c>
      <c r="B693" s="109">
        <v>44.573</v>
      </c>
      <c r="C693" s="52">
        <v>10</v>
      </c>
      <c r="D693" s="267">
        <f t="shared" si="31"/>
        <v>15328.178743961353</v>
      </c>
      <c r="E693" s="267">
        <f t="shared" si="32"/>
        <v>25177.037198067635</v>
      </c>
      <c r="F693" s="267">
        <f t="shared" si="33"/>
        <v>7856.2853002070397</v>
      </c>
      <c r="G693" s="7">
        <f t="shared" si="34"/>
        <v>48361.501242236031</v>
      </c>
    </row>
    <row r="694" spans="1:8" hidden="1">
      <c r="A694" s="9" t="s">
        <v>131</v>
      </c>
      <c r="B694" s="109"/>
      <c r="C694" s="52"/>
      <c r="D694" s="7">
        <f t="shared" si="31"/>
        <v>0</v>
      </c>
      <c r="E694" s="7">
        <f t="shared" si="32"/>
        <v>0</v>
      </c>
      <c r="F694" s="7">
        <f t="shared" si="33"/>
        <v>0</v>
      </c>
      <c r="G694" s="7">
        <f t="shared" si="34"/>
        <v>0</v>
      </c>
    </row>
    <row r="695" spans="1:8" hidden="1">
      <c r="A695" s="9" t="s">
        <v>213</v>
      </c>
      <c r="B695" s="109"/>
      <c r="C695" s="52"/>
      <c r="D695" s="7">
        <f t="shared" si="31"/>
        <v>0</v>
      </c>
      <c r="E695" s="7">
        <f t="shared" si="32"/>
        <v>0</v>
      </c>
      <c r="F695" s="7">
        <f t="shared" si="33"/>
        <v>0</v>
      </c>
      <c r="G695" s="7">
        <f t="shared" si="34"/>
        <v>0</v>
      </c>
    </row>
    <row r="696" spans="1:8">
      <c r="A696" s="9" t="s">
        <v>132</v>
      </c>
      <c r="B696" s="109">
        <v>84.581999999999994</v>
      </c>
      <c r="C696" s="52">
        <v>19</v>
      </c>
      <c r="D696" s="267">
        <f t="shared" si="31"/>
        <v>29123.539613526569</v>
      </c>
      <c r="E696" s="267">
        <f t="shared" si="32"/>
        <v>47836.370676328508</v>
      </c>
      <c r="F696" s="267">
        <f t="shared" si="33"/>
        <v>14926.942070393376</v>
      </c>
      <c r="G696" s="7">
        <f t="shared" si="34"/>
        <v>91886.852360248449</v>
      </c>
    </row>
    <row r="697" spans="1:8" hidden="1">
      <c r="A697" s="9" t="s">
        <v>132</v>
      </c>
      <c r="B697" s="109"/>
      <c r="C697" s="52"/>
      <c r="D697" s="7">
        <f t="shared" si="31"/>
        <v>0</v>
      </c>
      <c r="E697" s="7">
        <f t="shared" si="32"/>
        <v>0</v>
      </c>
      <c r="F697" s="7">
        <f t="shared" si="33"/>
        <v>0</v>
      </c>
      <c r="G697" s="7">
        <f t="shared" si="34"/>
        <v>0</v>
      </c>
    </row>
    <row r="698" spans="1:8" hidden="1">
      <c r="A698" s="9" t="s">
        <v>134</v>
      </c>
      <c r="B698" s="109"/>
      <c r="C698" s="52"/>
      <c r="D698" s="7">
        <f t="shared" si="31"/>
        <v>0</v>
      </c>
      <c r="E698" s="7">
        <f t="shared" si="32"/>
        <v>0</v>
      </c>
      <c r="F698" s="7">
        <f t="shared" si="33"/>
        <v>0</v>
      </c>
      <c r="G698" s="7">
        <f t="shared" si="34"/>
        <v>0</v>
      </c>
    </row>
    <row r="699" spans="1:8">
      <c r="A699" s="9" t="s">
        <v>64</v>
      </c>
      <c r="B699" s="109">
        <v>31.667999999999999</v>
      </c>
      <c r="C699" s="52">
        <v>11</v>
      </c>
      <c r="D699" s="267">
        <f t="shared" si="31"/>
        <v>16860.996618357487</v>
      </c>
      <c r="E699" s="267">
        <f t="shared" si="32"/>
        <v>27694.740917874398</v>
      </c>
      <c r="F699" s="267">
        <f t="shared" si="33"/>
        <v>8641.9138302277443</v>
      </c>
      <c r="G699" s="7">
        <f t="shared" si="34"/>
        <v>53197.651366459628</v>
      </c>
    </row>
    <row r="700" spans="1:8">
      <c r="A700" s="96" t="s">
        <v>64</v>
      </c>
      <c r="B700" s="271"/>
      <c r="C700" s="272">
        <v>34</v>
      </c>
      <c r="D700" s="269">
        <f t="shared" si="31"/>
        <v>52115.807729468601</v>
      </c>
      <c r="E700" s="269">
        <f t="shared" si="32"/>
        <v>85601.926473429965</v>
      </c>
      <c r="F700" s="269">
        <f t="shared" si="33"/>
        <v>26711.370020703936</v>
      </c>
      <c r="G700" s="269">
        <f t="shared" si="34"/>
        <v>164429.10422360251</v>
      </c>
    </row>
    <row r="701" spans="1:8">
      <c r="A701" s="96" t="s">
        <v>65</v>
      </c>
      <c r="B701" s="271"/>
      <c r="C701" s="272">
        <v>11.5</v>
      </c>
      <c r="D701" s="269">
        <f t="shared" si="31"/>
        <v>17627.405555555553</v>
      </c>
      <c r="E701" s="269">
        <f t="shared" si="32"/>
        <v>28953.59277777778</v>
      </c>
      <c r="F701" s="269">
        <f t="shared" si="33"/>
        <v>9034.7280952380952</v>
      </c>
      <c r="G701" s="269">
        <f t="shared" si="34"/>
        <v>55615.726428571434</v>
      </c>
    </row>
    <row r="702" spans="1:8" hidden="1">
      <c r="A702" s="9" t="s">
        <v>65</v>
      </c>
      <c r="B702" s="109"/>
      <c r="C702" s="52"/>
      <c r="D702" s="7">
        <f t="shared" si="31"/>
        <v>0</v>
      </c>
      <c r="E702" s="7">
        <f t="shared" si="32"/>
        <v>0</v>
      </c>
      <c r="F702" s="7">
        <f t="shared" si="33"/>
        <v>0</v>
      </c>
      <c r="G702" s="7">
        <f t="shared" si="34"/>
        <v>0</v>
      </c>
    </row>
    <row r="703" spans="1:8" hidden="1">
      <c r="A703" s="9" t="s">
        <v>133</v>
      </c>
      <c r="B703" s="109"/>
      <c r="C703" s="52"/>
      <c r="D703" s="7">
        <f t="shared" si="31"/>
        <v>0</v>
      </c>
      <c r="E703" s="7">
        <f t="shared" si="32"/>
        <v>0</v>
      </c>
      <c r="F703" s="7">
        <f t="shared" si="33"/>
        <v>0</v>
      </c>
      <c r="G703" s="7">
        <f t="shared" si="34"/>
        <v>0</v>
      </c>
    </row>
    <row r="704" spans="1:8">
      <c r="A704" s="9" t="s">
        <v>214</v>
      </c>
      <c r="B704" s="109">
        <v>19.734999999999999</v>
      </c>
      <c r="C704" s="52">
        <v>4.5</v>
      </c>
      <c r="D704" s="267">
        <f t="shared" si="31"/>
        <v>6897.6804347826082</v>
      </c>
      <c r="E704" s="267">
        <f t="shared" si="32"/>
        <v>11329.666739130435</v>
      </c>
      <c r="F704" s="267">
        <f t="shared" si="33"/>
        <v>3535.3283850931675</v>
      </c>
      <c r="G704" s="7">
        <f t="shared" si="34"/>
        <v>21762.675559006209</v>
      </c>
      <c r="H704" s="254"/>
    </row>
    <row r="705" spans="1:9" hidden="1">
      <c r="A705" s="9" t="s">
        <v>146</v>
      </c>
      <c r="B705" s="127"/>
      <c r="C705" s="8"/>
      <c r="D705" s="7"/>
      <c r="E705" s="7"/>
      <c r="F705" s="7"/>
      <c r="G705" s="7"/>
    </row>
    <row r="706" spans="1:9" hidden="1">
      <c r="A706" s="9" t="s">
        <v>147</v>
      </c>
      <c r="B706" s="127"/>
      <c r="C706" s="8"/>
      <c r="D706" s="7"/>
      <c r="E706" s="7"/>
      <c r="F706" s="7"/>
      <c r="G706" s="7"/>
    </row>
    <row r="707" spans="1:9" hidden="1">
      <c r="A707" s="9" t="s">
        <v>148</v>
      </c>
      <c r="B707" s="127"/>
      <c r="C707" s="8"/>
      <c r="D707" s="7"/>
      <c r="E707" s="7"/>
      <c r="F707" s="7"/>
      <c r="G707" s="7"/>
    </row>
    <row r="708" spans="1:9" hidden="1">
      <c r="A708" s="9" t="s">
        <v>149</v>
      </c>
      <c r="B708" s="127"/>
      <c r="C708" s="8"/>
      <c r="D708" s="7"/>
      <c r="E708" s="7"/>
      <c r="F708" s="7"/>
      <c r="G708" s="7"/>
    </row>
    <row r="709" spans="1:9" hidden="1">
      <c r="A709" s="9" t="s">
        <v>150</v>
      </c>
      <c r="B709" s="127"/>
      <c r="C709" s="8"/>
      <c r="D709" s="7"/>
      <c r="E709" s="7"/>
      <c r="F709" s="7"/>
      <c r="G709" s="7"/>
    </row>
    <row r="710" spans="1:9" hidden="1">
      <c r="A710" s="92" t="s">
        <v>68</v>
      </c>
      <c r="B710" s="109"/>
      <c r="C710" s="52"/>
      <c r="D710" s="7"/>
      <c r="E710" s="7"/>
      <c r="F710" s="7"/>
      <c r="G710" s="7"/>
    </row>
    <row r="711" spans="1:9" hidden="1">
      <c r="A711" s="92" t="s">
        <v>69</v>
      </c>
      <c r="B711" s="109"/>
      <c r="C711" s="52"/>
      <c r="D711" s="7"/>
      <c r="E711" s="7"/>
      <c r="F711" s="7"/>
      <c r="G711" s="7"/>
    </row>
    <row r="712" spans="1:9">
      <c r="A712" s="92" t="s">
        <v>315</v>
      </c>
      <c r="B712" s="109"/>
      <c r="C712" s="52"/>
      <c r="D712" s="7">
        <v>0</v>
      </c>
      <c r="E712" s="7">
        <v>0</v>
      </c>
      <c r="F712" s="7">
        <f>F714*5/28</f>
        <v>26700.314285714288</v>
      </c>
      <c r="G712" s="7">
        <f>SUM(D712:F712)</f>
        <v>26700.314285714288</v>
      </c>
      <c r="H712" s="261" t="s">
        <v>335</v>
      </c>
      <c r="I712" s="270" t="s">
        <v>340</v>
      </c>
    </row>
    <row r="713" spans="1:9">
      <c r="A713" s="10" t="s">
        <v>51</v>
      </c>
      <c r="B713" s="104"/>
      <c r="C713" s="49">
        <f>SUM(C660:C712)</f>
        <v>207</v>
      </c>
      <c r="D713" s="12">
        <f>317293.3</f>
        <v>317293.3</v>
      </c>
      <c r="E713" s="12">
        <f>67659.25+38219.25+318162.9+97123.27</f>
        <v>521164.67000000004</v>
      </c>
      <c r="F713" s="12">
        <f>SUM(F714:F716)</f>
        <v>189325.42</v>
      </c>
      <c r="G713" s="12">
        <f>SUM(D713:F713)</f>
        <v>1027783.39</v>
      </c>
      <c r="H713" s="71">
        <f>F713-F712</f>
        <v>162625.10571428572</v>
      </c>
      <c r="I713" s="71">
        <f>F662+F666+F669+F678+F680+F684+F687+F688+F689+F693+F696+F699+F704+F221+F233</f>
        <v>156110.66543460279</v>
      </c>
    </row>
    <row r="714" spans="1:9">
      <c r="A714" s="397" t="s">
        <v>378</v>
      </c>
      <c r="B714" s="116"/>
      <c r="C714" s="132"/>
      <c r="D714" s="13"/>
      <c r="E714" s="77" t="s">
        <v>70</v>
      </c>
      <c r="F714" s="75">
        <v>149521.76</v>
      </c>
      <c r="G714" s="73">
        <f>F714/F713</f>
        <v>0.78976061429046351</v>
      </c>
      <c r="H714" s="71"/>
      <c r="I714" s="71">
        <f>G714*I713</f>
        <v>123290.05503092494</v>
      </c>
    </row>
    <row r="715" spans="1:9">
      <c r="A715" s="102"/>
      <c r="B715" s="116"/>
      <c r="C715" s="132"/>
      <c r="D715" s="13"/>
      <c r="E715" s="77" t="s">
        <v>72</v>
      </c>
      <c r="F715" s="75">
        <f>518.69+598.29</f>
        <v>1116.98</v>
      </c>
      <c r="G715" s="73">
        <f>F715/F713</f>
        <v>5.8997888397659438E-3</v>
      </c>
      <c r="H715" s="71"/>
      <c r="I715" s="71">
        <f>G715*I713</f>
        <v>921.01996169950462</v>
      </c>
    </row>
    <row r="716" spans="1:9">
      <c r="A716" s="16"/>
      <c r="B716" s="116"/>
      <c r="C716" s="132"/>
      <c r="D716" s="13"/>
      <c r="E716" s="77" t="s">
        <v>71</v>
      </c>
      <c r="F716" s="75">
        <f>1100+80+2555.56+34951.12</f>
        <v>38686.68</v>
      </c>
      <c r="G716" s="73">
        <f>F716/F713</f>
        <v>0.20433959686977057</v>
      </c>
      <c r="H716" s="71"/>
      <c r="I716" s="71">
        <f>G716*I713</f>
        <v>31899.590441978362</v>
      </c>
    </row>
    <row r="717" spans="1:9">
      <c r="A717" s="16"/>
      <c r="B717" s="116"/>
      <c r="C717" s="132"/>
      <c r="D717" s="13"/>
      <c r="E717" s="77"/>
      <c r="F717" s="75"/>
      <c r="G717" s="73"/>
      <c r="H717" s="71"/>
    </row>
    <row r="718" spans="1:9">
      <c r="A718" s="16"/>
      <c r="B718" s="116"/>
      <c r="C718" s="132"/>
      <c r="D718" s="13"/>
      <c r="E718" s="77"/>
      <c r="F718" s="75"/>
      <c r="G718" s="73"/>
      <c r="H718" s="71"/>
    </row>
    <row r="719" spans="1:9">
      <c r="A719" s="16"/>
      <c r="B719" s="116"/>
      <c r="C719" s="132"/>
      <c r="D719" s="13"/>
      <c r="E719" s="77"/>
      <c r="F719" s="75"/>
      <c r="G719" s="73"/>
      <c r="H719" s="71"/>
    </row>
    <row r="720" spans="1:9">
      <c r="A720" s="16"/>
      <c r="B720" s="116"/>
      <c r="C720" s="132"/>
      <c r="D720" s="13"/>
      <c r="E720" s="77"/>
      <c r="F720" s="75"/>
      <c r="G720" s="73"/>
      <c r="H720" s="71"/>
    </row>
    <row r="721" spans="1:8">
      <c r="A721" s="16"/>
      <c r="B721" s="116"/>
      <c r="C721" s="132"/>
      <c r="D721" s="13"/>
      <c r="E721" s="77"/>
      <c r="F721" s="75"/>
      <c r="G721" s="73"/>
      <c r="H721" s="71"/>
    </row>
    <row r="722" spans="1:8">
      <c r="A722" s="16"/>
      <c r="B722" s="116"/>
      <c r="C722" s="132"/>
      <c r="D722" s="13"/>
      <c r="E722" s="77"/>
      <c r="F722" s="75"/>
      <c r="G722" s="73"/>
      <c r="H722" s="71"/>
    </row>
    <row r="723" spans="1:8">
      <c r="A723" s="16"/>
      <c r="B723" s="116"/>
      <c r="C723" s="132"/>
      <c r="D723" s="13"/>
      <c r="E723" s="77"/>
      <c r="F723" s="75"/>
      <c r="G723" s="73"/>
      <c r="H723" s="71"/>
    </row>
    <row r="724" spans="1:8">
      <c r="A724" s="16"/>
      <c r="B724" s="116"/>
      <c r="C724" s="132"/>
      <c r="D724" s="13"/>
      <c r="E724" s="77"/>
      <c r="F724" s="75"/>
      <c r="G724" s="73"/>
      <c r="H724" s="71"/>
    </row>
    <row r="725" spans="1:8">
      <c r="A725" s="16"/>
      <c r="B725" s="116"/>
      <c r="C725" s="132"/>
      <c r="D725" s="13"/>
      <c r="E725" s="77"/>
      <c r="F725" s="75"/>
      <c r="G725" s="73"/>
      <c r="H725" s="71"/>
    </row>
    <row r="726" spans="1:8">
      <c r="A726" s="16"/>
      <c r="B726" s="116"/>
      <c r="C726" s="132"/>
      <c r="D726" s="13"/>
      <c r="E726" s="77"/>
      <c r="F726" s="75"/>
      <c r="G726" s="73"/>
      <c r="H726" s="71"/>
    </row>
    <row r="727" spans="1:8">
      <c r="A727" s="16"/>
      <c r="B727" s="116"/>
      <c r="C727" s="132"/>
      <c r="D727" s="13"/>
      <c r="E727" s="77"/>
      <c r="F727" s="75"/>
      <c r="G727" s="73"/>
      <c r="H727" s="71"/>
    </row>
    <row r="728" spans="1:8">
      <c r="A728" s="16"/>
      <c r="B728" s="116"/>
      <c r="C728" s="132"/>
      <c r="D728" s="13"/>
      <c r="E728" s="77"/>
      <c r="F728" s="75"/>
      <c r="G728" s="73"/>
      <c r="H728" s="71"/>
    </row>
    <row r="729" spans="1:8">
      <c r="A729" s="16"/>
      <c r="B729" s="116"/>
      <c r="C729" s="132"/>
      <c r="D729" s="13"/>
      <c r="E729" s="77"/>
      <c r="F729" s="75"/>
      <c r="G729" s="73"/>
      <c r="H729" s="71"/>
    </row>
    <row r="730" spans="1:8">
      <c r="A730" s="16"/>
      <c r="B730" s="116"/>
      <c r="C730" s="132"/>
      <c r="D730" s="13"/>
      <c r="E730" s="77"/>
      <c r="F730" s="75"/>
      <c r="G730" s="73"/>
      <c r="H730" s="71"/>
    </row>
    <row r="731" spans="1:8">
      <c r="A731" s="16"/>
      <c r="B731" s="116"/>
      <c r="C731" s="132"/>
      <c r="D731" s="13"/>
      <c r="E731" s="77"/>
      <c r="F731" s="75"/>
      <c r="G731" s="73"/>
      <c r="H731" s="71"/>
    </row>
    <row r="732" spans="1:8">
      <c r="A732" s="16"/>
      <c r="B732" s="116"/>
      <c r="C732" s="132"/>
      <c r="D732" s="13"/>
      <c r="E732" s="77"/>
      <c r="F732" s="75"/>
      <c r="G732" s="73"/>
      <c r="H732" s="71"/>
    </row>
    <row r="733" spans="1:8">
      <c r="A733" s="16"/>
      <c r="B733" s="116"/>
      <c r="C733" s="132"/>
      <c r="D733" s="13"/>
      <c r="E733" s="77"/>
      <c r="F733" s="75"/>
      <c r="G733" s="73"/>
      <c r="H733" s="71"/>
    </row>
    <row r="734" spans="1:8">
      <c r="A734" s="16"/>
      <c r="B734" s="116"/>
      <c r="C734" s="132"/>
      <c r="D734" s="13"/>
      <c r="E734" s="77"/>
      <c r="F734" s="75"/>
      <c r="G734" s="73"/>
      <c r="H734" s="71"/>
    </row>
    <row r="735" spans="1:8">
      <c r="A735" s="16"/>
      <c r="B735" s="116"/>
      <c r="C735" s="132"/>
      <c r="D735" s="13"/>
      <c r="E735" s="77"/>
      <c r="F735" s="75"/>
      <c r="G735" s="73"/>
      <c r="H735" s="71"/>
    </row>
    <row r="736" spans="1:8">
      <c r="A736" s="16"/>
      <c r="B736" s="116"/>
      <c r="C736" s="132"/>
      <c r="D736" s="13"/>
      <c r="E736" s="77"/>
      <c r="F736" s="75"/>
      <c r="G736" s="73"/>
      <c r="H736" s="71"/>
    </row>
    <row r="739" spans="1:8">
      <c r="A739" s="453" t="s">
        <v>353</v>
      </c>
      <c r="B739" s="453"/>
      <c r="C739" s="453"/>
      <c r="D739" s="453"/>
      <c r="E739" s="453"/>
      <c r="F739" s="453"/>
      <c r="G739" s="453"/>
    </row>
    <row r="740" spans="1:8">
      <c r="A740" s="5" t="s">
        <v>52</v>
      </c>
      <c r="B740" s="105" t="s">
        <v>45</v>
      </c>
      <c r="C740" s="6" t="s">
        <v>53</v>
      </c>
      <c r="D740" s="6" t="s">
        <v>54</v>
      </c>
      <c r="E740" s="6" t="s">
        <v>6</v>
      </c>
      <c r="F740" s="6" t="s">
        <v>55</v>
      </c>
      <c r="G740" s="6" t="s">
        <v>56</v>
      </c>
      <c r="H740" s="100" t="s">
        <v>337</v>
      </c>
    </row>
    <row r="741" spans="1:8" hidden="1">
      <c r="A741" s="80" t="s">
        <v>91</v>
      </c>
      <c r="B741" s="117"/>
      <c r="C741" s="6"/>
      <c r="D741" s="6"/>
      <c r="E741" s="7"/>
      <c r="F741" s="7"/>
      <c r="G741" s="7"/>
      <c r="H741" s="100"/>
    </row>
    <row r="742" spans="1:8" hidden="1">
      <c r="A742" s="80" t="s">
        <v>92</v>
      </c>
      <c r="B742" s="117"/>
      <c r="C742" s="6"/>
      <c r="D742" s="6"/>
      <c r="E742" s="7"/>
      <c r="F742" s="7"/>
      <c r="G742" s="7"/>
      <c r="H742" s="100"/>
    </row>
    <row r="743" spans="1:8">
      <c r="A743" s="274" t="s">
        <v>93</v>
      </c>
      <c r="B743" s="268"/>
      <c r="C743" s="88">
        <v>24</v>
      </c>
      <c r="D743" s="88">
        <v>64</v>
      </c>
      <c r="E743" s="269">
        <f>D743/D760*E760</f>
        <v>17472.446818181819</v>
      </c>
      <c r="F743" s="269">
        <f>C743/C760*F760</f>
        <v>11331.445989304812</v>
      </c>
      <c r="G743" s="269">
        <f>D743/D760*(G760-G759)</f>
        <v>9549.5391558441552</v>
      </c>
      <c r="H743" s="283">
        <f>SUM(E743:G743)</f>
        <v>38353.43196333079</v>
      </c>
    </row>
    <row r="744" spans="1:8">
      <c r="A744" s="80" t="s">
        <v>215</v>
      </c>
      <c r="B744" s="117">
        <v>7.7590000000000003</v>
      </c>
      <c r="C744" s="6">
        <v>24</v>
      </c>
      <c r="D744" s="6">
        <v>64</v>
      </c>
      <c r="E744" s="267">
        <f>D744/D$760*E$760</f>
        <v>17472.446818181819</v>
      </c>
      <c r="F744" s="267">
        <f>C744/C$760*F$760</f>
        <v>11331.445989304812</v>
      </c>
      <c r="G744" s="267">
        <f>D744/D760*(G760-G759)</f>
        <v>9549.5391558441552</v>
      </c>
      <c r="H744" s="281">
        <f>SUM(E744:G744)</f>
        <v>38353.43196333079</v>
      </c>
    </row>
    <row r="745" spans="1:8" hidden="1">
      <c r="A745" s="80" t="s">
        <v>94</v>
      </c>
      <c r="B745" s="117"/>
      <c r="C745" s="6"/>
      <c r="D745" s="6"/>
      <c r="E745" s="7"/>
      <c r="F745" s="7"/>
      <c r="G745" s="7"/>
      <c r="H745" s="281"/>
    </row>
    <row r="746" spans="1:8">
      <c r="A746" s="80" t="s">
        <v>95</v>
      </c>
      <c r="B746" s="117">
        <v>80.239999999999995</v>
      </c>
      <c r="C746" s="6">
        <v>232</v>
      </c>
      <c r="D746" s="6">
        <v>576</v>
      </c>
      <c r="E746" s="267">
        <f t="shared" ref="E746:E753" si="35">D746/D$760*E$760</f>
        <v>157252.02136363639</v>
      </c>
      <c r="F746" s="267">
        <f t="shared" ref="F746:F753" si="36">C746/C$760*F$760</f>
        <v>109537.31122994653</v>
      </c>
      <c r="G746" s="267">
        <f>D746/D760*(G760-G759)</f>
        <v>85945.852402597389</v>
      </c>
      <c r="H746" s="281">
        <f t="shared" ref="H746:H753" si="37">SUM(E746:G746)</f>
        <v>352735.18499618029</v>
      </c>
    </row>
    <row r="747" spans="1:8" hidden="1">
      <c r="A747" s="80" t="s">
        <v>95</v>
      </c>
      <c r="B747" s="117"/>
      <c r="C747" s="6"/>
      <c r="D747" s="6"/>
      <c r="E747" s="7"/>
      <c r="F747" s="7"/>
      <c r="G747" s="7"/>
      <c r="H747" s="281"/>
    </row>
    <row r="748" spans="1:8" hidden="1">
      <c r="A748" s="80" t="s">
        <v>96</v>
      </c>
      <c r="B748" s="117"/>
      <c r="C748" s="6"/>
      <c r="D748" s="6"/>
      <c r="E748" s="7"/>
      <c r="F748" s="7"/>
      <c r="G748" s="7"/>
      <c r="H748" s="281"/>
    </row>
    <row r="749" spans="1:8" hidden="1">
      <c r="A749" s="80" t="s">
        <v>96</v>
      </c>
      <c r="B749" s="117"/>
      <c r="C749" s="6"/>
      <c r="D749" s="6"/>
      <c r="E749" s="7"/>
      <c r="F749" s="7"/>
      <c r="G749" s="7"/>
      <c r="H749" s="281"/>
    </row>
    <row r="750" spans="1:8">
      <c r="A750" s="80" t="s">
        <v>135</v>
      </c>
      <c r="B750" s="117">
        <v>131.714</v>
      </c>
      <c r="C750" s="6">
        <f>257-24</f>
        <v>233</v>
      </c>
      <c r="D750" s="6">
        <f>640-64</f>
        <v>576</v>
      </c>
      <c r="E750" s="267">
        <f t="shared" si="35"/>
        <v>157252.02136363639</v>
      </c>
      <c r="F750" s="267">
        <f t="shared" si="36"/>
        <v>110009.45481283423</v>
      </c>
      <c r="G750" s="267">
        <f>D750/D760*(G760-G759)</f>
        <v>85945.852402597389</v>
      </c>
      <c r="H750" s="281">
        <f t="shared" si="37"/>
        <v>353207.32857906801</v>
      </c>
    </row>
    <row r="751" spans="1:8" hidden="1">
      <c r="A751" s="80" t="s">
        <v>135</v>
      </c>
      <c r="B751" s="117"/>
      <c r="C751" s="6"/>
      <c r="D751" s="6"/>
      <c r="E751" s="7"/>
      <c r="F751" s="7"/>
      <c r="G751" s="7"/>
      <c r="H751" s="281"/>
    </row>
    <row r="752" spans="1:8" hidden="1">
      <c r="A752" s="80" t="s">
        <v>97</v>
      </c>
      <c r="B752" s="117"/>
      <c r="C752" s="6"/>
      <c r="D752" s="6"/>
      <c r="E752" s="7"/>
      <c r="F752" s="7"/>
      <c r="G752" s="7"/>
      <c r="H752" s="281"/>
    </row>
    <row r="753" spans="1:10">
      <c r="A753" s="80" t="s">
        <v>136</v>
      </c>
      <c r="B753" s="117">
        <v>23.356999999999999</v>
      </c>
      <c r="C753" s="6">
        <v>48</v>
      </c>
      <c r="D753" s="6">
        <v>128</v>
      </c>
      <c r="E753" s="267">
        <f t="shared" si="35"/>
        <v>34944.893636363639</v>
      </c>
      <c r="F753" s="267">
        <f t="shared" si="36"/>
        <v>22662.891978609623</v>
      </c>
      <c r="G753" s="267">
        <f>D753/D760*(G760-G759)</f>
        <v>19099.07831168831</v>
      </c>
      <c r="H753" s="281">
        <f t="shared" si="37"/>
        <v>76706.863926661579</v>
      </c>
    </row>
    <row r="754" spans="1:10" hidden="1">
      <c r="A754" s="80" t="s">
        <v>170</v>
      </c>
      <c r="B754" s="117"/>
      <c r="C754" s="6"/>
      <c r="D754" s="6"/>
      <c r="E754" s="7"/>
      <c r="F754" s="7"/>
      <c r="G754" s="7"/>
      <c r="H754" s="255"/>
    </row>
    <row r="755" spans="1:10" hidden="1">
      <c r="A755" s="80" t="s">
        <v>216</v>
      </c>
      <c r="B755" s="117"/>
      <c r="C755" s="6"/>
      <c r="D755" s="6"/>
      <c r="E755" s="7"/>
      <c r="F755" s="7"/>
      <c r="G755" s="7"/>
      <c r="H755" s="255"/>
    </row>
    <row r="756" spans="1:10" hidden="1">
      <c r="A756" s="80" t="s">
        <v>98</v>
      </c>
      <c r="B756" s="117"/>
      <c r="C756" s="6"/>
      <c r="D756" s="6"/>
      <c r="E756" s="7"/>
      <c r="F756" s="7"/>
      <c r="G756" s="7"/>
      <c r="H756" s="100"/>
    </row>
    <row r="757" spans="1:10" hidden="1">
      <c r="A757" s="80" t="s">
        <v>99</v>
      </c>
      <c r="B757" s="117"/>
      <c r="C757" s="6"/>
      <c r="D757" s="6"/>
      <c r="E757" s="7"/>
      <c r="F757" s="7"/>
      <c r="G757" s="7"/>
      <c r="H757" s="100"/>
    </row>
    <row r="758" spans="1:10" hidden="1">
      <c r="A758" s="80" t="s">
        <v>179</v>
      </c>
      <c r="B758" s="117"/>
      <c r="C758" s="6"/>
      <c r="D758" s="6"/>
      <c r="E758" s="7"/>
      <c r="F758" s="7"/>
      <c r="G758" s="7"/>
      <c r="H758" s="100"/>
    </row>
    <row r="759" spans="1:10">
      <c r="A759" s="229" t="s">
        <v>315</v>
      </c>
      <c r="B759" s="117"/>
      <c r="C759" s="6"/>
      <c r="D759" s="6"/>
      <c r="E759" s="7">
        <v>0</v>
      </c>
      <c r="F759" s="5">
        <v>0</v>
      </c>
      <c r="G759" s="385">
        <f>G761*5/28</f>
        <v>38212.378571428577</v>
      </c>
      <c r="H759" s="386">
        <f>SUM(E759:G759)</f>
        <v>38212.378571428577</v>
      </c>
      <c r="I759" s="261" t="s">
        <v>335</v>
      </c>
      <c r="J759" s="270"/>
    </row>
    <row r="760" spans="1:10">
      <c r="A760" s="44" t="s">
        <v>44</v>
      </c>
      <c r="B760" s="113"/>
      <c r="C760" s="15">
        <f>SUM(C741:C759)</f>
        <v>561</v>
      </c>
      <c r="D760" s="15">
        <f>SUM(D741:D759)</f>
        <v>1408</v>
      </c>
      <c r="E760" s="12">
        <f>384393.83</f>
        <v>384393.83</v>
      </c>
      <c r="F760" s="12">
        <f>119206+17043.5+92216+36407.05</f>
        <v>264872.55</v>
      </c>
      <c r="G760" s="275">
        <f>SUM(G761:G763)</f>
        <v>248302.24</v>
      </c>
      <c r="H760" s="282">
        <f>SUM(E760:G760)</f>
        <v>897568.62</v>
      </c>
      <c r="I760" s="280">
        <f>G744+G746+G750+G753+G304</f>
        <v>217899.32071075783</v>
      </c>
      <c r="J760" s="280"/>
    </row>
    <row r="761" spans="1:10">
      <c r="A761" s="397" t="s">
        <v>378</v>
      </c>
      <c r="B761" s="129"/>
      <c r="C761" s="81"/>
      <c r="D761" s="81"/>
      <c r="E761" s="81"/>
      <c r="F761" s="77" t="s">
        <v>70</v>
      </c>
      <c r="G761" s="82">
        <v>213989.32</v>
      </c>
      <c r="H761" s="276">
        <f>G761/G760</f>
        <v>0.86180986526742576</v>
      </c>
      <c r="I761" s="280">
        <f>H761*I760+0.01</f>
        <v>187787.79422360181</v>
      </c>
      <c r="J761" s="280"/>
    </row>
    <row r="762" spans="1:10">
      <c r="A762" s="102"/>
      <c r="B762" s="124"/>
      <c r="C762" s="57"/>
      <c r="D762" s="42"/>
      <c r="E762" s="42"/>
      <c r="F762" s="77" t="s">
        <v>72</v>
      </c>
      <c r="G762" s="18">
        <f>21367.52</f>
        <v>21367.52</v>
      </c>
      <c r="H762" s="276">
        <f>G762/G760</f>
        <v>8.6054479411865156E-2</v>
      </c>
      <c r="I762" s="280">
        <f>H762*I760</f>
        <v>18751.212607963313</v>
      </c>
      <c r="J762" s="280"/>
    </row>
    <row r="763" spans="1:10">
      <c r="A763" s="273" t="s">
        <v>341</v>
      </c>
      <c r="B763" s="118"/>
      <c r="C763" s="17"/>
      <c r="D763" s="18"/>
      <c r="E763" s="42"/>
      <c r="F763" s="77" t="s">
        <v>71</v>
      </c>
      <c r="G763" s="18">
        <f>2555.56+10389.84</f>
        <v>12945.4</v>
      </c>
      <c r="H763" s="276">
        <f>G763/G760</f>
        <v>5.213565532070915E-2</v>
      </c>
      <c r="I763" s="280">
        <f>H763*I760</f>
        <v>11360.323879192731</v>
      </c>
      <c r="J763" s="280"/>
    </row>
    <row r="783" spans="1:7">
      <c r="A783" s="453" t="s">
        <v>354</v>
      </c>
      <c r="B783" s="453"/>
      <c r="C783" s="453"/>
      <c r="D783" s="453"/>
      <c r="E783" s="453"/>
      <c r="F783" s="453"/>
      <c r="G783" s="453"/>
    </row>
    <row r="784" spans="1:7">
      <c r="A784" s="5" t="s">
        <v>4</v>
      </c>
      <c r="B784" s="105" t="s">
        <v>45</v>
      </c>
      <c r="C784" s="6" t="s">
        <v>11</v>
      </c>
      <c r="D784" s="6" t="s">
        <v>6</v>
      </c>
      <c r="E784" s="6" t="s">
        <v>7</v>
      </c>
      <c r="F784" s="6" t="s">
        <v>8</v>
      </c>
      <c r="G784" s="6" t="s">
        <v>9</v>
      </c>
    </row>
    <row r="785" spans="1:7" hidden="1">
      <c r="A785" s="83" t="s">
        <v>100</v>
      </c>
      <c r="B785" s="119"/>
      <c r="C785" s="6"/>
      <c r="D785" s="6"/>
      <c r="E785" s="6"/>
      <c r="F785" s="6"/>
      <c r="G785" s="6"/>
    </row>
    <row r="786" spans="1:7" hidden="1">
      <c r="A786" s="83" t="s">
        <v>100</v>
      </c>
      <c r="B786" s="119"/>
      <c r="C786" s="6"/>
      <c r="D786" s="6"/>
      <c r="E786" s="6"/>
      <c r="F786" s="6"/>
      <c r="G786" s="6"/>
    </row>
    <row r="787" spans="1:7" hidden="1">
      <c r="A787" s="94" t="s">
        <v>168</v>
      </c>
      <c r="B787" s="119"/>
      <c r="C787" s="6"/>
      <c r="D787" s="7"/>
      <c r="E787" s="7"/>
      <c r="F787" s="7"/>
      <c r="G787" s="7"/>
    </row>
    <row r="788" spans="1:7" hidden="1">
      <c r="A788" s="83" t="s">
        <v>101</v>
      </c>
      <c r="B788" s="119"/>
      <c r="C788" s="6"/>
      <c r="D788" s="7"/>
      <c r="E788" s="7"/>
      <c r="F788" s="7"/>
      <c r="G788" s="7"/>
    </row>
    <row r="789" spans="1:7" hidden="1">
      <c r="A789" s="83" t="s">
        <v>101</v>
      </c>
      <c r="B789" s="119"/>
      <c r="C789" s="6"/>
      <c r="D789" s="7"/>
      <c r="E789" s="7"/>
      <c r="F789" s="7"/>
      <c r="G789" s="7"/>
    </row>
    <row r="790" spans="1:7" hidden="1">
      <c r="A790" s="83" t="s">
        <v>110</v>
      </c>
      <c r="B790" s="119"/>
      <c r="C790" s="6"/>
      <c r="D790" s="7"/>
      <c r="E790" s="7"/>
      <c r="F790" s="7"/>
      <c r="G790" s="7"/>
    </row>
    <row r="791" spans="1:7">
      <c r="A791" s="431" t="s">
        <v>102</v>
      </c>
      <c r="B791" s="432"/>
      <c r="C791" s="88">
        <f>3*12</f>
        <v>36</v>
      </c>
      <c r="D791" s="269">
        <f>C791/C807*D807</f>
        <v>7852.3050000000003</v>
      </c>
      <c r="E791" s="269">
        <f>C791/C807*E807</f>
        <v>91168.027499999997</v>
      </c>
      <c r="F791" s="269">
        <f>C791/C807*H807</f>
        <v>64984.956428571408</v>
      </c>
      <c r="G791" s="269">
        <f>SUM(D791:F791)</f>
        <v>164005.28892857139</v>
      </c>
    </row>
    <row r="792" spans="1:7" hidden="1">
      <c r="A792" s="83" t="s">
        <v>102</v>
      </c>
      <c r="B792" s="119"/>
      <c r="C792" s="6"/>
      <c r="D792" s="7"/>
      <c r="E792" s="7"/>
      <c r="F792" s="7"/>
      <c r="G792" s="7"/>
    </row>
    <row r="793" spans="1:7">
      <c r="A793" s="433" t="s">
        <v>103</v>
      </c>
      <c r="B793" s="432"/>
      <c r="C793" s="88">
        <f>1*12</f>
        <v>12</v>
      </c>
      <c r="D793" s="269">
        <f>C793/C807*D807</f>
        <v>2617.4349999999999</v>
      </c>
      <c r="E793" s="269">
        <f>C793/C807*E807</f>
        <v>30389.342499999999</v>
      </c>
      <c r="F793" s="269">
        <f>C793/C807*H807</f>
        <v>21661.652142857136</v>
      </c>
      <c r="G793" s="269">
        <f t="shared" ref="G793" si="38">SUM(D793:F793)</f>
        <v>54668.429642857132</v>
      </c>
    </row>
    <row r="794" spans="1:7" hidden="1">
      <c r="A794" s="85" t="s">
        <v>103</v>
      </c>
      <c r="B794" s="119"/>
      <c r="C794" s="6"/>
      <c r="D794" s="7"/>
      <c r="E794" s="7"/>
      <c r="F794" s="7"/>
      <c r="G794" s="7"/>
    </row>
    <row r="795" spans="1:7" hidden="1">
      <c r="A795" s="89" t="s">
        <v>104</v>
      </c>
      <c r="B795" s="119"/>
      <c r="C795" s="6"/>
      <c r="D795" s="7"/>
      <c r="E795" s="7"/>
      <c r="F795" s="7"/>
      <c r="G795" s="7"/>
    </row>
    <row r="796" spans="1:7" hidden="1">
      <c r="A796" s="89" t="s">
        <v>112</v>
      </c>
      <c r="B796" s="119"/>
      <c r="C796" s="6"/>
      <c r="D796" s="7"/>
      <c r="E796" s="7"/>
      <c r="F796" s="7"/>
      <c r="G796" s="7"/>
    </row>
    <row r="797" spans="1:7" hidden="1">
      <c r="A797" s="83" t="s">
        <v>109</v>
      </c>
      <c r="B797" s="119"/>
      <c r="C797" s="8"/>
      <c r="D797" s="7"/>
      <c r="E797" s="7"/>
      <c r="F797" s="7"/>
      <c r="G797" s="7"/>
    </row>
    <row r="798" spans="1:7" hidden="1">
      <c r="A798" s="83" t="s">
        <v>105</v>
      </c>
      <c r="B798" s="119"/>
      <c r="C798" s="8"/>
      <c r="D798" s="7"/>
      <c r="E798" s="7"/>
      <c r="F798" s="7"/>
      <c r="G798" s="7"/>
    </row>
    <row r="799" spans="1:7" hidden="1">
      <c r="A799" s="83" t="s">
        <v>106</v>
      </c>
      <c r="B799" s="119"/>
      <c r="C799" s="6"/>
      <c r="D799" s="7"/>
      <c r="E799" s="7"/>
      <c r="F799" s="7"/>
      <c r="G799" s="7"/>
    </row>
    <row r="800" spans="1:7" hidden="1">
      <c r="A800" s="83" t="s">
        <v>169</v>
      </c>
      <c r="B800" s="119"/>
      <c r="C800" s="6"/>
      <c r="D800" s="7"/>
      <c r="E800" s="7"/>
      <c r="F800" s="7"/>
      <c r="G800" s="7"/>
    </row>
    <row r="801" spans="1:9" hidden="1">
      <c r="A801" s="83" t="s">
        <v>107</v>
      </c>
      <c r="B801" s="119"/>
      <c r="C801" s="6"/>
      <c r="D801" s="7"/>
      <c r="E801" s="7"/>
      <c r="F801" s="7"/>
      <c r="G801" s="7"/>
    </row>
    <row r="802" spans="1:9" hidden="1">
      <c r="A802" s="83" t="s">
        <v>108</v>
      </c>
      <c r="B802" s="119"/>
      <c r="C802" s="6"/>
      <c r="D802" s="7"/>
      <c r="E802" s="7"/>
      <c r="F802" s="7"/>
      <c r="G802" s="7"/>
    </row>
    <row r="803" spans="1:9" hidden="1">
      <c r="A803" s="83" t="s">
        <v>137</v>
      </c>
      <c r="B803" s="119"/>
      <c r="C803" s="6"/>
      <c r="D803" s="6"/>
      <c r="E803" s="6"/>
      <c r="F803" s="6"/>
      <c r="G803" s="6"/>
    </row>
    <row r="804" spans="1:9" hidden="1">
      <c r="A804" s="94" t="s">
        <v>206</v>
      </c>
      <c r="B804" s="119"/>
      <c r="C804" s="6"/>
      <c r="D804" s="6"/>
      <c r="E804" s="6"/>
      <c r="F804" s="6"/>
      <c r="G804" s="6"/>
      <c r="H804" s="254"/>
    </row>
    <row r="805" spans="1:9">
      <c r="A805" s="94" t="s">
        <v>376</v>
      </c>
      <c r="B805" s="119"/>
      <c r="C805" s="6">
        <f>19*12</f>
        <v>228</v>
      </c>
      <c r="D805" s="7"/>
      <c r="E805" s="7"/>
      <c r="F805" s="7">
        <f>F808*19/28</f>
        <v>52961.16321428572</v>
      </c>
      <c r="G805" s="7">
        <f>SUM(D805:F805)</f>
        <v>52961.16321428572</v>
      </c>
      <c r="H805" s="254"/>
    </row>
    <row r="806" spans="1:9">
      <c r="A806" s="94" t="s">
        <v>315</v>
      </c>
      <c r="B806" s="119"/>
      <c r="C806" s="6">
        <f>5*12</f>
        <v>60</v>
      </c>
      <c r="D806" s="7">
        <v>0</v>
      </c>
      <c r="E806" s="7">
        <v>0</v>
      </c>
      <c r="F806" s="7">
        <f>F808*5/28</f>
        <v>13937.148214285715</v>
      </c>
      <c r="G806" s="7">
        <f>SUM(D806:F806)</f>
        <v>13937.148214285715</v>
      </c>
      <c r="H806" s="261"/>
      <c r="I806" s="270"/>
    </row>
    <row r="807" spans="1:9">
      <c r="A807" s="87" t="s">
        <v>111</v>
      </c>
      <c r="B807" s="119"/>
      <c r="C807" s="6">
        <f>SUM(C791:C793)</f>
        <v>48</v>
      </c>
      <c r="D807" s="44">
        <v>10469.74</v>
      </c>
      <c r="E807" s="44">
        <f>19821+18250.5+55727+27758.87</f>
        <v>121557.37</v>
      </c>
      <c r="F807" s="12">
        <f>SUM(F808:F810)</f>
        <v>153544.91999999998</v>
      </c>
      <c r="G807" s="12">
        <f>SUM(D807:F807)</f>
        <v>285572.02999999997</v>
      </c>
      <c r="H807" s="284">
        <f>F807-F806-F805</f>
        <v>86646.608571428544</v>
      </c>
    </row>
    <row r="808" spans="1:9">
      <c r="A808" s="131" t="s">
        <v>381</v>
      </c>
      <c r="B808" s="126"/>
      <c r="C808" s="4"/>
      <c r="D808" s="3"/>
      <c r="E808" s="77" t="s">
        <v>70</v>
      </c>
      <c r="F808" s="72">
        <v>78048.03</v>
      </c>
      <c r="G808" s="70">
        <f>F808/F807</f>
        <v>0.50830747119474884</v>
      </c>
      <c r="H808" s="71"/>
    </row>
    <row r="809" spans="1:9">
      <c r="A809" s="102" t="s">
        <v>385</v>
      </c>
      <c r="B809" s="126"/>
      <c r="C809" s="4"/>
      <c r="D809" s="3"/>
      <c r="E809" s="77" t="s">
        <v>72</v>
      </c>
      <c r="F809" s="72">
        <f>60550.4+2702.7+5085.47</f>
        <v>68338.569999999992</v>
      </c>
      <c r="G809" s="70">
        <f>F809/F807</f>
        <v>0.4450721652009067</v>
      </c>
      <c r="H809" s="71"/>
    </row>
    <row r="810" spans="1:9">
      <c r="A810" s="3"/>
      <c r="B810" s="126"/>
      <c r="C810" s="4"/>
      <c r="D810" s="3"/>
      <c r="E810" s="77" t="s">
        <v>71</v>
      </c>
      <c r="F810" s="72">
        <f>683.76+6474.56</f>
        <v>7158.3200000000006</v>
      </c>
      <c r="G810" s="70">
        <f>F810/F807</f>
        <v>4.6620363604344586E-2</v>
      </c>
      <c r="H810" s="71"/>
    </row>
    <row r="811" spans="1:9">
      <c r="A811" s="3"/>
      <c r="B811" s="126"/>
      <c r="C811" s="4"/>
      <c r="D811" s="3"/>
      <c r="E811" s="77"/>
      <c r="F811" s="72"/>
      <c r="G811" s="70"/>
      <c r="H811" s="71"/>
    </row>
    <row r="812" spans="1:9">
      <c r="A812" s="3"/>
      <c r="B812" s="126"/>
      <c r="C812" s="4"/>
      <c r="D812" s="3"/>
      <c r="E812" s="77"/>
      <c r="F812" s="72"/>
      <c r="G812" s="70"/>
      <c r="H812" s="71"/>
    </row>
    <row r="813" spans="1:9">
      <c r="A813" s="3"/>
      <c r="B813" s="126"/>
      <c r="C813" s="4"/>
      <c r="D813" s="3"/>
      <c r="E813" s="77"/>
      <c r="F813" s="72"/>
      <c r="G813" s="70"/>
      <c r="H813" s="71"/>
    </row>
    <row r="814" spans="1:9">
      <c r="A814" s="3"/>
      <c r="B814" s="126"/>
      <c r="C814" s="4"/>
      <c r="D814" s="3"/>
      <c r="E814" s="77"/>
      <c r="F814" s="72"/>
      <c r="G814" s="70"/>
      <c r="H814" s="71"/>
    </row>
    <row r="815" spans="1:9">
      <c r="A815" s="3"/>
      <c r="B815" s="126"/>
      <c r="C815" s="4"/>
      <c r="D815" s="3"/>
      <c r="E815" s="77"/>
      <c r="F815" s="72"/>
      <c r="G815" s="70"/>
      <c r="H815" s="71"/>
    </row>
    <row r="816" spans="1:9">
      <c r="A816" s="3"/>
      <c r="B816" s="126"/>
      <c r="C816" s="4"/>
      <c r="D816" s="3"/>
      <c r="E816" s="77"/>
      <c r="F816" s="72"/>
      <c r="G816" s="70"/>
      <c r="H816" s="71"/>
    </row>
    <row r="817" spans="1:8">
      <c r="A817" s="3"/>
      <c r="B817" s="126"/>
      <c r="C817" s="4"/>
      <c r="D817" s="3"/>
      <c r="E817" s="77"/>
      <c r="F817" s="72"/>
      <c r="G817" s="70"/>
      <c r="H817" s="71"/>
    </row>
    <row r="818" spans="1:8">
      <c r="A818" s="3"/>
      <c r="B818" s="126"/>
      <c r="C818" s="4"/>
      <c r="D818" s="3"/>
      <c r="E818" s="77"/>
      <c r="F818" s="72"/>
      <c r="G818" s="70"/>
      <c r="H818" s="71"/>
    </row>
    <row r="819" spans="1:8">
      <c r="A819" s="3"/>
      <c r="B819" s="126"/>
      <c r="C819" s="4"/>
      <c r="D819" s="3"/>
      <c r="E819" s="77"/>
      <c r="F819" s="72"/>
      <c r="G819" s="70"/>
      <c r="H819" s="71"/>
    </row>
    <row r="820" spans="1:8">
      <c r="A820" s="3"/>
      <c r="B820" s="126"/>
      <c r="C820" s="4"/>
      <c r="D820" s="3"/>
      <c r="E820" s="77"/>
      <c r="F820" s="72"/>
      <c r="G820" s="70"/>
      <c r="H820" s="71"/>
    </row>
    <row r="821" spans="1:8">
      <c r="A821" s="3"/>
      <c r="B821" s="126"/>
      <c r="C821" s="4"/>
      <c r="D821" s="3"/>
      <c r="E821" s="77"/>
      <c r="F821" s="72"/>
      <c r="G821" s="70"/>
      <c r="H821" s="71"/>
    </row>
    <row r="822" spans="1:8">
      <c r="A822" s="3"/>
      <c r="B822" s="126"/>
      <c r="C822" s="4"/>
      <c r="D822" s="3"/>
      <c r="E822" s="77"/>
      <c r="F822" s="72"/>
      <c r="G822" s="70"/>
      <c r="H822" s="71"/>
    </row>
    <row r="823" spans="1:8">
      <c r="A823" s="3"/>
      <c r="B823" s="126"/>
      <c r="C823" s="4"/>
      <c r="D823" s="3"/>
      <c r="E823" s="77"/>
      <c r="F823" s="72"/>
      <c r="G823" s="70"/>
      <c r="H823" s="71"/>
    </row>
    <row r="824" spans="1:8">
      <c r="A824" s="3"/>
      <c r="B824" s="126"/>
      <c r="C824" s="4"/>
      <c r="D824" s="3"/>
      <c r="E824" s="77"/>
      <c r="F824" s="72"/>
      <c r="G824" s="70"/>
      <c r="H824" s="71"/>
    </row>
    <row r="825" spans="1:8">
      <c r="A825" s="3"/>
      <c r="B825" s="126"/>
      <c r="C825" s="4"/>
      <c r="D825" s="3"/>
      <c r="E825" s="77"/>
      <c r="F825" s="72"/>
      <c r="G825" s="70"/>
      <c r="H825" s="71"/>
    </row>
    <row r="826" spans="1:8">
      <c r="A826" s="3"/>
      <c r="B826" s="126"/>
      <c r="C826" s="4"/>
      <c r="D826" s="3"/>
      <c r="E826" s="77"/>
      <c r="F826" s="72"/>
      <c r="G826" s="70"/>
      <c r="H826" s="71"/>
    </row>
    <row r="827" spans="1:8">
      <c r="A827" s="3"/>
      <c r="B827" s="126"/>
      <c r="C827" s="4"/>
      <c r="D827" s="3"/>
      <c r="E827" s="77"/>
      <c r="F827" s="72"/>
      <c r="G827" s="70"/>
      <c r="H827" s="71"/>
    </row>
    <row r="828" spans="1:8">
      <c r="A828" s="3"/>
      <c r="B828" s="126"/>
      <c r="C828" s="4"/>
      <c r="D828" s="3"/>
      <c r="E828" s="77"/>
      <c r="F828" s="72"/>
      <c r="G828" s="70"/>
      <c r="H828" s="71"/>
    </row>
    <row r="829" spans="1:8">
      <c r="A829" s="3"/>
      <c r="B829" s="126"/>
      <c r="C829" s="4"/>
      <c r="D829" s="3"/>
      <c r="E829" s="77"/>
      <c r="F829" s="72"/>
      <c r="G829" s="70"/>
      <c r="H829" s="71"/>
    </row>
    <row r="830" spans="1:8">
      <c r="A830" s="3"/>
      <c r="B830" s="126"/>
      <c r="C830" s="4"/>
      <c r="D830" s="3"/>
      <c r="E830" s="77"/>
      <c r="F830" s="72"/>
      <c r="G830" s="70"/>
      <c r="H830" s="71"/>
    </row>
    <row r="832" spans="1:8">
      <c r="A832" s="453" t="s">
        <v>355</v>
      </c>
      <c r="B832" s="453"/>
      <c r="C832" s="453"/>
      <c r="D832" s="453"/>
      <c r="E832" s="453"/>
      <c r="F832" s="453"/>
      <c r="G832" s="453"/>
    </row>
    <row r="833" spans="1:7">
      <c r="A833" s="5" t="s">
        <v>4</v>
      </c>
      <c r="B833" s="105" t="s">
        <v>45</v>
      </c>
      <c r="C833" s="6" t="s">
        <v>5</v>
      </c>
      <c r="D833" s="6" t="s">
        <v>6</v>
      </c>
      <c r="E833" s="6" t="s">
        <v>7</v>
      </c>
      <c r="F833" s="6" t="s">
        <v>8</v>
      </c>
      <c r="G833" s="6" t="s">
        <v>9</v>
      </c>
    </row>
    <row r="834" spans="1:7">
      <c r="A834" s="6" t="s">
        <v>180</v>
      </c>
      <c r="B834" s="105"/>
      <c r="C834" s="6"/>
      <c r="D834" s="7">
        <v>8047.87</v>
      </c>
      <c r="E834" s="7">
        <v>0</v>
      </c>
      <c r="F834" s="7">
        <f>SUM(F836:F838)</f>
        <v>18835.359999999997</v>
      </c>
      <c r="G834" s="7">
        <f>26883.23</f>
        <v>26883.23</v>
      </c>
    </row>
    <row r="835" spans="1:7">
      <c r="A835" s="10" t="s">
        <v>10</v>
      </c>
      <c r="B835" s="105"/>
      <c r="C835" s="6"/>
      <c r="D835" s="12"/>
      <c r="E835" s="12"/>
      <c r="F835" s="12"/>
      <c r="G835" s="12"/>
    </row>
    <row r="836" spans="1:7">
      <c r="A836" s="239" t="s">
        <v>382</v>
      </c>
      <c r="B836" s="120"/>
      <c r="C836" s="4"/>
      <c r="D836" s="3"/>
      <c r="E836" s="77" t="s">
        <v>70</v>
      </c>
      <c r="F836" s="3"/>
      <c r="G836" s="70" t="e">
        <f>F836/F835</f>
        <v>#DIV/0!</v>
      </c>
    </row>
    <row r="837" spans="1:7">
      <c r="A837" s="19"/>
      <c r="B837" s="120"/>
      <c r="C837" s="4"/>
      <c r="D837" s="3"/>
      <c r="E837" s="77" t="s">
        <v>72</v>
      </c>
      <c r="F837" s="3">
        <v>259.35000000000002</v>
      </c>
      <c r="G837" s="70" t="e">
        <f>F837/F835</f>
        <v>#DIV/0!</v>
      </c>
    </row>
    <row r="838" spans="1:7">
      <c r="A838" s="19"/>
      <c r="B838" s="120"/>
      <c r="C838" s="4"/>
      <c r="D838" s="3"/>
      <c r="E838" s="77" t="s">
        <v>71</v>
      </c>
      <c r="F838" s="3">
        <v>18576.009999999998</v>
      </c>
      <c r="G838" s="3" t="e">
        <f>F838/F835</f>
        <v>#DIV/0!</v>
      </c>
    </row>
    <row r="841" spans="1:7">
      <c r="A841" s="452" t="s">
        <v>377</v>
      </c>
      <c r="B841" s="453"/>
      <c r="C841" s="453"/>
      <c r="D841" s="453"/>
      <c r="E841" s="453"/>
      <c r="F841" s="453"/>
      <c r="G841" s="453"/>
    </row>
    <row r="842" spans="1:7">
      <c r="A842" s="5" t="s">
        <v>4</v>
      </c>
      <c r="B842" s="133" t="s">
        <v>45</v>
      </c>
      <c r="C842" s="6" t="s">
        <v>5</v>
      </c>
      <c r="D842" s="6" t="s">
        <v>6</v>
      </c>
      <c r="E842" s="6" t="s">
        <v>7</v>
      </c>
      <c r="F842" s="6" t="s">
        <v>8</v>
      </c>
      <c r="G842" s="6" t="s">
        <v>9</v>
      </c>
    </row>
    <row r="843" spans="1:7" hidden="1">
      <c r="A843" s="6" t="s">
        <v>188</v>
      </c>
      <c r="B843" s="134"/>
      <c r="C843" s="6"/>
      <c r="D843" s="6"/>
      <c r="E843" s="6"/>
      <c r="F843" s="6"/>
      <c r="G843" s="6"/>
    </row>
    <row r="844" spans="1:7" hidden="1">
      <c r="A844" s="6" t="s">
        <v>189</v>
      </c>
      <c r="B844" s="134"/>
      <c r="C844" s="6"/>
      <c r="D844" s="6"/>
      <c r="E844" s="6"/>
      <c r="F844" s="6"/>
      <c r="G844" s="6"/>
    </row>
    <row r="845" spans="1:7" hidden="1">
      <c r="A845" s="6" t="s">
        <v>189</v>
      </c>
      <c r="B845" s="134"/>
      <c r="C845" s="6"/>
      <c r="D845" s="6"/>
      <c r="E845" s="6"/>
      <c r="F845" s="6"/>
      <c r="G845" s="6"/>
    </row>
    <row r="846" spans="1:7" hidden="1">
      <c r="A846" s="6" t="s">
        <v>78</v>
      </c>
      <c r="B846" s="134"/>
      <c r="C846" s="6"/>
      <c r="D846" s="6"/>
      <c r="E846" s="6"/>
      <c r="F846" s="6"/>
      <c r="G846" s="6"/>
    </row>
    <row r="847" spans="1:7" hidden="1">
      <c r="A847" s="6" t="s">
        <v>122</v>
      </c>
      <c r="B847" s="134"/>
      <c r="C847" s="6"/>
      <c r="D847" s="6"/>
      <c r="E847" s="6"/>
      <c r="F847" s="6"/>
      <c r="G847" s="6"/>
    </row>
    <row r="848" spans="1:7" hidden="1">
      <c r="A848" s="6" t="s">
        <v>75</v>
      </c>
      <c r="B848" s="134"/>
      <c r="C848" s="6"/>
      <c r="D848" s="6"/>
      <c r="E848" s="6"/>
      <c r="F848" s="6"/>
      <c r="G848" s="6"/>
    </row>
    <row r="849" spans="1:9" hidden="1">
      <c r="A849" s="6" t="s">
        <v>79</v>
      </c>
      <c r="B849" s="134"/>
      <c r="C849" s="6"/>
      <c r="D849" s="6"/>
      <c r="E849" s="6"/>
      <c r="F849" s="6"/>
      <c r="G849" s="6"/>
    </row>
    <row r="850" spans="1:9" hidden="1">
      <c r="A850" s="6" t="s">
        <v>80</v>
      </c>
      <c r="B850" s="134"/>
      <c r="C850" s="6"/>
      <c r="D850" s="6"/>
      <c r="E850" s="6"/>
      <c r="F850" s="6"/>
      <c r="G850" s="6"/>
    </row>
    <row r="851" spans="1:9" hidden="1">
      <c r="A851" s="6" t="s">
        <v>81</v>
      </c>
      <c r="B851" s="134"/>
      <c r="C851" s="6"/>
      <c r="D851" s="6"/>
      <c r="E851" s="6"/>
      <c r="F851" s="6"/>
      <c r="G851" s="6"/>
    </row>
    <row r="852" spans="1:9" hidden="1">
      <c r="A852" s="6" t="s">
        <v>82</v>
      </c>
      <c r="B852" s="134"/>
      <c r="C852" s="6"/>
      <c r="D852" s="6"/>
      <c r="E852" s="6"/>
      <c r="F852" s="6"/>
      <c r="G852" s="6"/>
    </row>
    <row r="853" spans="1:9" hidden="1">
      <c r="A853" s="6" t="s">
        <v>83</v>
      </c>
      <c r="B853" s="134"/>
      <c r="C853" s="6"/>
      <c r="D853" s="6"/>
      <c r="E853" s="6"/>
      <c r="F853" s="6"/>
      <c r="G853" s="6"/>
    </row>
    <row r="854" spans="1:9" hidden="1">
      <c r="A854" s="6" t="s">
        <v>122</v>
      </c>
      <c r="B854" s="134"/>
      <c r="C854" s="6"/>
      <c r="D854" s="6"/>
      <c r="E854" s="6"/>
      <c r="F854" s="6"/>
      <c r="G854" s="6"/>
    </row>
    <row r="855" spans="1:9" hidden="1">
      <c r="A855" s="6" t="s">
        <v>190</v>
      </c>
      <c r="B855" s="134"/>
      <c r="C855" s="6"/>
      <c r="D855" s="6"/>
      <c r="E855" s="6"/>
      <c r="F855" s="6"/>
      <c r="G855" s="6"/>
    </row>
    <row r="856" spans="1:9" hidden="1">
      <c r="A856" s="6" t="s">
        <v>84</v>
      </c>
      <c r="B856" s="134"/>
      <c r="C856" s="6"/>
      <c r="D856" s="6"/>
      <c r="E856" s="6"/>
      <c r="F856" s="6"/>
      <c r="G856" s="6"/>
    </row>
    <row r="857" spans="1:9" hidden="1">
      <c r="A857" s="6" t="s">
        <v>85</v>
      </c>
      <c r="B857" s="134"/>
      <c r="C857" s="6"/>
      <c r="D857" s="6"/>
      <c r="E857" s="6"/>
      <c r="F857" s="6"/>
      <c r="G857" s="6"/>
    </row>
    <row r="858" spans="1:9" hidden="1">
      <c r="A858" s="6" t="s">
        <v>89</v>
      </c>
      <c r="B858" s="134"/>
      <c r="C858" s="10"/>
      <c r="D858" s="6"/>
      <c r="E858" s="6"/>
      <c r="F858" s="6"/>
      <c r="G858" s="6"/>
    </row>
    <row r="859" spans="1:9" hidden="1">
      <c r="A859" s="6" t="s">
        <v>86</v>
      </c>
      <c r="B859" s="134"/>
      <c r="C859" s="10"/>
      <c r="D859" s="6"/>
      <c r="E859" s="6"/>
      <c r="F859" s="6"/>
      <c r="G859" s="6"/>
    </row>
    <row r="860" spans="1:9" hidden="1">
      <c r="A860" s="6" t="s">
        <v>87</v>
      </c>
      <c r="B860" s="134"/>
      <c r="C860" s="10"/>
      <c r="D860" s="6"/>
      <c r="E860" s="6"/>
      <c r="F860" s="6"/>
      <c r="G860" s="6"/>
    </row>
    <row r="861" spans="1:9" hidden="1">
      <c r="A861" s="6" t="s">
        <v>88</v>
      </c>
      <c r="B861" s="134"/>
      <c r="C861" s="10"/>
      <c r="D861" s="6"/>
      <c r="E861" s="6"/>
      <c r="F861" s="6"/>
      <c r="G861" s="6"/>
    </row>
    <row r="862" spans="1:9" hidden="1">
      <c r="A862" s="6" t="s">
        <v>90</v>
      </c>
      <c r="B862" s="134"/>
      <c r="C862" s="10"/>
      <c r="D862" s="6"/>
      <c r="E862" s="6"/>
      <c r="F862" s="6"/>
      <c r="G862" s="6"/>
      <c r="H862" s="254"/>
    </row>
    <row r="863" spans="1:9" hidden="1">
      <c r="A863" s="6" t="s">
        <v>204</v>
      </c>
      <c r="B863" s="134"/>
      <c r="C863" s="6"/>
      <c r="D863" s="7"/>
      <c r="E863" s="7"/>
      <c r="F863" s="7"/>
      <c r="G863" s="7"/>
      <c r="H863" s="261" t="s">
        <v>335</v>
      </c>
      <c r="I863" s="270" t="s">
        <v>340</v>
      </c>
    </row>
    <row r="864" spans="1:9" hidden="1">
      <c r="A864" s="6" t="s">
        <v>57</v>
      </c>
      <c r="B864" s="134"/>
      <c r="C864" s="6"/>
      <c r="D864" s="6"/>
      <c r="E864" s="6"/>
      <c r="F864" s="6"/>
      <c r="G864" s="6"/>
      <c r="H864" s="284"/>
    </row>
    <row r="865" spans="1:8">
      <c r="A865" s="54" t="s">
        <v>323</v>
      </c>
      <c r="B865" s="134"/>
      <c r="C865" s="6"/>
      <c r="D865" s="7">
        <v>1368.5</v>
      </c>
      <c r="E865" s="7">
        <v>0</v>
      </c>
      <c r="F865" s="7">
        <v>138347.35999999999</v>
      </c>
      <c r="G865" s="7">
        <v>139715.85999999999</v>
      </c>
      <c r="H865" s="71"/>
    </row>
    <row r="866" spans="1:8">
      <c r="A866" s="10" t="s">
        <v>10</v>
      </c>
      <c r="B866" s="135"/>
      <c r="C866" s="10"/>
      <c r="D866" s="12">
        <f>1368.5</f>
        <v>1368.5</v>
      </c>
      <c r="E866" s="12">
        <v>0</v>
      </c>
      <c r="F866" s="12">
        <f>SUM(F867:F869)</f>
        <v>138347.35999999999</v>
      </c>
      <c r="G866" s="12">
        <f>SUM(D866:F866)</f>
        <v>139715.85999999999</v>
      </c>
      <c r="H866" s="71"/>
    </row>
    <row r="867" spans="1:8">
      <c r="A867" s="101" t="s">
        <v>379</v>
      </c>
      <c r="B867" s="121"/>
      <c r="C867" s="47"/>
      <c r="D867" s="47"/>
      <c r="E867" s="77" t="s">
        <v>70</v>
      </c>
      <c r="F867" s="74">
        <v>135204.9</v>
      </c>
      <c r="G867" s="73">
        <f>F867/F866</f>
        <v>0.97728572485951315</v>
      </c>
      <c r="H867" s="71"/>
    </row>
    <row r="868" spans="1:8">
      <c r="E868" s="77" t="s">
        <v>72</v>
      </c>
      <c r="F868" s="74">
        <v>0</v>
      </c>
      <c r="G868" s="73">
        <f>F868/F866</f>
        <v>0</v>
      </c>
    </row>
    <row r="869" spans="1:8">
      <c r="E869" s="77" t="s">
        <v>71</v>
      </c>
      <c r="F869" s="74">
        <f>846.15+2296.31</f>
        <v>3142.46</v>
      </c>
      <c r="G869" s="73">
        <f>F869/F866</f>
        <v>2.2714275140486961E-2</v>
      </c>
    </row>
    <row r="887" spans="1:9" s="399" customFormat="1">
      <c r="B887" s="398"/>
      <c r="H887" s="400"/>
      <c r="I887" s="401"/>
    </row>
    <row r="889" spans="1:9">
      <c r="A889" s="20" t="s">
        <v>389</v>
      </c>
      <c r="B889" s="104"/>
      <c r="C889" s="2"/>
      <c r="D889" s="21"/>
      <c r="E889" s="21"/>
      <c r="F889" s="21"/>
      <c r="G889" s="21"/>
    </row>
    <row r="890" spans="1:9">
      <c r="A890" s="23" t="s">
        <v>12</v>
      </c>
      <c r="B890" s="105" t="s">
        <v>45</v>
      </c>
      <c r="C890" s="6" t="s">
        <v>5</v>
      </c>
      <c r="D890" s="21" t="s">
        <v>13</v>
      </c>
      <c r="E890" s="21" t="s">
        <v>14</v>
      </c>
      <c r="F890" s="21" t="s">
        <v>15</v>
      </c>
      <c r="G890" s="21" t="s">
        <v>16</v>
      </c>
    </row>
    <row r="891" spans="1:9" hidden="1">
      <c r="A891" s="23" t="s">
        <v>0</v>
      </c>
      <c r="B891" s="106"/>
      <c r="C891" s="24"/>
      <c r="D891" s="24"/>
      <c r="E891" s="24"/>
      <c r="F891" s="24"/>
      <c r="G891" s="24"/>
    </row>
    <row r="892" spans="1:9" hidden="1">
      <c r="A892" s="59" t="s">
        <v>217</v>
      </c>
      <c r="B892" s="106"/>
      <c r="C892" s="24"/>
      <c r="D892" s="24"/>
      <c r="E892" s="24"/>
      <c r="F892" s="24"/>
      <c r="G892" s="24"/>
    </row>
    <row r="893" spans="1:9" hidden="1">
      <c r="A893" s="23" t="s">
        <v>17</v>
      </c>
      <c r="B893" s="106"/>
      <c r="C893" s="24"/>
      <c r="D893" s="24"/>
      <c r="E893" s="24"/>
      <c r="F893" s="24"/>
      <c r="G893" s="24"/>
    </row>
    <row r="894" spans="1:9" hidden="1">
      <c r="A894" s="59" t="s">
        <v>203</v>
      </c>
      <c r="B894" s="106"/>
      <c r="C894" s="24"/>
      <c r="D894" s="24"/>
      <c r="E894" s="24"/>
      <c r="F894" s="24"/>
      <c r="G894" s="24"/>
    </row>
    <row r="895" spans="1:9" hidden="1">
      <c r="A895" s="58" t="s">
        <v>320</v>
      </c>
      <c r="B895" s="22"/>
      <c r="C895" s="24"/>
      <c r="D895" s="24">
        <v>28607.78</v>
      </c>
      <c r="E895" s="24">
        <v>0</v>
      </c>
      <c r="F895" s="24">
        <v>161852.80000000002</v>
      </c>
      <c r="G895" s="24">
        <v>190460.58000000002</v>
      </c>
    </row>
    <row r="896" spans="1:9" hidden="1">
      <c r="A896" s="23" t="s">
        <v>18</v>
      </c>
      <c r="B896" s="106"/>
      <c r="C896" s="24"/>
      <c r="D896" s="24"/>
      <c r="E896" s="24"/>
      <c r="F896" s="24"/>
      <c r="G896" s="24"/>
    </row>
    <row r="897" spans="1:11" hidden="1">
      <c r="A897" s="23" t="s">
        <v>19</v>
      </c>
      <c r="B897" s="106"/>
      <c r="C897" s="24"/>
      <c r="D897" s="24"/>
      <c r="E897" s="24"/>
      <c r="F897" s="24"/>
      <c r="G897" s="24"/>
    </row>
    <row r="898" spans="1:11" hidden="1">
      <c r="A898" s="23" t="s">
        <v>73</v>
      </c>
      <c r="B898" s="106"/>
      <c r="C898" s="24"/>
      <c r="D898" s="24"/>
      <c r="E898" s="24"/>
      <c r="F898" s="24"/>
      <c r="G898" s="24"/>
    </row>
    <row r="899" spans="1:11" hidden="1">
      <c r="A899" s="56" t="s">
        <v>202</v>
      </c>
      <c r="B899" s="106"/>
      <c r="C899" s="24"/>
      <c r="D899" s="24"/>
      <c r="E899" s="24"/>
      <c r="F899" s="24"/>
      <c r="G899" s="24"/>
      <c r="H899" s="252"/>
    </row>
    <row r="900" spans="1:11">
      <c r="A900" s="93" t="s">
        <v>422</v>
      </c>
      <c r="B900" s="106"/>
      <c r="C900" s="24"/>
      <c r="D900" s="24">
        <v>28607.78</v>
      </c>
      <c r="E900" s="24">
        <v>0</v>
      </c>
      <c r="F900" s="24">
        <v>161852.80000000002</v>
      </c>
      <c r="G900" s="24">
        <v>190460.58000000002</v>
      </c>
      <c r="H900" s="252"/>
    </row>
    <row r="901" spans="1:11" hidden="1">
      <c r="A901" s="93" t="s">
        <v>315</v>
      </c>
      <c r="B901" s="106"/>
      <c r="C901" s="24"/>
      <c r="D901" s="24"/>
      <c r="E901" s="24"/>
      <c r="F901" s="24"/>
      <c r="G901" s="24"/>
      <c r="H901" s="252"/>
    </row>
    <row r="902" spans="1:11">
      <c r="A902" s="20" t="s">
        <v>20</v>
      </c>
      <c r="B902" s="104"/>
      <c r="C902" s="25"/>
      <c r="D902" s="103">
        <f>28607.78</f>
        <v>28607.78</v>
      </c>
      <c r="E902" s="103">
        <v>0</v>
      </c>
      <c r="F902" s="103">
        <f>SUM(F903:F905)</f>
        <v>161852.80000000002</v>
      </c>
      <c r="G902" s="103">
        <f>SUM(D902:F902)</f>
        <v>190460.58000000002</v>
      </c>
      <c r="H902" s="261"/>
    </row>
    <row r="903" spans="1:11">
      <c r="A903" s="397" t="s">
        <v>423</v>
      </c>
      <c r="B903" s="128"/>
      <c r="C903" s="65"/>
      <c r="D903" s="65"/>
      <c r="E903" s="77" t="s">
        <v>70</v>
      </c>
      <c r="F903" s="22">
        <v>92729.91</v>
      </c>
      <c r="G903" s="73">
        <f>F903/F902</f>
        <v>0.57292743777061628</v>
      </c>
      <c r="H903" s="71"/>
    </row>
    <row r="904" spans="1:11">
      <c r="A904" s="102"/>
      <c r="B904" s="128"/>
      <c r="C904" s="62"/>
      <c r="D904" s="62"/>
      <c r="E904" s="77" t="s">
        <v>72</v>
      </c>
      <c r="F904" s="22">
        <f>24786.32+32478.63+1173.53</f>
        <v>58438.479999999996</v>
      </c>
      <c r="G904" s="73">
        <f>F904/F902</f>
        <v>0.36105943177998767</v>
      </c>
      <c r="H904" s="71"/>
    </row>
    <row r="905" spans="1:11">
      <c r="A905" s="61"/>
      <c r="B905" s="128"/>
      <c r="C905" s="62"/>
      <c r="D905" s="62"/>
      <c r="E905" s="77" t="s">
        <v>71</v>
      </c>
      <c r="F905" s="22">
        <f>10684.41</f>
        <v>10684.41</v>
      </c>
      <c r="G905" s="73">
        <f>F905/F902</f>
        <v>6.6013130449395982E-2</v>
      </c>
      <c r="H905" s="71"/>
    </row>
    <row r="906" spans="1:11">
      <c r="A906" s="61"/>
      <c r="B906" s="128"/>
      <c r="C906" s="62"/>
      <c r="D906" s="62"/>
      <c r="E906" s="77"/>
      <c r="G906" s="73"/>
      <c r="H906" s="71"/>
    </row>
    <row r="907" spans="1:11">
      <c r="A907" s="61"/>
      <c r="B907" s="128"/>
      <c r="C907" s="62"/>
      <c r="D907" s="62"/>
      <c r="E907" s="77"/>
      <c r="G907" s="73"/>
      <c r="H907" s="71"/>
    </row>
    <row r="908" spans="1:11">
      <c r="A908" s="61"/>
      <c r="B908" s="128"/>
      <c r="C908" s="62"/>
      <c r="D908" s="62"/>
      <c r="E908" s="77"/>
      <c r="G908" s="73"/>
      <c r="H908" s="71"/>
    </row>
    <row r="909" spans="1:11">
      <c r="A909" s="61"/>
      <c r="B909" s="128"/>
      <c r="C909" s="62"/>
      <c r="D909" s="62"/>
      <c r="E909" s="77"/>
      <c r="G909" s="73"/>
      <c r="H909" s="71"/>
    </row>
    <row r="910" spans="1:11">
      <c r="A910" s="61"/>
      <c r="B910" s="128"/>
      <c r="C910" s="62"/>
      <c r="D910" s="62"/>
      <c r="E910" s="77"/>
      <c r="G910" s="73"/>
      <c r="H910" s="71"/>
    </row>
    <row r="911" spans="1:11">
      <c r="A911" s="61"/>
      <c r="B911" s="128"/>
      <c r="C911" s="62"/>
      <c r="D911" s="62"/>
      <c r="E911" s="77"/>
      <c r="G911" s="73"/>
      <c r="H911" s="71"/>
    </row>
    <row r="912" spans="1:11">
      <c r="A912" s="61"/>
      <c r="B912" s="128"/>
      <c r="C912" s="62"/>
      <c r="D912" s="62"/>
      <c r="E912" s="77"/>
      <c r="G912" s="73"/>
      <c r="H912" s="71"/>
      <c r="J912" s="74"/>
      <c r="K912" s="74"/>
    </row>
    <row r="913" spans="1:11">
      <c r="A913" s="61"/>
      <c r="B913" s="128"/>
      <c r="C913" s="62"/>
      <c r="D913" s="62"/>
      <c r="E913" s="77"/>
      <c r="G913" s="73"/>
      <c r="H913" s="71"/>
      <c r="J913" s="74"/>
      <c r="K913" s="74"/>
    </row>
    <row r="914" spans="1:11">
      <c r="A914" s="61"/>
      <c r="B914" s="128"/>
      <c r="C914" s="62"/>
      <c r="D914" s="62"/>
      <c r="E914" s="77"/>
      <c r="G914" s="73"/>
      <c r="H914" s="71"/>
      <c r="J914" s="74"/>
      <c r="K914" s="74"/>
    </row>
    <row r="915" spans="1:11">
      <c r="A915" s="61"/>
      <c r="B915" s="128"/>
      <c r="C915" s="62"/>
      <c r="D915" s="62"/>
      <c r="E915" s="77"/>
      <c r="G915" s="73"/>
      <c r="H915" s="71"/>
      <c r="J915" s="74"/>
      <c r="K915" s="74"/>
    </row>
    <row r="916" spans="1:11">
      <c r="A916" s="61"/>
      <c r="B916" s="128"/>
      <c r="C916" s="62"/>
      <c r="D916" s="62"/>
      <c r="E916" s="77"/>
      <c r="G916" s="73"/>
      <c r="H916" s="71"/>
      <c r="J916" s="74"/>
      <c r="K916" s="74"/>
    </row>
    <row r="917" spans="1:11">
      <c r="A917" s="61"/>
      <c r="B917" s="128"/>
      <c r="C917" s="62"/>
      <c r="D917" s="62"/>
      <c r="E917" s="77"/>
      <c r="G917" s="73"/>
      <c r="H917" s="71"/>
      <c r="J917" s="74"/>
      <c r="K917" s="74"/>
    </row>
    <row r="918" spans="1:11">
      <c r="A918" s="61"/>
      <c r="B918" s="128"/>
      <c r="C918" s="62"/>
      <c r="D918" s="62"/>
      <c r="E918" s="77"/>
      <c r="G918" s="73"/>
      <c r="H918" s="71"/>
      <c r="J918" s="74"/>
      <c r="K918" s="74"/>
    </row>
    <row r="919" spans="1:11">
      <c r="A919" s="61"/>
      <c r="B919" s="128"/>
      <c r="C919" s="62"/>
      <c r="D919" s="62"/>
      <c r="E919" s="77"/>
      <c r="G919" s="73"/>
      <c r="H919" s="71"/>
      <c r="J919" s="74"/>
      <c r="K919" s="74"/>
    </row>
    <row r="920" spans="1:11">
      <c r="A920" s="20" t="s">
        <v>390</v>
      </c>
      <c r="B920" s="105" t="s">
        <v>45</v>
      </c>
      <c r="C920" s="6" t="s">
        <v>5</v>
      </c>
      <c r="D920" s="29" t="s">
        <v>6</v>
      </c>
      <c r="E920" s="29" t="s">
        <v>7</v>
      </c>
      <c r="F920" s="29" t="s">
        <v>8</v>
      </c>
      <c r="G920" s="29" t="s">
        <v>9</v>
      </c>
      <c r="J920" s="74"/>
      <c r="K920" s="74"/>
    </row>
    <row r="921" spans="1:11" hidden="1">
      <c r="A921" s="30" t="s">
        <v>21</v>
      </c>
      <c r="B921" s="127"/>
      <c r="C921" s="31"/>
      <c r="D921" s="31"/>
      <c r="E921" s="31"/>
      <c r="F921" s="31"/>
      <c r="G921" s="31"/>
      <c r="J921" s="74"/>
      <c r="K921" s="74"/>
    </row>
    <row r="922" spans="1:11">
      <c r="A922" s="56" t="s">
        <v>59</v>
      </c>
      <c r="B922" s="127">
        <v>771.86</v>
      </c>
      <c r="C922" s="31">
        <v>144</v>
      </c>
      <c r="D922" s="430">
        <v>70783.04327811682</v>
      </c>
      <c r="E922" s="430">
        <v>45240.103888404534</v>
      </c>
      <c r="F922" s="430">
        <v>67547.228317349611</v>
      </c>
      <c r="G922" s="31">
        <f>SUM(D922:F922)</f>
        <v>183570.37548387097</v>
      </c>
      <c r="J922" s="74"/>
      <c r="K922" s="74"/>
    </row>
    <row r="923" spans="1:11">
      <c r="A923" s="426" t="s">
        <v>59</v>
      </c>
      <c r="B923" s="406"/>
      <c r="C923" s="427">
        <v>96</v>
      </c>
      <c r="D923" s="427">
        <f t="shared" ref="D923:F923" si="39">C923/C$936*D$936</f>
        <v>76992.082162162173</v>
      </c>
      <c r="E923" s="427">
        <f t="shared" si="39"/>
        <v>49208.534054054064</v>
      </c>
      <c r="F923" s="427">
        <f t="shared" si="39"/>
        <v>73472.423783783801</v>
      </c>
      <c r="G923" s="427">
        <f t="shared" ref="G923:G929" si="40">SUM(D923:F923)</f>
        <v>199673.04000000004</v>
      </c>
      <c r="J923" s="74"/>
      <c r="K923" s="74"/>
    </row>
    <row r="924" spans="1:11" hidden="1">
      <c r="A924" s="56" t="s">
        <v>201</v>
      </c>
      <c r="B924" s="127"/>
      <c r="C924" s="31"/>
      <c r="D924" s="31">
        <f t="shared" ref="D924:F924" si="41">C924/C$936*D$936</f>
        <v>0</v>
      </c>
      <c r="E924" s="31">
        <f t="shared" si="41"/>
        <v>0</v>
      </c>
      <c r="F924" s="31">
        <f t="shared" si="41"/>
        <v>0</v>
      </c>
      <c r="G924" s="31">
        <f t="shared" si="40"/>
        <v>0</v>
      </c>
      <c r="J924" s="74"/>
      <c r="K924" s="74"/>
    </row>
    <row r="925" spans="1:11" hidden="1">
      <c r="A925" s="56" t="s">
        <v>58</v>
      </c>
      <c r="B925" s="127"/>
      <c r="C925" s="14"/>
      <c r="D925" s="31">
        <f t="shared" ref="D925:F925" si="42">C925/C$936*D$936</f>
        <v>0</v>
      </c>
      <c r="E925" s="31">
        <f t="shared" si="42"/>
        <v>0</v>
      </c>
      <c r="F925" s="31">
        <f t="shared" si="42"/>
        <v>0</v>
      </c>
      <c r="G925" s="31">
        <f t="shared" si="40"/>
        <v>0</v>
      </c>
      <c r="J925" s="74"/>
      <c r="K925" s="74"/>
    </row>
    <row r="926" spans="1:11">
      <c r="A926" s="30" t="s">
        <v>22</v>
      </c>
      <c r="B926" s="127">
        <v>409.61</v>
      </c>
      <c r="C926" s="14">
        <v>96</v>
      </c>
      <c r="D926" s="430">
        <v>47188.695518744556</v>
      </c>
      <c r="E926" s="430">
        <v>30160.069258936361</v>
      </c>
      <c r="F926" s="430">
        <v>45031.485544899748</v>
      </c>
      <c r="G926" s="31">
        <f t="shared" si="40"/>
        <v>122380.25032258066</v>
      </c>
      <c r="J926" s="71"/>
      <c r="K926" s="71"/>
    </row>
    <row r="927" spans="1:11">
      <c r="A927" s="428" t="s">
        <v>22</v>
      </c>
      <c r="B927" s="406"/>
      <c r="C927" s="429">
        <v>48</v>
      </c>
      <c r="D927" s="427">
        <f t="shared" ref="D927:F927" si="43">C927/C$936*D$936</f>
        <v>38496.041081081086</v>
      </c>
      <c r="E927" s="427">
        <f t="shared" si="43"/>
        <v>24604.267027027032</v>
      </c>
      <c r="F927" s="427">
        <f t="shared" si="43"/>
        <v>36736.2118918919</v>
      </c>
      <c r="G927" s="427">
        <f t="shared" si="40"/>
        <v>99836.520000000019</v>
      </c>
      <c r="J927" s="74"/>
      <c r="K927" s="74"/>
    </row>
    <row r="928" spans="1:11">
      <c r="A928" s="30" t="s">
        <v>23</v>
      </c>
      <c r="B928" s="109">
        <v>1034.711</v>
      </c>
      <c r="C928" s="31">
        <v>12</v>
      </c>
      <c r="D928" s="430">
        <f t="shared" ref="D928:F928" si="44">C928/C$936*D$936</f>
        <v>9624.0102702702716</v>
      </c>
      <c r="E928" s="430">
        <f t="shared" si="44"/>
        <v>6151.066756756758</v>
      </c>
      <c r="F928" s="430">
        <f t="shared" si="44"/>
        <v>9184.0529729729751</v>
      </c>
      <c r="G928" s="31">
        <f t="shared" si="40"/>
        <v>24959.130000000005</v>
      </c>
      <c r="J928" s="74"/>
      <c r="K928" s="74"/>
    </row>
    <row r="929" spans="1:8">
      <c r="A929" s="30" t="s">
        <v>24</v>
      </c>
      <c r="B929" s="127">
        <v>149.91999999999999</v>
      </c>
      <c r="C929" s="31">
        <v>48</v>
      </c>
      <c r="D929" s="430">
        <v>23594.347759372278</v>
      </c>
      <c r="E929" s="430">
        <v>15080.03462946818</v>
      </c>
      <c r="F929" s="430">
        <v>22515.742772449874</v>
      </c>
      <c r="G929" s="31">
        <f t="shared" si="40"/>
        <v>61190.125161290329</v>
      </c>
    </row>
    <row r="930" spans="1:8" hidden="1">
      <c r="A930" s="30" t="s">
        <v>25</v>
      </c>
      <c r="B930" s="109"/>
      <c r="C930" s="31"/>
      <c r="D930" s="31"/>
      <c r="E930" s="31"/>
      <c r="F930" s="31"/>
      <c r="G930" s="31"/>
    </row>
    <row r="931" spans="1:8" hidden="1">
      <c r="A931" s="30" t="s">
        <v>26</v>
      </c>
      <c r="B931" s="109"/>
      <c r="C931" s="31"/>
      <c r="D931" s="31"/>
      <c r="E931" s="31"/>
      <c r="F931" s="31"/>
      <c r="G931" s="31"/>
    </row>
    <row r="932" spans="1:8" hidden="1">
      <c r="A932" s="23" t="s">
        <v>199</v>
      </c>
      <c r="B932" s="109"/>
      <c r="C932" s="14"/>
      <c r="D932" s="31"/>
      <c r="E932" s="31"/>
      <c r="F932" s="31"/>
      <c r="G932" s="31"/>
    </row>
    <row r="933" spans="1:8" hidden="1">
      <c r="A933" s="56" t="s">
        <v>320</v>
      </c>
      <c r="B933" s="109"/>
      <c r="C933" s="14"/>
      <c r="D933" s="31"/>
      <c r="E933" s="31"/>
      <c r="F933" s="31"/>
      <c r="G933" s="31"/>
    </row>
    <row r="934" spans="1:8" hidden="1">
      <c r="A934" s="56" t="s">
        <v>202</v>
      </c>
      <c r="B934" s="109"/>
      <c r="C934" s="14"/>
      <c r="D934" s="31"/>
      <c r="E934" s="31"/>
      <c r="F934" s="31"/>
      <c r="G934" s="31"/>
    </row>
    <row r="935" spans="1:8">
      <c r="A935" s="56" t="s">
        <v>426</v>
      </c>
      <c r="B935" s="109"/>
      <c r="C935" s="14"/>
      <c r="D935" s="427">
        <v>89410.159930252834</v>
      </c>
      <c r="E935" s="427">
        <v>57145.394385353102</v>
      </c>
      <c r="F935" s="427">
        <v>85322.814716652152</v>
      </c>
      <c r="G935" s="427">
        <f>SUM(D935:F935)</f>
        <v>231878.36903225808</v>
      </c>
    </row>
    <row r="936" spans="1:8">
      <c r="A936" s="20" t="s">
        <v>20</v>
      </c>
      <c r="B936" s="104"/>
      <c r="C936" s="25">
        <f>SUM(C922:C929)</f>
        <v>444</v>
      </c>
      <c r="D936" s="25">
        <v>356088.38</v>
      </c>
      <c r="E936" s="25">
        <f>7183+89843.5+22852.22+107710.75</f>
        <v>227589.47</v>
      </c>
      <c r="F936" s="25">
        <f>SUM(F937:F939)</f>
        <v>339809.96</v>
      </c>
      <c r="G936" s="25">
        <f>SUM(D936:F936)</f>
        <v>923487.81</v>
      </c>
      <c r="H936" s="53">
        <f>F928</f>
        <v>9184.0529729729751</v>
      </c>
    </row>
    <row r="937" spans="1:8">
      <c r="A937" s="101"/>
      <c r="B937" s="110"/>
      <c r="C937" s="27"/>
      <c r="D937" s="27"/>
      <c r="E937" s="77" t="s">
        <v>70</v>
      </c>
      <c r="F937" s="63">
        <v>281193.26</v>
      </c>
      <c r="G937" s="64">
        <f>F937/F936</f>
        <v>0.82750152467573346</v>
      </c>
      <c r="H937" s="53">
        <f>G937*H936</f>
        <v>7599.8178378378398</v>
      </c>
    </row>
    <row r="938" spans="1:8">
      <c r="A938" s="101"/>
      <c r="B938" s="110"/>
      <c r="C938" s="27"/>
      <c r="D938" s="27"/>
      <c r="E938" s="77" t="s">
        <v>72</v>
      </c>
      <c r="F938" s="63">
        <v>525.80999999999995</v>
      </c>
      <c r="G938" s="64">
        <f>F938/F936</f>
        <v>1.5473648859497817E-3</v>
      </c>
      <c r="H938" s="53">
        <f>G938*H936</f>
        <v>14.211081081081081</v>
      </c>
    </row>
    <row r="939" spans="1:8">
      <c r="A939" s="61"/>
      <c r="B939" s="110"/>
      <c r="C939" s="27"/>
      <c r="E939" s="77" t="s">
        <v>71</v>
      </c>
      <c r="F939" s="22">
        <v>58090.89</v>
      </c>
      <c r="G939" s="64">
        <f>F939/F936</f>
        <v>0.17095111043831673</v>
      </c>
      <c r="H939" s="53">
        <f>G939*H936</f>
        <v>1570.0240540540542</v>
      </c>
    </row>
    <row r="953" spans="1:7">
      <c r="A953" s="20" t="s">
        <v>391</v>
      </c>
      <c r="B953" s="105" t="s">
        <v>45</v>
      </c>
      <c r="C953" s="6" t="s">
        <v>5</v>
      </c>
      <c r="D953" s="21" t="s">
        <v>13</v>
      </c>
      <c r="E953" s="21" t="s">
        <v>14</v>
      </c>
      <c r="F953" s="21" t="s">
        <v>15</v>
      </c>
      <c r="G953" s="21" t="s">
        <v>16</v>
      </c>
    </row>
    <row r="954" spans="1:7">
      <c r="A954" s="23" t="s">
        <v>27</v>
      </c>
      <c r="B954" s="106">
        <v>4900</v>
      </c>
      <c r="C954" s="34">
        <v>168</v>
      </c>
      <c r="D954" s="265">
        <f>C954/C$970*D$970</f>
        <v>2570.5621886792455</v>
      </c>
      <c r="E954" s="265">
        <f t="shared" ref="E954:F954" si="45">D954/D$970*E$970</f>
        <v>1721.0950188679246</v>
      </c>
      <c r="F954" s="265">
        <f t="shared" si="45"/>
        <v>3010.6281509433961</v>
      </c>
      <c r="G954" s="35">
        <f>SUM(D954:F954)</f>
        <v>7302.2853584905661</v>
      </c>
    </row>
    <row r="955" spans="1:7">
      <c r="A955" s="23" t="s">
        <v>28</v>
      </c>
      <c r="B955" s="127">
        <v>1132.52</v>
      </c>
      <c r="C955" s="34">
        <v>1440</v>
      </c>
      <c r="D955" s="265">
        <f t="shared" ref="D955:F955" si="46">C955/C$970*D$970</f>
        <v>22033.390188679245</v>
      </c>
      <c r="E955" s="265">
        <f t="shared" si="46"/>
        <v>14752.243018867925</v>
      </c>
      <c r="F955" s="265">
        <f t="shared" si="46"/>
        <v>25805.384150943395</v>
      </c>
      <c r="G955" s="35">
        <f t="shared" ref="G955:G969" si="47">SUM(D955:F955)</f>
        <v>62591.017358490571</v>
      </c>
    </row>
    <row r="956" spans="1:7">
      <c r="A956" s="23" t="s">
        <v>29</v>
      </c>
      <c r="B956" s="127">
        <v>478.76</v>
      </c>
      <c r="C956" s="34">
        <v>1440</v>
      </c>
      <c r="D956" s="265">
        <f t="shared" ref="D956:F956" si="48">C956/C$970*D$970</f>
        <v>22033.390188679245</v>
      </c>
      <c r="E956" s="265">
        <f t="shared" si="48"/>
        <v>14752.243018867925</v>
      </c>
      <c r="F956" s="265">
        <f t="shared" si="48"/>
        <v>25805.384150943395</v>
      </c>
      <c r="G956" s="35">
        <f t="shared" si="47"/>
        <v>62591.017358490571</v>
      </c>
    </row>
    <row r="957" spans="1:7" hidden="1">
      <c r="A957" s="23" t="s">
        <v>30</v>
      </c>
      <c r="B957" s="127"/>
      <c r="C957" s="34"/>
      <c r="D957" s="35">
        <f t="shared" ref="D957:F957" si="49">C957/C$970*D$970</f>
        <v>0</v>
      </c>
      <c r="E957" s="35">
        <f t="shared" si="49"/>
        <v>0</v>
      </c>
      <c r="F957" s="35">
        <f t="shared" si="49"/>
        <v>0</v>
      </c>
      <c r="G957" s="35">
        <f t="shared" si="47"/>
        <v>0</v>
      </c>
    </row>
    <row r="958" spans="1:7" hidden="1">
      <c r="A958" s="59" t="s">
        <v>200</v>
      </c>
      <c r="B958" s="127"/>
      <c r="C958" s="34"/>
      <c r="D958" s="35">
        <f t="shared" ref="D958:F958" si="50">C958/C$970*D$970</f>
        <v>0</v>
      </c>
      <c r="E958" s="35">
        <f t="shared" si="50"/>
        <v>0</v>
      </c>
      <c r="F958" s="35">
        <f t="shared" si="50"/>
        <v>0</v>
      </c>
      <c r="G958" s="35">
        <f t="shared" si="47"/>
        <v>0</v>
      </c>
    </row>
    <row r="959" spans="1:7">
      <c r="A959" s="23" t="s">
        <v>31</v>
      </c>
      <c r="B959" s="106">
        <v>21900</v>
      </c>
      <c r="C959" s="34">
        <v>60</v>
      </c>
      <c r="D959" s="265">
        <f t="shared" ref="D959:F959" si="51">C959/C$970*D$970</f>
        <v>918.0579245283019</v>
      </c>
      <c r="E959" s="265">
        <f t="shared" si="51"/>
        <v>614.67679245283011</v>
      </c>
      <c r="F959" s="265">
        <f t="shared" si="51"/>
        <v>1075.2243396226415</v>
      </c>
      <c r="G959" s="35">
        <f t="shared" si="47"/>
        <v>2607.9590566037732</v>
      </c>
    </row>
    <row r="960" spans="1:7">
      <c r="A960" s="23" t="s">
        <v>32</v>
      </c>
      <c r="B960" s="106">
        <v>8300</v>
      </c>
      <c r="C960" s="34">
        <v>24</v>
      </c>
      <c r="D960" s="265">
        <f t="shared" ref="D960:F960" si="52">C960/C$970*D$970</f>
        <v>367.22316981132076</v>
      </c>
      <c r="E960" s="265">
        <f t="shared" si="52"/>
        <v>245.87071698113206</v>
      </c>
      <c r="F960" s="265">
        <f t="shared" si="52"/>
        <v>430.08973584905658</v>
      </c>
      <c r="G960" s="35">
        <f t="shared" si="47"/>
        <v>1043.1836226415094</v>
      </c>
    </row>
    <row r="961" spans="1:8">
      <c r="A961" s="23" t="s">
        <v>33</v>
      </c>
      <c r="B961" s="106">
        <v>2600</v>
      </c>
      <c r="C961" s="34">
        <v>48</v>
      </c>
      <c r="D961" s="265">
        <f t="shared" ref="D961:F961" si="53">C961/C$970*D$970</f>
        <v>734.44633962264152</v>
      </c>
      <c r="E961" s="265">
        <f t="shared" si="53"/>
        <v>491.74143396226413</v>
      </c>
      <c r="F961" s="265">
        <f t="shared" si="53"/>
        <v>860.17947169811316</v>
      </c>
      <c r="G961" s="35">
        <f t="shared" si="47"/>
        <v>2086.3672452830187</v>
      </c>
      <c r="H961" s="262"/>
    </row>
    <row r="962" spans="1:8" hidden="1">
      <c r="A962" s="23" t="s">
        <v>34</v>
      </c>
      <c r="B962" s="127"/>
      <c r="C962" s="2"/>
      <c r="D962" s="35">
        <f t="shared" ref="D962:F962" si="54">C962/C$970*D$970</f>
        <v>0</v>
      </c>
      <c r="E962" s="35">
        <f t="shared" si="54"/>
        <v>0</v>
      </c>
      <c r="F962" s="35">
        <f t="shared" si="54"/>
        <v>0</v>
      </c>
      <c r="G962" s="35">
        <f t="shared" si="47"/>
        <v>0</v>
      </c>
      <c r="H962" s="262"/>
    </row>
    <row r="963" spans="1:8" hidden="1">
      <c r="A963" s="23" t="s">
        <v>35</v>
      </c>
      <c r="B963" s="106"/>
      <c r="C963" s="34"/>
      <c r="D963" s="35">
        <f t="shared" ref="D963:F963" si="55">C963/C$970*D$970</f>
        <v>0</v>
      </c>
      <c r="E963" s="35">
        <f t="shared" si="55"/>
        <v>0</v>
      </c>
      <c r="F963" s="35">
        <f t="shared" si="55"/>
        <v>0</v>
      </c>
      <c r="G963" s="35">
        <f t="shared" si="47"/>
        <v>0</v>
      </c>
      <c r="H963" s="262"/>
    </row>
    <row r="964" spans="1:8" hidden="1">
      <c r="A964" s="23" t="s">
        <v>36</v>
      </c>
      <c r="B964" s="127"/>
      <c r="C964" s="34"/>
      <c r="D964" s="35">
        <f t="shared" ref="D964:F964" si="56">C964/C$970*D$970</f>
        <v>0</v>
      </c>
      <c r="E964" s="35">
        <f t="shared" si="56"/>
        <v>0</v>
      </c>
      <c r="F964" s="35">
        <f t="shared" si="56"/>
        <v>0</v>
      </c>
      <c r="G964" s="35">
        <f t="shared" si="47"/>
        <v>0</v>
      </c>
      <c r="H964" s="262"/>
    </row>
    <row r="965" spans="1:8" hidden="1">
      <c r="A965" s="23" t="s">
        <v>199</v>
      </c>
      <c r="B965" s="106"/>
      <c r="C965" s="34"/>
      <c r="D965" s="35">
        <f t="shared" ref="D965:F965" si="57">C965/C$970*D$970</f>
        <v>0</v>
      </c>
      <c r="E965" s="35">
        <f t="shared" si="57"/>
        <v>0</v>
      </c>
      <c r="F965" s="35">
        <f t="shared" si="57"/>
        <v>0</v>
      </c>
      <c r="G965" s="35">
        <f t="shared" si="47"/>
        <v>0</v>
      </c>
      <c r="H965" s="263"/>
    </row>
    <row r="966" spans="1:8" hidden="1">
      <c r="A966" s="59" t="s">
        <v>66</v>
      </c>
      <c r="B966" s="106"/>
      <c r="C966" s="34"/>
      <c r="D966" s="35">
        <f t="shared" ref="D966:F966" si="58">C966/C$970*D$970</f>
        <v>0</v>
      </c>
      <c r="E966" s="35">
        <f t="shared" si="58"/>
        <v>0</v>
      </c>
      <c r="F966" s="35">
        <f t="shared" si="58"/>
        <v>0</v>
      </c>
      <c r="G966" s="35">
        <f t="shared" si="47"/>
        <v>0</v>
      </c>
      <c r="H966" s="262"/>
    </row>
    <row r="967" spans="1:8" hidden="1">
      <c r="A967" s="58" t="s">
        <v>315</v>
      </c>
      <c r="B967" s="106"/>
      <c r="C967" s="34"/>
      <c r="D967" s="35">
        <f t="shared" ref="D967:F967" si="59">C967/C$970*D$970</f>
        <v>0</v>
      </c>
      <c r="E967" s="35">
        <f t="shared" si="59"/>
        <v>0</v>
      </c>
      <c r="F967" s="35">
        <f t="shared" si="59"/>
        <v>0</v>
      </c>
      <c r="G967" s="35">
        <f t="shared" si="47"/>
        <v>0</v>
      </c>
      <c r="H967" s="261" t="s">
        <v>335</v>
      </c>
    </row>
    <row r="968" spans="1:8" hidden="1">
      <c r="A968" s="58" t="s">
        <v>206</v>
      </c>
      <c r="B968" s="106"/>
      <c r="C968" s="34"/>
      <c r="D968" s="35">
        <f t="shared" ref="D968:F968" si="60">C968/C$970*D$970</f>
        <v>0</v>
      </c>
      <c r="E968" s="35">
        <f t="shared" si="60"/>
        <v>0</v>
      </c>
      <c r="F968" s="35">
        <f t="shared" si="60"/>
        <v>0</v>
      </c>
      <c r="G968" s="35">
        <f t="shared" si="47"/>
        <v>0</v>
      </c>
      <c r="H968" s="261"/>
    </row>
    <row r="969" spans="1:8" hidden="1">
      <c r="A969" s="58" t="s">
        <v>380</v>
      </c>
      <c r="B969" s="106"/>
      <c r="C969" s="34"/>
      <c r="D969" s="35">
        <f t="shared" ref="D969:F969" si="61">C969/C$970*D$970</f>
        <v>0</v>
      </c>
      <c r="E969" s="35">
        <f t="shared" si="61"/>
        <v>0</v>
      </c>
      <c r="F969" s="35">
        <f t="shared" si="61"/>
        <v>0</v>
      </c>
      <c r="G969" s="35">
        <f t="shared" si="47"/>
        <v>0</v>
      </c>
      <c r="H969" s="261"/>
    </row>
    <row r="970" spans="1:8">
      <c r="A970" s="20" t="s">
        <v>20</v>
      </c>
      <c r="B970" s="104"/>
      <c r="C970" s="36">
        <f>SUM(C954:C961)</f>
        <v>3180</v>
      </c>
      <c r="D970" s="37">
        <v>48657.07</v>
      </c>
      <c r="E970" s="37">
        <f>11840.75+2465.62+18271.5</f>
        <v>32577.87</v>
      </c>
      <c r="F970" s="260">
        <f>SUM(F971:F973)</f>
        <v>56986.89</v>
      </c>
      <c r="G970" s="38">
        <f>SUM(D970:F970)</f>
        <v>138221.83000000002</v>
      </c>
      <c r="H970" s="261"/>
    </row>
    <row r="971" spans="1:8">
      <c r="A971" s="397" t="s">
        <v>407</v>
      </c>
      <c r="B971" s="110"/>
      <c r="C971" s="39"/>
      <c r="D971" s="40"/>
      <c r="E971" s="76" t="s">
        <v>70</v>
      </c>
      <c r="F971" s="251">
        <v>52798.68</v>
      </c>
      <c r="G971" s="60">
        <f>F971/F970</f>
        <v>0.92650572789636354</v>
      </c>
      <c r="H971" s="71"/>
    </row>
    <row r="972" spans="1:8">
      <c r="A972" s="102"/>
      <c r="B972" s="110"/>
      <c r="C972" s="39"/>
      <c r="D972" s="40"/>
      <c r="E972" s="76" t="s">
        <v>72</v>
      </c>
      <c r="F972" s="40">
        <v>0</v>
      </c>
      <c r="G972" s="60">
        <f>F972/F970</f>
        <v>0</v>
      </c>
      <c r="H972" s="71"/>
    </row>
    <row r="973" spans="1:8">
      <c r="A973" s="28"/>
      <c r="B973" s="108"/>
      <c r="C973" s="39"/>
      <c r="D973" s="40"/>
      <c r="E973" s="76" t="s">
        <v>71</v>
      </c>
      <c r="F973" s="40">
        <v>4188.21</v>
      </c>
      <c r="G973" s="60">
        <f>F973/F970</f>
        <v>7.3494272103636474E-2</v>
      </c>
      <c r="H973" s="71"/>
    </row>
    <row r="974" spans="1:8">
      <c r="A974" s="28"/>
      <c r="B974" s="108"/>
      <c r="C974" s="39"/>
      <c r="D974" s="40"/>
      <c r="E974" s="76"/>
      <c r="F974" s="40"/>
      <c r="G974" s="60"/>
      <c r="H974" s="71"/>
    </row>
    <row r="975" spans="1:8">
      <c r="A975" s="28"/>
      <c r="B975" s="108"/>
      <c r="C975" s="39"/>
      <c r="D975" s="40"/>
      <c r="E975" s="76"/>
      <c r="F975" s="40"/>
      <c r="G975" s="60"/>
      <c r="H975" s="71"/>
    </row>
    <row r="976" spans="1:8">
      <c r="A976" s="28"/>
      <c r="B976" s="108"/>
      <c r="C976" s="39"/>
      <c r="D976" s="40"/>
      <c r="E976" s="76"/>
      <c r="F976" s="40"/>
      <c r="G976" s="60"/>
      <c r="H976" s="71"/>
    </row>
    <row r="977" spans="1:8">
      <c r="A977" s="28"/>
      <c r="B977" s="108"/>
      <c r="C977" s="39"/>
      <c r="D977" s="40"/>
      <c r="E977" s="76"/>
      <c r="F977" s="40"/>
      <c r="G977" s="60"/>
      <c r="H977" s="71"/>
    </row>
    <row r="978" spans="1:8">
      <c r="A978" s="28"/>
      <c r="B978" s="108"/>
      <c r="C978" s="39"/>
      <c r="D978" s="40"/>
      <c r="E978" s="76"/>
      <c r="F978" s="40"/>
      <c r="G978" s="60"/>
      <c r="H978" s="71"/>
    </row>
    <row r="979" spans="1:8">
      <c r="A979" s="28"/>
      <c r="B979" s="108"/>
      <c r="C979" s="39"/>
      <c r="D979" s="40"/>
      <c r="E979" s="76"/>
      <c r="F979" s="40"/>
      <c r="G979" s="60"/>
      <c r="H979" s="71"/>
    </row>
    <row r="980" spans="1:8">
      <c r="A980" s="28"/>
      <c r="B980" s="108"/>
      <c r="C980" s="39"/>
      <c r="D980" s="40"/>
      <c r="E980" s="76"/>
      <c r="F980" s="40"/>
      <c r="G980" s="60"/>
      <c r="H980" s="71"/>
    </row>
    <row r="981" spans="1:8">
      <c r="A981" s="28"/>
      <c r="B981" s="108"/>
      <c r="C981" s="39"/>
      <c r="D981" s="40"/>
      <c r="E981" s="76"/>
      <c r="F981" s="40"/>
      <c r="G981" s="60"/>
      <c r="H981" s="71"/>
    </row>
    <row r="982" spans="1:8">
      <c r="A982" s="28"/>
      <c r="B982" s="108"/>
      <c r="C982" s="39"/>
      <c r="D982" s="40"/>
      <c r="E982" s="76"/>
      <c r="F982" s="40"/>
      <c r="G982" s="60"/>
      <c r="H982" s="71"/>
    </row>
    <row r="983" spans="1:8">
      <c r="A983" s="28"/>
      <c r="B983" s="108"/>
      <c r="C983" s="39"/>
      <c r="D983" s="40"/>
      <c r="E983" s="76"/>
      <c r="F983" s="40"/>
      <c r="G983" s="60"/>
      <c r="H983" s="71"/>
    </row>
    <row r="984" spans="1:8">
      <c r="A984" s="28"/>
      <c r="B984" s="108"/>
      <c r="C984" s="39"/>
      <c r="D984" s="40"/>
      <c r="E984" s="76"/>
      <c r="F984" s="40"/>
      <c r="G984" s="60"/>
      <c r="H984" s="71"/>
    </row>
    <row r="985" spans="1:8">
      <c r="A985" s="28"/>
      <c r="B985" s="108"/>
      <c r="C985" s="39"/>
      <c r="D985" s="40"/>
      <c r="E985" s="76"/>
      <c r="F985" s="40"/>
      <c r="G985" s="60"/>
      <c r="H985" s="71"/>
    </row>
    <row r="986" spans="1:8">
      <c r="A986" s="28"/>
      <c r="B986" s="108"/>
      <c r="C986" s="39"/>
      <c r="D986" s="40"/>
      <c r="E986" s="76"/>
      <c r="F986" s="40"/>
      <c r="G986" s="60"/>
      <c r="H986" s="71"/>
    </row>
    <row r="987" spans="1:8">
      <c r="A987" s="28"/>
      <c r="B987" s="108"/>
      <c r="C987" s="39"/>
      <c r="D987" s="40"/>
      <c r="E987" s="76"/>
      <c r="F987" s="40"/>
      <c r="G987" s="60"/>
      <c r="H987" s="71"/>
    </row>
    <row r="988" spans="1:8">
      <c r="A988" s="28"/>
      <c r="B988" s="108"/>
      <c r="C988" s="39"/>
      <c r="D988" s="40"/>
      <c r="E988" s="76"/>
      <c r="F988" s="40"/>
      <c r="G988" s="60"/>
      <c r="H988" s="71"/>
    </row>
    <row r="990" spans="1:8">
      <c r="A990" s="20" t="s">
        <v>392</v>
      </c>
      <c r="B990" s="105" t="s">
        <v>45</v>
      </c>
      <c r="C990" s="6" t="s">
        <v>5</v>
      </c>
      <c r="D990" s="21" t="s">
        <v>13</v>
      </c>
      <c r="E990" s="21" t="s">
        <v>14</v>
      </c>
      <c r="F990" s="21" t="s">
        <v>15</v>
      </c>
      <c r="G990" s="21" t="s">
        <v>16</v>
      </c>
    </row>
    <row r="991" spans="1:8" hidden="1">
      <c r="A991" s="56" t="s">
        <v>74</v>
      </c>
      <c r="B991" s="105"/>
      <c r="C991" s="6"/>
      <c r="D991" s="51"/>
      <c r="E991" s="51"/>
      <c r="F991" s="51"/>
      <c r="G991" s="51"/>
    </row>
    <row r="992" spans="1:8" hidden="1">
      <c r="A992" s="56" t="s">
        <v>77</v>
      </c>
      <c r="B992" s="105"/>
      <c r="C992" s="5"/>
      <c r="D992" s="90"/>
      <c r="E992" s="90"/>
      <c r="F992" s="90"/>
      <c r="G992" s="51"/>
    </row>
    <row r="993" spans="1:8">
      <c r="A993" s="23" t="s">
        <v>43</v>
      </c>
      <c r="B993" s="106"/>
      <c r="C993" s="34"/>
      <c r="D993" s="99">
        <v>60843.08</v>
      </c>
      <c r="E993" s="99">
        <v>75806.02</v>
      </c>
      <c r="F993" s="99">
        <v>73713.099999999991</v>
      </c>
      <c r="G993" s="99">
        <v>210362.2</v>
      </c>
    </row>
    <row r="994" spans="1:8" hidden="1">
      <c r="A994" s="23" t="s">
        <v>3</v>
      </c>
      <c r="B994" s="106"/>
      <c r="C994" s="34"/>
      <c r="D994" s="99"/>
      <c r="E994" s="99"/>
      <c r="F994" s="99"/>
      <c r="G994" s="99"/>
    </row>
    <row r="995" spans="1:8" hidden="1">
      <c r="A995" s="59" t="s">
        <v>315</v>
      </c>
      <c r="B995" s="106"/>
      <c r="C995" s="34"/>
      <c r="D995" s="90"/>
      <c r="E995" s="90"/>
      <c r="F995" s="90"/>
      <c r="G995" s="99"/>
    </row>
    <row r="996" spans="1:8">
      <c r="A996" s="20" t="s">
        <v>20</v>
      </c>
      <c r="B996" s="104"/>
      <c r="C996" s="36"/>
      <c r="D996" s="37">
        <v>60843.08</v>
      </c>
      <c r="E996" s="37">
        <f>11906.75+2371.52+61527.75</f>
        <v>75806.02</v>
      </c>
      <c r="F996" s="37">
        <f>SUM(F997:F999)</f>
        <v>73713.099999999991</v>
      </c>
      <c r="G996" s="99">
        <f t="shared" ref="G996" si="62">SUM(D996:F996)</f>
        <v>210362.2</v>
      </c>
    </row>
    <row r="997" spans="1:8">
      <c r="A997" s="397" t="s">
        <v>406</v>
      </c>
      <c r="B997" s="110"/>
      <c r="C997" s="45"/>
      <c r="D997" s="46"/>
      <c r="E997" s="77" t="s">
        <v>70</v>
      </c>
      <c r="F997" s="40">
        <f>70934.48</f>
        <v>70934.48</v>
      </c>
      <c r="G997" s="60">
        <f>F997/F996</f>
        <v>0.96230493630033198</v>
      </c>
      <c r="H997" s="53"/>
    </row>
    <row r="998" spans="1:8">
      <c r="A998" s="102"/>
      <c r="B998" s="110"/>
      <c r="C998" s="45"/>
      <c r="D998" s="46"/>
      <c r="E998" s="77" t="s">
        <v>72</v>
      </c>
      <c r="F998" s="40">
        <f>0</f>
        <v>0</v>
      </c>
      <c r="G998" s="60">
        <f>F998/F996</f>
        <v>0</v>
      </c>
      <c r="H998" s="53"/>
    </row>
    <row r="999" spans="1:8">
      <c r="A999" s="43"/>
      <c r="B999" s="110"/>
      <c r="C999" s="45"/>
      <c r="D999" s="46"/>
      <c r="E999" s="77" t="s">
        <v>71</v>
      </c>
      <c r="F999" s="40">
        <v>2778.62</v>
      </c>
      <c r="G999" s="60">
        <f>F999/F996</f>
        <v>3.769506369966804E-2</v>
      </c>
      <c r="H999" s="53"/>
    </row>
    <row r="1014" spans="1:7">
      <c r="A1014" s="453" t="s">
        <v>393</v>
      </c>
      <c r="B1014" s="453"/>
      <c r="C1014" s="453"/>
      <c r="D1014" s="453"/>
      <c r="E1014" s="453"/>
      <c r="F1014" s="453"/>
      <c r="G1014" s="453"/>
    </row>
    <row r="1015" spans="1:7">
      <c r="A1015" s="5" t="s">
        <v>4</v>
      </c>
      <c r="B1015" s="105" t="s">
        <v>45</v>
      </c>
      <c r="C1015" s="6" t="s">
        <v>5</v>
      </c>
      <c r="D1015" s="6" t="s">
        <v>6</v>
      </c>
      <c r="E1015" s="6" t="s">
        <v>7</v>
      </c>
      <c r="F1015" s="6" t="s">
        <v>8</v>
      </c>
      <c r="G1015" s="6" t="s">
        <v>9</v>
      </c>
    </row>
    <row r="1016" spans="1:7" hidden="1">
      <c r="A1016" s="6" t="s">
        <v>173</v>
      </c>
      <c r="B1016" s="117"/>
      <c r="C1016" s="6"/>
      <c r="D1016" s="6"/>
      <c r="E1016" s="6"/>
      <c r="F1016" s="6"/>
      <c r="G1016" s="6"/>
    </row>
    <row r="1017" spans="1:7" hidden="1">
      <c r="A1017" s="6" t="s">
        <v>113</v>
      </c>
      <c r="B1017" s="117"/>
      <c r="C1017" s="6"/>
      <c r="D1017" s="7"/>
      <c r="E1017" s="7"/>
      <c r="F1017" s="7"/>
      <c r="G1017" s="7"/>
    </row>
    <row r="1018" spans="1:7" hidden="1">
      <c r="A1018" s="6" t="s">
        <v>113</v>
      </c>
      <c r="C1018" s="6"/>
      <c r="D1018" s="7"/>
      <c r="E1018" s="7"/>
      <c r="F1018" s="7"/>
      <c r="G1018" s="7"/>
    </row>
    <row r="1019" spans="1:7">
      <c r="A1019" s="6" t="s">
        <v>114</v>
      </c>
      <c r="B1019" s="117">
        <v>284.46499999999997</v>
      </c>
      <c r="C1019" s="6">
        <f>61-10.5</f>
        <v>50.5</v>
      </c>
      <c r="D1019" s="267">
        <f>C1019/C$1070*D$1070</f>
        <v>77045.095252747255</v>
      </c>
      <c r="E1019" s="267">
        <f t="shared" ref="E1019:F1019" si="63">D1019/D$1070*E$1070</f>
        <v>130190.12320879122</v>
      </c>
      <c r="F1019" s="267">
        <f t="shared" si="63"/>
        <v>56732.880923076918</v>
      </c>
      <c r="G1019" s="7">
        <f>SUM(D1019:F1019)</f>
        <v>263968.09938461543</v>
      </c>
    </row>
    <row r="1020" spans="1:7" hidden="1">
      <c r="A1020" s="6" t="s">
        <v>114</v>
      </c>
      <c r="B1020" s="117"/>
      <c r="C1020" s="6"/>
      <c r="D1020" s="7">
        <f t="shared" ref="D1020:F1020" si="64">C1020/C$1070*D$1070</f>
        <v>0</v>
      </c>
      <c r="E1020" s="7">
        <f t="shared" si="64"/>
        <v>0</v>
      </c>
      <c r="F1020" s="7">
        <f t="shared" si="64"/>
        <v>0</v>
      </c>
      <c r="G1020" s="7">
        <f t="shared" ref="G1020:G1065" si="65">SUM(D1020:F1020)</f>
        <v>0</v>
      </c>
    </row>
    <row r="1021" spans="1:7" hidden="1">
      <c r="A1021" s="6" t="s">
        <v>115</v>
      </c>
      <c r="B1021" s="117"/>
      <c r="C1021" s="6"/>
      <c r="D1021" s="7">
        <f t="shared" ref="D1021:F1021" si="66">C1021/C$1070*D$1070</f>
        <v>0</v>
      </c>
      <c r="E1021" s="7">
        <f t="shared" si="66"/>
        <v>0</v>
      </c>
      <c r="F1021" s="7">
        <f t="shared" si="66"/>
        <v>0</v>
      </c>
      <c r="G1021" s="7">
        <f t="shared" si="65"/>
        <v>0</v>
      </c>
    </row>
    <row r="1022" spans="1:7" hidden="1">
      <c r="A1022" s="6" t="s">
        <v>186</v>
      </c>
      <c r="B1022" s="117"/>
      <c r="C1022" s="6"/>
      <c r="D1022" s="7">
        <f t="shared" ref="D1022:F1022" si="67">C1022/C$1070*D$1070</f>
        <v>0</v>
      </c>
      <c r="E1022" s="7">
        <f t="shared" si="67"/>
        <v>0</v>
      </c>
      <c r="F1022" s="7">
        <f t="shared" si="67"/>
        <v>0</v>
      </c>
      <c r="G1022" s="7">
        <f t="shared" si="65"/>
        <v>0</v>
      </c>
    </row>
    <row r="1023" spans="1:7">
      <c r="A1023" s="6" t="s">
        <v>116</v>
      </c>
      <c r="B1023" s="117">
        <v>42.49</v>
      </c>
      <c r="C1023" s="6">
        <v>10.5</v>
      </c>
      <c r="D1023" s="267">
        <f t="shared" ref="D1023:F1023" si="68">C1023/C$1070*D$1070</f>
        <v>16019.277230769232</v>
      </c>
      <c r="E1023" s="267">
        <f t="shared" si="68"/>
        <v>27069.233538461544</v>
      </c>
      <c r="F1023" s="267">
        <f t="shared" si="68"/>
        <v>11795.945538461539</v>
      </c>
      <c r="G1023" s="7">
        <f t="shared" si="65"/>
        <v>54884.456307692322</v>
      </c>
    </row>
    <row r="1024" spans="1:7">
      <c r="A1024" s="6" t="s">
        <v>181</v>
      </c>
      <c r="B1024" s="117">
        <v>34.11</v>
      </c>
      <c r="C1024" s="6">
        <v>11.5</v>
      </c>
      <c r="D1024" s="267">
        <f t="shared" ref="D1024:F1024" si="69">C1024/C$1070*D$1070</f>
        <v>17544.922681318683</v>
      </c>
      <c r="E1024" s="267">
        <f t="shared" si="69"/>
        <v>29647.255780219784</v>
      </c>
      <c r="F1024" s="267">
        <f t="shared" si="69"/>
        <v>12919.368923076923</v>
      </c>
      <c r="G1024" s="7">
        <f t="shared" si="65"/>
        <v>60111.547384615391</v>
      </c>
    </row>
    <row r="1025" spans="1:7" hidden="1">
      <c r="A1025" s="6" t="s">
        <v>182</v>
      </c>
      <c r="B1025" s="117"/>
      <c r="C1025" s="6"/>
      <c r="D1025" s="7">
        <f t="shared" ref="D1025:F1025" si="70">C1025/C$1070*D$1070</f>
        <v>0</v>
      </c>
      <c r="E1025" s="7">
        <f t="shared" si="70"/>
        <v>0</v>
      </c>
      <c r="F1025" s="7">
        <f t="shared" si="70"/>
        <v>0</v>
      </c>
      <c r="G1025" s="7">
        <f t="shared" si="65"/>
        <v>0</v>
      </c>
    </row>
    <row r="1026" spans="1:7" hidden="1">
      <c r="A1026" s="6" t="s">
        <v>183</v>
      </c>
      <c r="B1026" s="117"/>
      <c r="C1026" s="6"/>
      <c r="D1026" s="7">
        <f t="shared" ref="D1026:F1026" si="71">C1026/C$1070*D$1070</f>
        <v>0</v>
      </c>
      <c r="E1026" s="7">
        <f t="shared" si="71"/>
        <v>0</v>
      </c>
      <c r="F1026" s="7">
        <f t="shared" si="71"/>
        <v>0</v>
      </c>
      <c r="G1026" s="7">
        <f t="shared" si="65"/>
        <v>0</v>
      </c>
    </row>
    <row r="1027" spans="1:7" hidden="1">
      <c r="A1027" s="6" t="s">
        <v>117</v>
      </c>
      <c r="B1027" s="117"/>
      <c r="C1027" s="6"/>
      <c r="D1027" s="7">
        <f t="shared" ref="D1027:F1027" si="72">C1027/C$1070*D$1070</f>
        <v>0</v>
      </c>
      <c r="E1027" s="7">
        <f t="shared" si="72"/>
        <v>0</v>
      </c>
      <c r="F1027" s="7">
        <f t="shared" si="72"/>
        <v>0</v>
      </c>
      <c r="G1027" s="7">
        <f t="shared" si="65"/>
        <v>0</v>
      </c>
    </row>
    <row r="1028" spans="1:7" hidden="1">
      <c r="A1028" s="6" t="s">
        <v>118</v>
      </c>
      <c r="B1028" s="117"/>
      <c r="C1028" s="6"/>
      <c r="D1028" s="7">
        <f t="shared" ref="D1028:F1028" si="73">C1028/C$1070*D$1070</f>
        <v>0</v>
      </c>
      <c r="E1028" s="7">
        <f t="shared" si="73"/>
        <v>0</v>
      </c>
      <c r="F1028" s="7">
        <f t="shared" si="73"/>
        <v>0</v>
      </c>
      <c r="G1028" s="7">
        <f t="shared" si="65"/>
        <v>0</v>
      </c>
    </row>
    <row r="1029" spans="1:7" hidden="1">
      <c r="A1029" s="6" t="s">
        <v>118</v>
      </c>
      <c r="B1029" s="117"/>
      <c r="C1029" s="6"/>
      <c r="D1029" s="7">
        <f t="shared" ref="D1029:F1029" si="74">C1029/C$1070*D$1070</f>
        <v>0</v>
      </c>
      <c r="E1029" s="7">
        <f t="shared" si="74"/>
        <v>0</v>
      </c>
      <c r="F1029" s="7">
        <f t="shared" si="74"/>
        <v>0</v>
      </c>
      <c r="G1029" s="7">
        <f t="shared" si="65"/>
        <v>0</v>
      </c>
    </row>
    <row r="1030" spans="1:7" hidden="1">
      <c r="A1030" s="6" t="s">
        <v>119</v>
      </c>
      <c r="B1030" s="117"/>
      <c r="C1030" s="6"/>
      <c r="D1030" s="7">
        <f t="shared" ref="D1030:F1030" si="75">C1030/C$1070*D$1070</f>
        <v>0</v>
      </c>
      <c r="E1030" s="7">
        <f t="shared" si="75"/>
        <v>0</v>
      </c>
      <c r="F1030" s="7">
        <f t="shared" si="75"/>
        <v>0</v>
      </c>
      <c r="G1030" s="7">
        <f t="shared" si="65"/>
        <v>0</v>
      </c>
    </row>
    <row r="1031" spans="1:7" hidden="1">
      <c r="A1031" s="6" t="s">
        <v>152</v>
      </c>
      <c r="B1031" s="117"/>
      <c r="C1031" s="6"/>
      <c r="D1031" s="7">
        <f t="shared" ref="D1031:F1031" si="76">C1031/C$1070*D$1070</f>
        <v>0</v>
      </c>
      <c r="E1031" s="7">
        <f t="shared" si="76"/>
        <v>0</v>
      </c>
      <c r="F1031" s="7">
        <f t="shared" si="76"/>
        <v>0</v>
      </c>
      <c r="G1031" s="7">
        <f t="shared" si="65"/>
        <v>0</v>
      </c>
    </row>
    <row r="1032" spans="1:7" hidden="1">
      <c r="A1032" s="6" t="s">
        <v>187</v>
      </c>
      <c r="B1032" s="117"/>
      <c r="C1032" s="6"/>
      <c r="D1032" s="7">
        <f t="shared" ref="D1032:F1032" si="77">C1032/C$1070*D$1070</f>
        <v>0</v>
      </c>
      <c r="E1032" s="7">
        <f t="shared" si="77"/>
        <v>0</v>
      </c>
      <c r="F1032" s="7">
        <f t="shared" si="77"/>
        <v>0</v>
      </c>
      <c r="G1032" s="7">
        <f t="shared" si="65"/>
        <v>0</v>
      </c>
    </row>
    <row r="1033" spans="1:7" hidden="1">
      <c r="A1033" s="6" t="s">
        <v>153</v>
      </c>
      <c r="B1033" s="117"/>
      <c r="C1033" s="6"/>
      <c r="D1033" s="7">
        <f t="shared" ref="D1033:F1033" si="78">C1033/C$1070*D$1070</f>
        <v>0</v>
      </c>
      <c r="E1033" s="7">
        <f t="shared" si="78"/>
        <v>0</v>
      </c>
      <c r="F1033" s="7">
        <f t="shared" si="78"/>
        <v>0</v>
      </c>
      <c r="G1033" s="7">
        <f t="shared" si="65"/>
        <v>0</v>
      </c>
    </row>
    <row r="1034" spans="1:7" hidden="1">
      <c r="A1034" s="6" t="s">
        <v>154</v>
      </c>
      <c r="B1034" s="117"/>
      <c r="C1034" s="6"/>
      <c r="D1034" s="7">
        <f t="shared" ref="D1034:F1034" si="79">C1034/C$1070*D$1070</f>
        <v>0</v>
      </c>
      <c r="E1034" s="7">
        <f t="shared" si="79"/>
        <v>0</v>
      </c>
      <c r="F1034" s="7">
        <f t="shared" si="79"/>
        <v>0</v>
      </c>
      <c r="G1034" s="7">
        <f t="shared" si="65"/>
        <v>0</v>
      </c>
    </row>
    <row r="1035" spans="1:7">
      <c r="A1035" s="78" t="s">
        <v>155</v>
      </c>
      <c r="B1035" s="127">
        <v>46.496000000000002</v>
      </c>
      <c r="C1035" s="6">
        <v>0</v>
      </c>
      <c r="D1035" s="7"/>
      <c r="E1035" s="7"/>
      <c r="F1035" s="7"/>
      <c r="G1035" s="7"/>
    </row>
    <row r="1036" spans="1:7" hidden="1">
      <c r="A1036" s="78" t="s">
        <v>155</v>
      </c>
      <c r="B1036" s="127"/>
      <c r="C1036" s="52"/>
      <c r="D1036" s="7"/>
      <c r="E1036" s="7"/>
      <c r="F1036" s="7"/>
      <c r="G1036" s="7"/>
    </row>
    <row r="1037" spans="1:7" hidden="1">
      <c r="A1037" s="78" t="s">
        <v>156</v>
      </c>
      <c r="B1037" s="127"/>
      <c r="C1037" s="52"/>
      <c r="D1037" s="7"/>
      <c r="E1037" s="7"/>
      <c r="F1037" s="7"/>
      <c r="G1037" s="7"/>
    </row>
    <row r="1038" spans="1:7" hidden="1">
      <c r="A1038" s="78" t="s">
        <v>156</v>
      </c>
      <c r="B1038" s="109"/>
      <c r="C1038" s="6"/>
      <c r="D1038" s="7"/>
      <c r="E1038" s="7"/>
      <c r="F1038" s="7"/>
      <c r="G1038" s="7"/>
    </row>
    <row r="1039" spans="1:7">
      <c r="A1039" s="78" t="s">
        <v>165</v>
      </c>
      <c r="B1039" s="109">
        <v>46.89</v>
      </c>
      <c r="C1039" s="6">
        <v>0</v>
      </c>
      <c r="D1039" s="7"/>
      <c r="E1039" s="7"/>
      <c r="F1039" s="7"/>
      <c r="G1039" s="7"/>
    </row>
    <row r="1040" spans="1:7" hidden="1">
      <c r="A1040" s="78" t="s">
        <v>210</v>
      </c>
      <c r="B1040" s="109"/>
      <c r="C1040" s="6"/>
      <c r="D1040" s="7">
        <f t="shared" ref="D1040:F1040" si="80">C1040/C$1070*D$1070</f>
        <v>0</v>
      </c>
      <c r="E1040" s="7">
        <f t="shared" si="80"/>
        <v>0</v>
      </c>
      <c r="F1040" s="7">
        <f t="shared" si="80"/>
        <v>0</v>
      </c>
      <c r="G1040" s="7">
        <f t="shared" si="65"/>
        <v>0</v>
      </c>
    </row>
    <row r="1041" spans="1:7" hidden="1">
      <c r="A1041" s="78" t="s">
        <v>191</v>
      </c>
      <c r="B1041" s="109"/>
      <c r="C1041" s="6"/>
      <c r="D1041" s="7">
        <f t="shared" ref="D1041:F1041" si="81">C1041/C$1070*D$1070</f>
        <v>0</v>
      </c>
      <c r="E1041" s="7">
        <f t="shared" si="81"/>
        <v>0</v>
      </c>
      <c r="F1041" s="7">
        <f t="shared" si="81"/>
        <v>0</v>
      </c>
      <c r="G1041" s="7">
        <f t="shared" si="65"/>
        <v>0</v>
      </c>
    </row>
    <row r="1042" spans="1:7" hidden="1">
      <c r="A1042" s="78" t="s">
        <v>157</v>
      </c>
      <c r="B1042" s="109"/>
      <c r="C1042" s="6"/>
      <c r="D1042" s="7">
        <f t="shared" ref="D1042:F1042" si="82">C1042/C$1070*D$1070</f>
        <v>0</v>
      </c>
      <c r="E1042" s="7">
        <f t="shared" si="82"/>
        <v>0</v>
      </c>
      <c r="F1042" s="7">
        <f t="shared" si="82"/>
        <v>0</v>
      </c>
      <c r="G1042" s="7">
        <f t="shared" si="65"/>
        <v>0</v>
      </c>
    </row>
    <row r="1043" spans="1:7" hidden="1">
      <c r="A1043" s="78" t="s">
        <v>166</v>
      </c>
      <c r="B1043" s="109"/>
      <c r="C1043" s="6"/>
      <c r="D1043" s="7">
        <f t="shared" ref="D1043:F1043" si="83">C1043/C$1070*D$1070</f>
        <v>0</v>
      </c>
      <c r="E1043" s="7">
        <f t="shared" si="83"/>
        <v>0</v>
      </c>
      <c r="F1043" s="7">
        <f t="shared" si="83"/>
        <v>0</v>
      </c>
      <c r="G1043" s="7">
        <f t="shared" si="65"/>
        <v>0</v>
      </c>
    </row>
    <row r="1044" spans="1:7" hidden="1">
      <c r="A1044" s="78" t="s">
        <v>120</v>
      </c>
      <c r="B1044" s="109"/>
      <c r="C1044" s="6"/>
      <c r="D1044" s="7">
        <f t="shared" ref="D1044:F1044" si="84">C1044/C$1070*D$1070</f>
        <v>0</v>
      </c>
      <c r="E1044" s="7">
        <f t="shared" si="84"/>
        <v>0</v>
      </c>
      <c r="F1044" s="7">
        <f t="shared" si="84"/>
        <v>0</v>
      </c>
      <c r="G1044" s="7">
        <f t="shared" si="65"/>
        <v>0</v>
      </c>
    </row>
    <row r="1045" spans="1:7">
      <c r="A1045" s="78" t="s">
        <v>192</v>
      </c>
      <c r="B1045" s="109">
        <v>42.424999999999997</v>
      </c>
      <c r="C1045" s="6">
        <v>11</v>
      </c>
      <c r="D1045" s="267">
        <f t="shared" ref="D1045:F1045" si="85">C1045/C$1070*D$1070</f>
        <v>16782.09995604396</v>
      </c>
      <c r="E1045" s="267">
        <f t="shared" si="85"/>
        <v>28358.244659340668</v>
      </c>
      <c r="F1045" s="267">
        <f t="shared" si="85"/>
        <v>12357.657230769233</v>
      </c>
      <c r="G1045" s="7">
        <f t="shared" si="65"/>
        <v>57498.001846153864</v>
      </c>
    </row>
    <row r="1046" spans="1:7" hidden="1">
      <c r="A1046" s="78" t="s">
        <v>193</v>
      </c>
      <c r="B1046" s="109"/>
      <c r="C1046" s="6"/>
      <c r="D1046" s="7">
        <f t="shared" ref="D1046:F1046" si="86">C1046/C$1070*D$1070</f>
        <v>0</v>
      </c>
      <c r="E1046" s="7">
        <f t="shared" si="86"/>
        <v>0</v>
      </c>
      <c r="F1046" s="7">
        <f t="shared" si="86"/>
        <v>0</v>
      </c>
      <c r="G1046" s="7">
        <f t="shared" si="65"/>
        <v>0</v>
      </c>
    </row>
    <row r="1047" spans="1:7">
      <c r="A1047" s="405" t="s">
        <v>158</v>
      </c>
      <c r="B1047" s="271"/>
      <c r="C1047" s="88">
        <v>21</v>
      </c>
      <c r="D1047" s="269">
        <f t="shared" ref="D1047:F1047" si="87">C1047/C$1070*D$1070</f>
        <v>32038.554461538464</v>
      </c>
      <c r="E1047" s="269">
        <f t="shared" si="87"/>
        <v>54138.467076923087</v>
      </c>
      <c r="F1047" s="269">
        <f t="shared" si="87"/>
        <v>23591.891076923079</v>
      </c>
      <c r="G1047" s="269">
        <f t="shared" si="65"/>
        <v>109768.91261538464</v>
      </c>
    </row>
    <row r="1048" spans="1:7">
      <c r="A1048" s="78" t="s">
        <v>159</v>
      </c>
      <c r="B1048" s="109">
        <v>31.209</v>
      </c>
      <c r="C1048" s="6">
        <v>10.5</v>
      </c>
      <c r="D1048" s="267">
        <f t="shared" ref="D1048:F1048" si="88">C1048/C$1070*D$1070</f>
        <v>16019.277230769232</v>
      </c>
      <c r="E1048" s="267">
        <f t="shared" si="88"/>
        <v>27069.233538461544</v>
      </c>
      <c r="F1048" s="267">
        <f t="shared" si="88"/>
        <v>11795.945538461539</v>
      </c>
      <c r="G1048" s="7">
        <f t="shared" si="65"/>
        <v>54884.456307692322</v>
      </c>
    </row>
    <row r="1049" spans="1:7" hidden="1">
      <c r="A1049" s="78" t="s">
        <v>160</v>
      </c>
      <c r="B1049" s="109"/>
      <c r="C1049" s="6"/>
      <c r="D1049" s="7">
        <f t="shared" ref="D1049:F1049" si="89">C1049/C$1070*D$1070</f>
        <v>0</v>
      </c>
      <c r="E1049" s="7">
        <f t="shared" si="89"/>
        <v>0</v>
      </c>
      <c r="F1049" s="7">
        <f t="shared" si="89"/>
        <v>0</v>
      </c>
      <c r="G1049" s="7">
        <f t="shared" si="65"/>
        <v>0</v>
      </c>
    </row>
    <row r="1050" spans="1:7">
      <c r="A1050" s="78" t="s">
        <v>174</v>
      </c>
      <c r="B1050" s="109">
        <v>19.850999999999999</v>
      </c>
      <c r="C1050" s="6">
        <v>5.5</v>
      </c>
      <c r="D1050" s="267">
        <f t="shared" ref="D1050:F1050" si="90">C1050/C$1070*D$1070</f>
        <v>8391.0499780219798</v>
      </c>
      <c r="E1050" s="267">
        <f t="shared" si="90"/>
        <v>14179.122329670334</v>
      </c>
      <c r="F1050" s="267">
        <f t="shared" si="90"/>
        <v>6178.8286153846166</v>
      </c>
      <c r="G1050" s="7">
        <f t="shared" si="65"/>
        <v>28749.000923076932</v>
      </c>
    </row>
    <row r="1051" spans="1:7" hidden="1">
      <c r="A1051" s="78" t="s">
        <v>161</v>
      </c>
      <c r="B1051" s="109"/>
      <c r="C1051" s="6"/>
      <c r="D1051" s="7">
        <f t="shared" ref="D1051:F1051" si="91">C1051/C$1070*D$1070</f>
        <v>0</v>
      </c>
      <c r="E1051" s="7">
        <f t="shared" si="91"/>
        <v>0</v>
      </c>
      <c r="F1051" s="7">
        <f t="shared" si="91"/>
        <v>0</v>
      </c>
      <c r="G1051" s="7">
        <f t="shared" si="65"/>
        <v>0</v>
      </c>
    </row>
    <row r="1052" spans="1:7" hidden="1">
      <c r="A1052" s="78" t="s">
        <v>162</v>
      </c>
      <c r="B1052" s="109"/>
      <c r="C1052" s="8"/>
      <c r="D1052" s="7">
        <f t="shared" ref="D1052:F1052" si="92">C1052/C$1070*D$1070</f>
        <v>0</v>
      </c>
      <c r="E1052" s="7">
        <f t="shared" si="92"/>
        <v>0</v>
      </c>
      <c r="F1052" s="7">
        <f t="shared" si="92"/>
        <v>0</v>
      </c>
      <c r="G1052" s="7">
        <f t="shared" si="65"/>
        <v>0</v>
      </c>
    </row>
    <row r="1053" spans="1:7">
      <c r="A1053" s="78" t="s">
        <v>194</v>
      </c>
      <c r="B1053" s="109">
        <v>9.3580000000000005</v>
      </c>
      <c r="C1053" s="8">
        <v>7</v>
      </c>
      <c r="D1053" s="267">
        <f t="shared" ref="D1053:F1053" si="93">C1053/C$1070*D$1070</f>
        <v>10679.518153846155</v>
      </c>
      <c r="E1053" s="267">
        <f t="shared" si="93"/>
        <v>18046.155692307693</v>
      </c>
      <c r="F1053" s="267">
        <f t="shared" si="93"/>
        <v>7863.9636923076923</v>
      </c>
      <c r="G1053" s="7">
        <f t="shared" si="65"/>
        <v>36589.637538461538</v>
      </c>
    </row>
    <row r="1054" spans="1:7" hidden="1">
      <c r="A1054" s="78" t="s">
        <v>208</v>
      </c>
      <c r="B1054" s="109"/>
      <c r="C1054" s="8"/>
      <c r="D1054" s="7">
        <f t="shared" ref="D1054:F1054" si="94">C1054/C$1070*D$1070</f>
        <v>0</v>
      </c>
      <c r="E1054" s="7">
        <f t="shared" si="94"/>
        <v>0</v>
      </c>
      <c r="F1054" s="7">
        <f t="shared" si="94"/>
        <v>0</v>
      </c>
      <c r="G1054" s="7">
        <f t="shared" si="65"/>
        <v>0</v>
      </c>
    </row>
    <row r="1055" spans="1:7" hidden="1">
      <c r="A1055" s="78" t="s">
        <v>175</v>
      </c>
      <c r="B1055" s="109"/>
      <c r="C1055" s="8"/>
      <c r="D1055" s="7">
        <f t="shared" ref="D1055:F1055" si="95">C1055/C$1070*D$1070</f>
        <v>0</v>
      </c>
      <c r="E1055" s="7">
        <f t="shared" si="95"/>
        <v>0</v>
      </c>
      <c r="F1055" s="7">
        <f t="shared" si="95"/>
        <v>0</v>
      </c>
      <c r="G1055" s="7">
        <f t="shared" si="65"/>
        <v>0</v>
      </c>
    </row>
    <row r="1056" spans="1:7">
      <c r="A1056" s="78" t="s">
        <v>176</v>
      </c>
      <c r="B1056" s="109">
        <v>125.315</v>
      </c>
      <c r="C1056" s="8">
        <v>30.5</v>
      </c>
      <c r="D1056" s="267">
        <f t="shared" ref="D1056:F1056" si="96">C1056/C$1070*D$1070</f>
        <v>46532.186241758245</v>
      </c>
      <c r="E1056" s="267">
        <f t="shared" si="96"/>
        <v>78629.678373626375</v>
      </c>
      <c r="F1056" s="267">
        <f t="shared" si="96"/>
        <v>34264.413230769227</v>
      </c>
      <c r="G1056" s="7">
        <f t="shared" si="65"/>
        <v>159426.27784615385</v>
      </c>
    </row>
    <row r="1057" spans="1:9">
      <c r="A1057" s="78" t="s">
        <v>195</v>
      </c>
      <c r="B1057" s="109">
        <v>16.957999999999998</v>
      </c>
      <c r="C1057" s="8">
        <v>6.5</v>
      </c>
      <c r="D1057" s="267">
        <f t="shared" ref="D1057:F1057" si="97">C1057/C$1070*D$1070</f>
        <v>9916.6954285714291</v>
      </c>
      <c r="E1057" s="267">
        <f t="shared" si="97"/>
        <v>16757.144571428573</v>
      </c>
      <c r="F1057" s="267">
        <f t="shared" si="97"/>
        <v>7302.2520000000004</v>
      </c>
      <c r="G1057" s="7">
        <f t="shared" si="65"/>
        <v>33976.092000000004</v>
      </c>
    </row>
    <row r="1058" spans="1:9" hidden="1">
      <c r="A1058" s="78" t="s">
        <v>121</v>
      </c>
      <c r="B1058" s="100"/>
      <c r="C1058" s="8"/>
      <c r="D1058" s="7">
        <f t="shared" ref="D1058:F1058" si="98">C1058/C$1070*D$1070</f>
        <v>0</v>
      </c>
      <c r="E1058" s="7">
        <f t="shared" si="98"/>
        <v>0</v>
      </c>
      <c r="F1058" s="7">
        <f t="shared" si="98"/>
        <v>0</v>
      </c>
      <c r="G1058" s="7">
        <f t="shared" si="65"/>
        <v>0</v>
      </c>
    </row>
    <row r="1059" spans="1:9" hidden="1">
      <c r="A1059" s="78" t="s">
        <v>196</v>
      </c>
      <c r="B1059" s="100"/>
      <c r="C1059" s="8"/>
      <c r="D1059" s="7">
        <f t="shared" ref="D1059:F1059" si="99">C1059/C$1070*D$1070</f>
        <v>0</v>
      </c>
      <c r="E1059" s="7">
        <f t="shared" si="99"/>
        <v>0</v>
      </c>
      <c r="F1059" s="7">
        <f t="shared" si="99"/>
        <v>0</v>
      </c>
      <c r="G1059" s="7">
        <f t="shared" si="65"/>
        <v>0</v>
      </c>
    </row>
    <row r="1060" spans="1:9" hidden="1">
      <c r="A1060" s="78" t="s">
        <v>122</v>
      </c>
      <c r="B1060" s="109"/>
      <c r="C1060" s="8"/>
      <c r="D1060" s="7">
        <f t="shared" ref="D1060:F1060" si="100">C1060/C$1070*D$1070</f>
        <v>0</v>
      </c>
      <c r="E1060" s="7">
        <f t="shared" si="100"/>
        <v>0</v>
      </c>
      <c r="F1060" s="7">
        <f t="shared" si="100"/>
        <v>0</v>
      </c>
      <c r="G1060" s="7">
        <f t="shared" si="65"/>
        <v>0</v>
      </c>
    </row>
    <row r="1061" spans="1:9" hidden="1">
      <c r="A1061" s="78" t="s">
        <v>164</v>
      </c>
      <c r="B1061" s="127"/>
      <c r="C1061" s="52"/>
      <c r="D1061" s="7">
        <f t="shared" ref="D1061:F1061" si="101">C1061/C$1070*D$1070</f>
        <v>0</v>
      </c>
      <c r="E1061" s="7">
        <f t="shared" si="101"/>
        <v>0</v>
      </c>
      <c r="F1061" s="7">
        <f t="shared" si="101"/>
        <v>0</v>
      </c>
      <c r="G1061" s="7">
        <f t="shared" si="65"/>
        <v>0</v>
      </c>
    </row>
    <row r="1062" spans="1:9" hidden="1">
      <c r="A1062" s="78" t="s">
        <v>76</v>
      </c>
      <c r="B1062" s="109"/>
      <c r="C1062" s="8"/>
      <c r="D1062" s="7">
        <f t="shared" ref="D1062:F1062" si="102">C1062/C$1070*D$1070</f>
        <v>0</v>
      </c>
      <c r="E1062" s="7">
        <f t="shared" si="102"/>
        <v>0</v>
      </c>
      <c r="F1062" s="7">
        <f t="shared" si="102"/>
        <v>0</v>
      </c>
      <c r="G1062" s="7">
        <f t="shared" si="65"/>
        <v>0</v>
      </c>
    </row>
    <row r="1063" spans="1:9" hidden="1">
      <c r="A1063" s="78" t="s">
        <v>163</v>
      </c>
      <c r="B1063" s="109"/>
      <c r="C1063" s="8"/>
      <c r="D1063" s="7">
        <f t="shared" ref="D1063:F1063" si="103">C1063/C$1070*D$1070</f>
        <v>0</v>
      </c>
      <c r="E1063" s="7">
        <f t="shared" si="103"/>
        <v>0</v>
      </c>
      <c r="F1063" s="7">
        <f t="shared" si="103"/>
        <v>0</v>
      </c>
      <c r="G1063" s="7">
        <f t="shared" si="65"/>
        <v>0</v>
      </c>
    </row>
    <row r="1064" spans="1:9" hidden="1">
      <c r="A1064" s="78" t="s">
        <v>163</v>
      </c>
      <c r="B1064" s="109"/>
      <c r="C1064" s="8"/>
      <c r="D1064" s="7">
        <f t="shared" ref="D1064:F1064" si="104">C1064/C$1070*D$1070</f>
        <v>0</v>
      </c>
      <c r="E1064" s="7">
        <f t="shared" si="104"/>
        <v>0</v>
      </c>
      <c r="F1064" s="7">
        <f t="shared" si="104"/>
        <v>0</v>
      </c>
      <c r="G1064" s="7">
        <f t="shared" si="65"/>
        <v>0</v>
      </c>
    </row>
    <row r="1065" spans="1:9">
      <c r="A1065" s="78" t="s">
        <v>177</v>
      </c>
      <c r="B1065" s="109">
        <v>256.36099999999999</v>
      </c>
      <c r="C1065" s="8">
        <v>63</v>
      </c>
      <c r="D1065" s="267">
        <f t="shared" ref="D1065:F1065" si="105">C1065/C$1070*D$1070</f>
        <v>96115.6633846154</v>
      </c>
      <c r="E1065" s="267">
        <f t="shared" si="105"/>
        <v>162415.40123076926</v>
      </c>
      <c r="F1065" s="267">
        <f t="shared" si="105"/>
        <v>70775.673230769244</v>
      </c>
      <c r="G1065" s="7">
        <f t="shared" si="65"/>
        <v>329306.7378461539</v>
      </c>
    </row>
    <row r="1066" spans="1:9">
      <c r="A1066" s="78" t="s">
        <v>209</v>
      </c>
      <c r="B1066" s="109">
        <v>43.753</v>
      </c>
      <c r="C1066" s="8">
        <v>0</v>
      </c>
      <c r="D1066" s="7"/>
      <c r="E1066" s="7"/>
      <c r="F1066" s="7"/>
      <c r="G1066" s="7"/>
      <c r="H1066" s="254"/>
    </row>
    <row r="1067" spans="1:9" hidden="1">
      <c r="A1067" s="78" t="s">
        <v>178</v>
      </c>
      <c r="B1067" s="127"/>
      <c r="C1067" s="52"/>
      <c r="D1067" s="6"/>
      <c r="E1067" s="6"/>
      <c r="F1067" s="6"/>
      <c r="G1067" s="6"/>
    </row>
    <row r="1068" spans="1:9" hidden="1">
      <c r="A1068" s="78" t="s">
        <v>42</v>
      </c>
      <c r="B1068" s="127"/>
      <c r="C1068" s="52"/>
      <c r="D1068" s="6"/>
      <c r="E1068" s="6"/>
      <c r="F1068" s="6"/>
      <c r="G1068" s="6"/>
    </row>
    <row r="1069" spans="1:9" hidden="1">
      <c r="A1069" s="218" t="s">
        <v>315</v>
      </c>
      <c r="B1069" s="127"/>
      <c r="C1069" s="52"/>
      <c r="D1069" s="7"/>
      <c r="E1069" s="7"/>
      <c r="F1069" s="7"/>
      <c r="G1069" s="7"/>
      <c r="H1069" s="261"/>
      <c r="I1069" s="270"/>
    </row>
    <row r="1070" spans="1:9">
      <c r="A1070" s="10" t="s">
        <v>10</v>
      </c>
      <c r="B1070" s="113"/>
      <c r="C1070" s="10">
        <f>SUM(C1016:C1069)</f>
        <v>227.5</v>
      </c>
      <c r="D1070" s="11">
        <f>347084.34</f>
        <v>347084.34</v>
      </c>
      <c r="E1070" s="12">
        <f>17106.25+410086.5+82929.56+76377.75</f>
        <v>586500.06000000006</v>
      </c>
      <c r="F1070" s="12">
        <f>SUM(F1071:F1073)</f>
        <v>255578.82</v>
      </c>
      <c r="G1070" s="12">
        <f>SUM(D1070:F1070)</f>
        <v>1189163.2200000002</v>
      </c>
      <c r="H1070" s="71">
        <f>F1019+F1023+F1024+F1045+F1048+F1050+F1053+F1056+F1057+F1065+F580+F596+F599+F626</f>
        <v>276117.28756798472</v>
      </c>
    </row>
    <row r="1071" spans="1:9">
      <c r="A1071" s="397"/>
      <c r="B1071" s="122"/>
      <c r="C1071" s="55"/>
      <c r="E1071" s="77" t="s">
        <v>70</v>
      </c>
      <c r="F1071" s="41">
        <f>166827.34</f>
        <v>166827.34</v>
      </c>
      <c r="G1071" s="67">
        <f>F1071/F1070</f>
        <v>0.65274321244616429</v>
      </c>
      <c r="H1071" s="71">
        <f>G1071*H1070</f>
        <v>180233.68529904768</v>
      </c>
    </row>
    <row r="1072" spans="1:9">
      <c r="A1072" s="102"/>
      <c r="B1072" s="123"/>
      <c r="C1072" s="66"/>
      <c r="D1072" s="66"/>
      <c r="E1072" s="77" t="s">
        <v>72</v>
      </c>
      <c r="F1072" s="68">
        <f>33393.19+5470.09+88.02</f>
        <v>38951.299999999996</v>
      </c>
      <c r="G1072" s="69">
        <f>F1072/F1070</f>
        <v>0.15240425634643745</v>
      </c>
      <c r="H1072" s="71">
        <f>G1072*H1070</f>
        <v>42081.449876194129</v>
      </c>
    </row>
    <row r="1073" spans="1:8">
      <c r="A1073" s="66"/>
      <c r="B1073" s="123"/>
      <c r="C1073" s="66"/>
      <c r="D1073" s="66"/>
      <c r="E1073" s="77" t="s">
        <v>71</v>
      </c>
      <c r="F1073" s="68">
        <f>512.82+1452.99+7264.96+40569.41</f>
        <v>49800.180000000008</v>
      </c>
      <c r="G1073" s="69">
        <f>F1073/F1070</f>
        <v>0.19485253120739821</v>
      </c>
      <c r="H1073" s="71">
        <f>G1073*H1070</f>
        <v>53802.152392742886</v>
      </c>
    </row>
    <row r="1074" spans="1:8">
      <c r="A1074" s="66"/>
      <c r="B1074" s="123"/>
      <c r="C1074" s="66"/>
      <c r="D1074" s="66"/>
      <c r="E1074" s="77"/>
      <c r="F1074" s="68"/>
      <c r="G1074" s="69"/>
      <c r="H1074" s="71"/>
    </row>
    <row r="1075" spans="1:8">
      <c r="A1075" s="66"/>
      <c r="B1075" s="123"/>
      <c r="C1075" s="66"/>
      <c r="D1075" s="66"/>
      <c r="E1075" s="77"/>
      <c r="F1075" s="68"/>
      <c r="G1075" s="69"/>
      <c r="H1075" s="71"/>
    </row>
    <row r="1076" spans="1:8">
      <c r="A1076" s="66"/>
      <c r="B1076" s="123"/>
      <c r="C1076" s="66"/>
      <c r="D1076" s="66"/>
      <c r="E1076" s="77"/>
      <c r="F1076" s="68"/>
      <c r="G1076" s="69"/>
      <c r="H1076" s="71"/>
    </row>
    <row r="1077" spans="1:8">
      <c r="A1077" s="66"/>
      <c r="B1077" s="123"/>
      <c r="C1077" s="66"/>
      <c r="D1077" s="66"/>
      <c r="E1077" s="77"/>
      <c r="F1077" s="68"/>
      <c r="G1077" s="69"/>
      <c r="H1077" s="71"/>
    </row>
    <row r="1078" spans="1:8">
      <c r="A1078" s="66"/>
      <c r="B1078" s="123"/>
      <c r="C1078" s="66"/>
      <c r="D1078" s="66"/>
      <c r="E1078" s="77"/>
      <c r="F1078" s="68"/>
      <c r="G1078" s="69"/>
      <c r="H1078" s="71"/>
    </row>
    <row r="1079" spans="1:8">
      <c r="A1079" s="66"/>
      <c r="B1079" s="123"/>
      <c r="C1079" s="66"/>
      <c r="D1079" s="66"/>
      <c r="E1079" s="77"/>
      <c r="F1079" s="68"/>
      <c r="G1079" s="69"/>
      <c r="H1079" s="71"/>
    </row>
    <row r="1080" spans="1:8">
      <c r="A1080" s="66"/>
      <c r="B1080" s="123"/>
      <c r="C1080" s="66"/>
      <c r="D1080" s="66"/>
      <c r="E1080" s="77"/>
      <c r="F1080" s="68"/>
      <c r="G1080" s="69"/>
      <c r="H1080" s="71"/>
    </row>
    <row r="1081" spans="1:8">
      <c r="A1081" s="66"/>
      <c r="B1081" s="123"/>
      <c r="C1081" s="66"/>
      <c r="D1081" s="66"/>
      <c r="E1081" s="77"/>
      <c r="F1081" s="68"/>
      <c r="G1081" s="69"/>
      <c r="H1081" s="71"/>
    </row>
    <row r="1082" spans="1:8">
      <c r="A1082" s="66"/>
      <c r="B1082" s="123"/>
      <c r="C1082" s="66"/>
      <c r="D1082" s="66"/>
      <c r="E1082" s="77"/>
      <c r="F1082" s="68"/>
      <c r="G1082" s="69"/>
      <c r="H1082" s="71"/>
    </row>
    <row r="1083" spans="1:8">
      <c r="A1083" s="66"/>
      <c r="B1083" s="123"/>
      <c r="C1083" s="66"/>
      <c r="D1083" s="66"/>
      <c r="E1083" s="77"/>
      <c r="F1083" s="68"/>
      <c r="G1083" s="69"/>
      <c r="H1083" s="71"/>
    </row>
    <row r="1084" spans="1:8">
      <c r="A1084" s="66"/>
      <c r="B1084" s="123"/>
      <c r="C1084" s="66"/>
      <c r="D1084" s="66"/>
      <c r="E1084" s="77"/>
      <c r="F1084" s="68"/>
      <c r="G1084" s="69"/>
      <c r="H1084" s="71"/>
    </row>
    <row r="1085" spans="1:8">
      <c r="A1085" s="66"/>
      <c r="B1085" s="123"/>
      <c r="C1085" s="66"/>
      <c r="D1085" s="66"/>
      <c r="E1085" s="77"/>
      <c r="F1085" s="68"/>
      <c r="G1085" s="69"/>
      <c r="H1085" s="71"/>
    </row>
    <row r="1086" spans="1:8">
      <c r="A1086" s="66"/>
      <c r="B1086" s="123"/>
      <c r="C1086" s="66"/>
      <c r="D1086" s="66"/>
      <c r="E1086" s="77"/>
      <c r="F1086" s="68"/>
      <c r="G1086" s="69"/>
      <c r="H1086" s="71"/>
    </row>
    <row r="1087" spans="1:8">
      <c r="A1087" s="66"/>
      <c r="B1087" s="123"/>
      <c r="C1087" s="66"/>
      <c r="D1087" s="66"/>
      <c r="E1087" s="77"/>
      <c r="F1087" s="68"/>
      <c r="G1087" s="69"/>
      <c r="H1087" s="71"/>
    </row>
    <row r="1088" spans="1:8">
      <c r="A1088" s="66"/>
      <c r="B1088" s="123"/>
      <c r="C1088" s="66"/>
      <c r="D1088" s="66"/>
      <c r="E1088" s="77"/>
      <c r="F1088" s="68"/>
      <c r="G1088" s="69"/>
      <c r="H1088" s="71"/>
    </row>
    <row r="1089" spans="1:8">
      <c r="A1089" s="66"/>
      <c r="B1089" s="123"/>
      <c r="C1089" s="66"/>
      <c r="D1089" s="66"/>
      <c r="E1089" s="77"/>
      <c r="F1089" s="68"/>
      <c r="G1089" s="69"/>
      <c r="H1089" s="71"/>
    </row>
    <row r="1090" spans="1:8">
      <c r="A1090" s="66"/>
      <c r="B1090" s="123"/>
      <c r="C1090" s="66"/>
      <c r="D1090" s="66"/>
      <c r="E1090" s="77"/>
      <c r="F1090" s="68"/>
      <c r="G1090" s="69"/>
      <c r="H1090" s="71"/>
    </row>
    <row r="1091" spans="1:8">
      <c r="A1091" s="66"/>
      <c r="B1091" s="123"/>
      <c r="C1091" s="66"/>
      <c r="D1091" s="66"/>
      <c r="E1091" s="77"/>
      <c r="F1091" s="68"/>
      <c r="G1091" s="69"/>
      <c r="H1091" s="71"/>
    </row>
    <row r="1092" spans="1:8">
      <c r="A1092" s="66"/>
      <c r="B1092" s="123"/>
      <c r="C1092" s="66"/>
      <c r="D1092" s="66"/>
      <c r="E1092" s="77"/>
      <c r="F1092" s="68"/>
      <c r="G1092" s="69"/>
      <c r="H1092" s="71"/>
    </row>
    <row r="1093" spans="1:8">
      <c r="A1093" s="66"/>
      <c r="B1093" s="123"/>
      <c r="C1093" s="66"/>
      <c r="D1093" s="66"/>
      <c r="E1093" s="77"/>
      <c r="F1093" s="68"/>
      <c r="G1093" s="69"/>
      <c r="H1093" s="71"/>
    </row>
    <row r="1094" spans="1:8">
      <c r="A1094" s="66"/>
      <c r="B1094" s="123"/>
      <c r="C1094" s="66"/>
      <c r="D1094" s="66"/>
      <c r="E1094" s="77"/>
      <c r="F1094" s="68"/>
      <c r="G1094" s="69"/>
      <c r="H1094" s="71"/>
    </row>
    <row r="1095" spans="1:8">
      <c r="A1095" s="66"/>
      <c r="B1095" s="123"/>
      <c r="C1095" s="66"/>
      <c r="D1095" s="66"/>
      <c r="E1095" s="77"/>
      <c r="F1095" s="68"/>
      <c r="G1095" s="69"/>
      <c r="H1095" s="71"/>
    </row>
    <row r="1098" spans="1:8">
      <c r="A1098" s="454" t="s">
        <v>394</v>
      </c>
      <c r="B1098" s="455"/>
      <c r="C1098" s="455"/>
      <c r="D1098" s="455"/>
      <c r="E1098" s="455"/>
      <c r="F1098" s="455"/>
      <c r="G1098" s="456"/>
    </row>
    <row r="1099" spans="1:8">
      <c r="A1099" s="5" t="s">
        <v>4</v>
      </c>
      <c r="B1099" s="115" t="s">
        <v>45</v>
      </c>
      <c r="C1099" s="50" t="s">
        <v>46</v>
      </c>
      <c r="D1099" s="6" t="s">
        <v>47</v>
      </c>
      <c r="E1099" s="6" t="s">
        <v>48</v>
      </c>
      <c r="F1099" s="6" t="s">
        <v>49</v>
      </c>
      <c r="G1099" s="6" t="s">
        <v>50</v>
      </c>
    </row>
    <row r="1100" spans="1:8" hidden="1">
      <c r="A1100" s="9" t="s">
        <v>60</v>
      </c>
      <c r="B1100" s="109"/>
      <c r="C1100" s="52"/>
      <c r="D1100" s="7"/>
      <c r="E1100" s="7"/>
      <c r="F1100" s="7"/>
      <c r="G1100" s="7"/>
    </row>
    <row r="1101" spans="1:8" hidden="1">
      <c r="A1101" s="9" t="s">
        <v>151</v>
      </c>
      <c r="B1101" s="109"/>
      <c r="C1101" s="52"/>
      <c r="D1101" s="7"/>
      <c r="E1101" s="7"/>
      <c r="F1101" s="7"/>
      <c r="G1101" s="7"/>
    </row>
    <row r="1102" spans="1:8" hidden="1">
      <c r="A1102" s="9" t="s">
        <v>123</v>
      </c>
      <c r="B1102" s="109"/>
      <c r="C1102" s="52"/>
      <c r="D1102" s="7"/>
      <c r="E1102" s="7"/>
      <c r="F1102" s="7"/>
      <c r="G1102" s="7"/>
    </row>
    <row r="1103" spans="1:8" hidden="1">
      <c r="A1103" s="9" t="s">
        <v>138</v>
      </c>
      <c r="B1103" s="109"/>
      <c r="C1103" s="52"/>
      <c r="D1103" s="7"/>
      <c r="E1103" s="7"/>
      <c r="F1103" s="7"/>
      <c r="G1103" s="7"/>
    </row>
    <row r="1104" spans="1:8" hidden="1">
      <c r="A1104" s="9" t="s">
        <v>197</v>
      </c>
      <c r="B1104" s="109"/>
      <c r="C1104" s="52"/>
      <c r="D1104" s="7"/>
      <c r="E1104" s="7"/>
      <c r="F1104" s="7"/>
      <c r="G1104" s="7"/>
    </row>
    <row r="1105" spans="1:7">
      <c r="A1105" s="9" t="s">
        <v>61</v>
      </c>
      <c r="B1105" s="109">
        <v>31.74</v>
      </c>
      <c r="C1105" s="52">
        <v>11</v>
      </c>
      <c r="D1105" s="267">
        <f>C1105/C$1154*D$1154</f>
        <v>14855.171063829788</v>
      </c>
      <c r="E1105" s="267">
        <f t="shared" ref="E1105:F1105" si="106">D1105/D$1154*E$1154</f>
        <v>24927.502978723405</v>
      </c>
      <c r="F1105" s="267">
        <f t="shared" si="106"/>
        <v>8904.7042553191477</v>
      </c>
      <c r="G1105" s="7">
        <f>SUM(D1105:F1105)</f>
        <v>48687.378297872339</v>
      </c>
    </row>
    <row r="1106" spans="1:7" hidden="1">
      <c r="A1106" s="9" t="s">
        <v>124</v>
      </c>
      <c r="B1106" s="109"/>
      <c r="C1106" s="52"/>
      <c r="D1106" s="7">
        <f t="shared" ref="D1106:F1140" si="107">C1106/C$1154*D$1154</f>
        <v>0</v>
      </c>
      <c r="E1106" s="7">
        <f t="shared" si="107"/>
        <v>0</v>
      </c>
      <c r="F1106" s="7">
        <f t="shared" si="107"/>
        <v>0</v>
      </c>
      <c r="G1106" s="7">
        <f t="shared" ref="G1106:G1140" si="108">SUM(D1106:F1106)</f>
        <v>0</v>
      </c>
    </row>
    <row r="1107" spans="1:7" hidden="1">
      <c r="A1107" s="9" t="s">
        <v>124</v>
      </c>
      <c r="B1107" s="109"/>
      <c r="C1107" s="52"/>
      <c r="D1107" s="7">
        <f t="shared" si="107"/>
        <v>0</v>
      </c>
      <c r="E1107" s="7">
        <f t="shared" si="107"/>
        <v>0</v>
      </c>
      <c r="F1107" s="7">
        <f t="shared" si="107"/>
        <v>0</v>
      </c>
      <c r="G1107" s="7">
        <f t="shared" si="108"/>
        <v>0</v>
      </c>
    </row>
    <row r="1108" spans="1:7" hidden="1">
      <c r="A1108" s="9" t="s">
        <v>139</v>
      </c>
      <c r="B1108" s="109"/>
      <c r="C1108" s="52"/>
      <c r="D1108" s="7">
        <f t="shared" si="107"/>
        <v>0</v>
      </c>
      <c r="E1108" s="7">
        <f t="shared" si="107"/>
        <v>0</v>
      </c>
      <c r="F1108" s="7">
        <f t="shared" si="107"/>
        <v>0</v>
      </c>
      <c r="G1108" s="7">
        <f t="shared" si="108"/>
        <v>0</v>
      </c>
    </row>
    <row r="1109" spans="1:7">
      <c r="A1109" s="9" t="s">
        <v>171</v>
      </c>
      <c r="B1109" s="109">
        <v>46.015000000000001</v>
      </c>
      <c r="C1109" s="52">
        <v>10.5</v>
      </c>
      <c r="D1109" s="267">
        <f t="shared" si="107"/>
        <v>14179.936015473888</v>
      </c>
      <c r="E1109" s="267">
        <f t="shared" si="107"/>
        <v>23794.434661508705</v>
      </c>
      <c r="F1109" s="267">
        <f t="shared" si="107"/>
        <v>8499.9449709864602</v>
      </c>
      <c r="G1109" s="7">
        <f t="shared" si="108"/>
        <v>46474.315647969051</v>
      </c>
    </row>
    <row r="1110" spans="1:7" hidden="1">
      <c r="A1110" s="9" t="s">
        <v>184</v>
      </c>
      <c r="B1110" s="109"/>
      <c r="C1110" s="52"/>
      <c r="D1110" s="7">
        <f t="shared" si="107"/>
        <v>0</v>
      </c>
      <c r="E1110" s="7">
        <f t="shared" si="107"/>
        <v>0</v>
      </c>
      <c r="F1110" s="7">
        <f t="shared" si="107"/>
        <v>0</v>
      </c>
      <c r="G1110" s="7">
        <f t="shared" si="108"/>
        <v>0</v>
      </c>
    </row>
    <row r="1111" spans="1:7" hidden="1">
      <c r="A1111" s="9" t="s">
        <v>125</v>
      </c>
      <c r="B1111" s="109"/>
      <c r="C1111" s="52"/>
      <c r="D1111" s="7">
        <f t="shared" si="107"/>
        <v>0</v>
      </c>
      <c r="E1111" s="7">
        <f t="shared" si="107"/>
        <v>0</v>
      </c>
      <c r="F1111" s="7">
        <f t="shared" si="107"/>
        <v>0</v>
      </c>
      <c r="G1111" s="7">
        <f t="shared" si="108"/>
        <v>0</v>
      </c>
    </row>
    <row r="1112" spans="1:7" hidden="1">
      <c r="A1112" s="9" t="s">
        <v>140</v>
      </c>
      <c r="B1112" s="109"/>
      <c r="C1112" s="52"/>
      <c r="D1112" s="7">
        <f t="shared" si="107"/>
        <v>0</v>
      </c>
      <c r="E1112" s="7">
        <f t="shared" si="107"/>
        <v>0</v>
      </c>
      <c r="F1112" s="7">
        <f t="shared" si="107"/>
        <v>0</v>
      </c>
      <c r="G1112" s="7">
        <f t="shared" si="108"/>
        <v>0</v>
      </c>
    </row>
    <row r="1113" spans="1:7" hidden="1">
      <c r="A1113" s="9" t="s">
        <v>141</v>
      </c>
      <c r="B1113" s="109"/>
      <c r="C1113" s="52"/>
      <c r="D1113" s="7">
        <f t="shared" si="107"/>
        <v>0</v>
      </c>
      <c r="E1113" s="7">
        <f t="shared" si="107"/>
        <v>0</v>
      </c>
      <c r="F1113" s="7">
        <f t="shared" si="107"/>
        <v>0</v>
      </c>
      <c r="G1113" s="7">
        <f t="shared" si="108"/>
        <v>0</v>
      </c>
    </row>
    <row r="1114" spans="1:7">
      <c r="A1114" s="9" t="s">
        <v>211</v>
      </c>
      <c r="B1114" s="109">
        <v>13.807600000000001</v>
      </c>
      <c r="C1114" s="52">
        <v>0</v>
      </c>
      <c r="D1114" s="7"/>
      <c r="E1114" s="7"/>
      <c r="F1114" s="7"/>
      <c r="G1114" s="7"/>
    </row>
    <row r="1115" spans="1:7" hidden="1">
      <c r="A1115" s="9" t="s">
        <v>142</v>
      </c>
      <c r="B1115" s="127"/>
      <c r="C1115" s="8"/>
      <c r="D1115" s="7">
        <f t="shared" si="107"/>
        <v>0</v>
      </c>
      <c r="E1115" s="7">
        <f t="shared" si="107"/>
        <v>0</v>
      </c>
      <c r="F1115" s="7">
        <f t="shared" si="107"/>
        <v>0</v>
      </c>
      <c r="G1115" s="7">
        <f t="shared" si="108"/>
        <v>0</v>
      </c>
    </row>
    <row r="1116" spans="1:7" hidden="1">
      <c r="A1116" s="9" t="s">
        <v>126</v>
      </c>
      <c r="B1116" s="109"/>
      <c r="C1116" s="52"/>
      <c r="D1116" s="7">
        <f t="shared" si="107"/>
        <v>0</v>
      </c>
      <c r="E1116" s="7">
        <f t="shared" si="107"/>
        <v>0</v>
      </c>
      <c r="F1116" s="7">
        <f t="shared" si="107"/>
        <v>0</v>
      </c>
      <c r="G1116" s="7">
        <f t="shared" si="108"/>
        <v>0</v>
      </c>
    </row>
    <row r="1117" spans="1:7" hidden="1">
      <c r="A1117" s="9" t="s">
        <v>172</v>
      </c>
      <c r="B1117" s="109"/>
      <c r="C1117" s="52"/>
      <c r="D1117" s="7">
        <f t="shared" si="107"/>
        <v>0</v>
      </c>
      <c r="E1117" s="7">
        <f t="shared" si="107"/>
        <v>0</v>
      </c>
      <c r="F1117" s="7">
        <f t="shared" si="107"/>
        <v>0</v>
      </c>
      <c r="G1117" s="7">
        <f t="shared" si="108"/>
        <v>0</v>
      </c>
    </row>
    <row r="1118" spans="1:7">
      <c r="A1118" s="9" t="s">
        <v>127</v>
      </c>
      <c r="B1118" s="109">
        <v>394.76</v>
      </c>
      <c r="C1118" s="52">
        <v>92</v>
      </c>
      <c r="D1118" s="267">
        <f t="shared" si="107"/>
        <v>124243.24889748551</v>
      </c>
      <c r="E1118" s="267">
        <f t="shared" si="107"/>
        <v>208484.57036750487</v>
      </c>
      <c r="F1118" s="267">
        <f t="shared" si="107"/>
        <v>74475.708317214696</v>
      </c>
      <c r="G1118" s="7">
        <f t="shared" si="108"/>
        <v>407203.52758220508</v>
      </c>
    </row>
    <row r="1119" spans="1:7">
      <c r="A1119" s="96" t="s">
        <v>127</v>
      </c>
      <c r="B1119" s="271"/>
      <c r="C1119" s="272">
        <v>10.5</v>
      </c>
      <c r="D1119" s="269">
        <f t="shared" si="107"/>
        <v>14179.936015473888</v>
      </c>
      <c r="E1119" s="269">
        <f t="shared" si="107"/>
        <v>23794.434661508705</v>
      </c>
      <c r="F1119" s="269">
        <f t="shared" si="107"/>
        <v>8499.9449709864602</v>
      </c>
      <c r="G1119" s="269">
        <f t="shared" si="108"/>
        <v>46474.315647969051</v>
      </c>
    </row>
    <row r="1120" spans="1:7" hidden="1">
      <c r="A1120" s="9" t="s">
        <v>212</v>
      </c>
      <c r="B1120" s="109"/>
      <c r="C1120" s="52"/>
      <c r="D1120" s="7">
        <f t="shared" si="107"/>
        <v>0</v>
      </c>
      <c r="E1120" s="7">
        <f t="shared" si="107"/>
        <v>0</v>
      </c>
      <c r="F1120" s="7">
        <f t="shared" si="107"/>
        <v>0</v>
      </c>
      <c r="G1120" s="7">
        <f t="shared" si="108"/>
        <v>0</v>
      </c>
    </row>
    <row r="1121" spans="1:7" hidden="1">
      <c r="A1121" s="9" t="s">
        <v>143</v>
      </c>
      <c r="B1121" s="127"/>
      <c r="C1121" s="8"/>
      <c r="D1121" s="7">
        <f t="shared" si="107"/>
        <v>0</v>
      </c>
      <c r="E1121" s="7">
        <f t="shared" si="107"/>
        <v>0</v>
      </c>
      <c r="F1121" s="7">
        <f t="shared" si="107"/>
        <v>0</v>
      </c>
      <c r="G1121" s="7">
        <f t="shared" si="108"/>
        <v>0</v>
      </c>
    </row>
    <row r="1122" spans="1:7" hidden="1">
      <c r="A1122" s="9" t="s">
        <v>62</v>
      </c>
      <c r="B1122" s="109"/>
      <c r="C1122" s="52"/>
      <c r="D1122" s="7">
        <f t="shared" si="107"/>
        <v>0</v>
      </c>
      <c r="E1122" s="7">
        <f t="shared" si="107"/>
        <v>0</v>
      </c>
      <c r="F1122" s="7">
        <f t="shared" si="107"/>
        <v>0</v>
      </c>
      <c r="G1122" s="7">
        <f t="shared" si="108"/>
        <v>0</v>
      </c>
    </row>
    <row r="1123" spans="1:7" hidden="1">
      <c r="A1123" s="9" t="s">
        <v>185</v>
      </c>
      <c r="B1123" s="109"/>
      <c r="C1123" s="52"/>
      <c r="D1123" s="7">
        <f t="shared" si="107"/>
        <v>0</v>
      </c>
      <c r="E1123" s="7">
        <f t="shared" si="107"/>
        <v>0</v>
      </c>
      <c r="F1123" s="7">
        <f t="shared" si="107"/>
        <v>0</v>
      </c>
      <c r="G1123" s="7">
        <f t="shared" si="108"/>
        <v>0</v>
      </c>
    </row>
    <row r="1124" spans="1:7">
      <c r="A1124" s="9" t="s">
        <v>128</v>
      </c>
      <c r="B1124" s="109">
        <v>45.798000000000002</v>
      </c>
      <c r="C1124" s="52">
        <v>10.5</v>
      </c>
      <c r="D1124" s="267">
        <f t="shared" si="107"/>
        <v>14179.936015473888</v>
      </c>
      <c r="E1124" s="267">
        <f t="shared" si="107"/>
        <v>23794.434661508705</v>
      </c>
      <c r="F1124" s="267">
        <f t="shared" si="107"/>
        <v>8499.9449709864602</v>
      </c>
      <c r="G1124" s="7">
        <f t="shared" si="108"/>
        <v>46474.315647969051</v>
      </c>
    </row>
    <row r="1125" spans="1:7" hidden="1">
      <c r="A1125" s="9" t="s">
        <v>128</v>
      </c>
      <c r="B1125" s="109"/>
      <c r="C1125" s="52"/>
      <c r="D1125" s="7">
        <f t="shared" si="107"/>
        <v>0</v>
      </c>
      <c r="E1125" s="7">
        <f t="shared" si="107"/>
        <v>0</v>
      </c>
      <c r="F1125" s="7">
        <f t="shared" si="107"/>
        <v>0</v>
      </c>
      <c r="G1125" s="7">
        <f t="shared" si="108"/>
        <v>0</v>
      </c>
    </row>
    <row r="1126" spans="1:7" hidden="1">
      <c r="A1126" s="9" t="s">
        <v>144</v>
      </c>
      <c r="B1126" s="109"/>
      <c r="C1126" s="52"/>
      <c r="D1126" s="7">
        <f t="shared" si="107"/>
        <v>0</v>
      </c>
      <c r="E1126" s="7">
        <f t="shared" si="107"/>
        <v>0</v>
      </c>
      <c r="F1126" s="7">
        <f t="shared" si="107"/>
        <v>0</v>
      </c>
      <c r="G1126" s="7">
        <f t="shared" si="108"/>
        <v>0</v>
      </c>
    </row>
    <row r="1127" spans="1:7" hidden="1">
      <c r="A1127" s="9" t="s">
        <v>145</v>
      </c>
      <c r="B1127" s="127"/>
      <c r="C1127" s="8"/>
      <c r="D1127" s="7">
        <f t="shared" si="107"/>
        <v>0</v>
      </c>
      <c r="E1127" s="7">
        <f t="shared" si="107"/>
        <v>0</v>
      </c>
      <c r="F1127" s="7">
        <f t="shared" si="107"/>
        <v>0</v>
      </c>
      <c r="G1127" s="7">
        <f t="shared" si="108"/>
        <v>0</v>
      </c>
    </row>
    <row r="1128" spans="1:7" hidden="1">
      <c r="A1128" s="9" t="s">
        <v>129</v>
      </c>
      <c r="B1128" s="109"/>
      <c r="C1128" s="52"/>
      <c r="D1128" s="7">
        <f t="shared" si="107"/>
        <v>0</v>
      </c>
      <c r="E1128" s="7">
        <f t="shared" si="107"/>
        <v>0</v>
      </c>
      <c r="F1128" s="7">
        <f t="shared" si="107"/>
        <v>0</v>
      </c>
      <c r="G1128" s="7">
        <f t="shared" si="108"/>
        <v>0</v>
      </c>
    </row>
    <row r="1129" spans="1:7" hidden="1">
      <c r="A1129" s="9" t="s">
        <v>130</v>
      </c>
      <c r="B1129" s="109"/>
      <c r="C1129" s="52"/>
      <c r="D1129" s="7">
        <f t="shared" si="107"/>
        <v>0</v>
      </c>
      <c r="E1129" s="7">
        <f t="shared" si="107"/>
        <v>0</v>
      </c>
      <c r="F1129" s="7">
        <f t="shared" si="107"/>
        <v>0</v>
      </c>
      <c r="G1129" s="7">
        <f t="shared" si="108"/>
        <v>0</v>
      </c>
    </row>
    <row r="1130" spans="1:7">
      <c r="A1130" s="9" t="s">
        <v>198</v>
      </c>
      <c r="B1130" s="109">
        <v>31.623000000000001</v>
      </c>
      <c r="C1130" s="52">
        <v>12</v>
      </c>
      <c r="D1130" s="267">
        <f t="shared" si="107"/>
        <v>16205.641160541587</v>
      </c>
      <c r="E1130" s="267">
        <f t="shared" si="107"/>
        <v>27193.639613152809</v>
      </c>
      <c r="F1130" s="267">
        <f t="shared" si="107"/>
        <v>9714.2228239845263</v>
      </c>
      <c r="G1130" s="7">
        <f t="shared" si="108"/>
        <v>53113.503597678922</v>
      </c>
    </row>
    <row r="1131" spans="1:7">
      <c r="A1131" s="9" t="s">
        <v>63</v>
      </c>
      <c r="B1131" s="109">
        <v>19.785399999999999</v>
      </c>
      <c r="C1131" s="52">
        <v>0</v>
      </c>
      <c r="D1131" s="7"/>
      <c r="E1131" s="7"/>
      <c r="F1131" s="7"/>
      <c r="G1131" s="7"/>
    </row>
    <row r="1132" spans="1:7" hidden="1">
      <c r="A1132" s="9" t="s">
        <v>63</v>
      </c>
      <c r="B1132" s="109"/>
      <c r="C1132" s="52"/>
      <c r="D1132" s="7">
        <f t="shared" si="107"/>
        <v>0</v>
      </c>
      <c r="E1132" s="7">
        <f t="shared" si="107"/>
        <v>0</v>
      </c>
      <c r="F1132" s="7">
        <f t="shared" si="107"/>
        <v>0</v>
      </c>
      <c r="G1132" s="7">
        <f t="shared" si="108"/>
        <v>0</v>
      </c>
    </row>
    <row r="1133" spans="1:7">
      <c r="A1133" s="9" t="s">
        <v>131</v>
      </c>
      <c r="B1133" s="109">
        <v>138.40799999999999</v>
      </c>
      <c r="C1133" s="52">
        <v>31</v>
      </c>
      <c r="D1133" s="267">
        <f t="shared" si="107"/>
        <v>41864.572998065763</v>
      </c>
      <c r="E1133" s="267">
        <f t="shared" si="107"/>
        <v>70250.235667311412</v>
      </c>
      <c r="F1133" s="267">
        <f t="shared" si="107"/>
        <v>25095.075628626688</v>
      </c>
      <c r="G1133" s="7">
        <f t="shared" si="108"/>
        <v>137209.88429400386</v>
      </c>
    </row>
    <row r="1134" spans="1:7">
      <c r="A1134" s="96" t="s">
        <v>131</v>
      </c>
      <c r="B1134" s="271"/>
      <c r="C1134" s="272">
        <v>11</v>
      </c>
      <c r="D1134" s="269">
        <f t="shared" si="107"/>
        <v>14855.171063829788</v>
      </c>
      <c r="E1134" s="269">
        <f t="shared" si="107"/>
        <v>24927.502978723405</v>
      </c>
      <c r="F1134" s="269">
        <f t="shared" si="107"/>
        <v>8904.7042553191477</v>
      </c>
      <c r="G1134" s="269">
        <f t="shared" si="108"/>
        <v>48687.378297872339</v>
      </c>
    </row>
    <row r="1135" spans="1:7" hidden="1">
      <c r="A1135" s="9" t="s">
        <v>213</v>
      </c>
      <c r="B1135" s="109"/>
      <c r="C1135" s="52"/>
      <c r="D1135" s="7">
        <f t="shared" si="107"/>
        <v>0</v>
      </c>
      <c r="E1135" s="7">
        <f t="shared" si="107"/>
        <v>0</v>
      </c>
      <c r="F1135" s="7">
        <f t="shared" si="107"/>
        <v>0</v>
      </c>
      <c r="G1135" s="7">
        <f t="shared" si="108"/>
        <v>0</v>
      </c>
    </row>
    <row r="1136" spans="1:7">
      <c r="A1136" s="9" t="s">
        <v>132</v>
      </c>
      <c r="B1136" s="109">
        <v>94.2</v>
      </c>
      <c r="C1136" s="52">
        <v>20.5</v>
      </c>
      <c r="D1136" s="267">
        <f t="shared" si="107"/>
        <v>27684.636982591874</v>
      </c>
      <c r="E1136" s="267">
        <f t="shared" si="107"/>
        <v>46455.801005802707</v>
      </c>
      <c r="F1136" s="267">
        <f t="shared" si="107"/>
        <v>16595.130657640231</v>
      </c>
      <c r="G1136" s="7">
        <f t="shared" si="108"/>
        <v>90735.568646034808</v>
      </c>
    </row>
    <row r="1137" spans="1:8" hidden="1">
      <c r="A1137" s="9" t="s">
        <v>132</v>
      </c>
      <c r="B1137" s="109"/>
      <c r="C1137" s="52"/>
      <c r="D1137" s="7">
        <f t="shared" si="107"/>
        <v>0</v>
      </c>
      <c r="E1137" s="7">
        <f t="shared" si="107"/>
        <v>0</v>
      </c>
      <c r="F1137" s="7">
        <f t="shared" si="107"/>
        <v>0</v>
      </c>
      <c r="G1137" s="7">
        <f t="shared" si="108"/>
        <v>0</v>
      </c>
    </row>
    <row r="1138" spans="1:8">
      <c r="A1138" s="9" t="s">
        <v>134</v>
      </c>
      <c r="B1138" s="109">
        <v>30.434000000000001</v>
      </c>
      <c r="C1138" s="52">
        <v>7</v>
      </c>
      <c r="D1138" s="267">
        <f t="shared" si="107"/>
        <v>9453.2906769825931</v>
      </c>
      <c r="E1138" s="267">
        <f t="shared" si="107"/>
        <v>15862.956441005805</v>
      </c>
      <c r="F1138" s="267">
        <f t="shared" si="107"/>
        <v>5666.6299806576399</v>
      </c>
      <c r="G1138" s="7">
        <f t="shared" si="108"/>
        <v>30982.877098646037</v>
      </c>
    </row>
    <row r="1139" spans="1:8">
      <c r="A1139" s="96" t="s">
        <v>134</v>
      </c>
      <c r="B1139" s="271"/>
      <c r="C1139" s="272">
        <v>10.5</v>
      </c>
      <c r="D1139" s="269">
        <f t="shared" si="107"/>
        <v>14179.936015473888</v>
      </c>
      <c r="E1139" s="269">
        <f t="shared" si="107"/>
        <v>23794.434661508705</v>
      </c>
      <c r="F1139" s="269">
        <f t="shared" si="107"/>
        <v>8499.9449709864602</v>
      </c>
      <c r="G1139" s="269">
        <f t="shared" si="108"/>
        <v>46474.315647969051</v>
      </c>
    </row>
    <row r="1140" spans="1:8">
      <c r="A1140" s="9" t="s">
        <v>64</v>
      </c>
      <c r="B1140" s="109">
        <v>141.97300000000001</v>
      </c>
      <c r="C1140" s="52">
        <v>18</v>
      </c>
      <c r="D1140" s="267">
        <f t="shared" si="107"/>
        <v>24308.461740812381</v>
      </c>
      <c r="E1140" s="267">
        <f t="shared" si="107"/>
        <v>40790.45941972921</v>
      </c>
      <c r="F1140" s="267">
        <f t="shared" si="107"/>
        <v>14571.334235976788</v>
      </c>
      <c r="G1140" s="7">
        <f t="shared" si="108"/>
        <v>79670.255396518376</v>
      </c>
    </row>
    <row r="1141" spans="1:8" hidden="1">
      <c r="A1141" s="9" t="s">
        <v>64</v>
      </c>
      <c r="B1141" s="109"/>
      <c r="C1141" s="52"/>
      <c r="D1141" s="7"/>
      <c r="E1141" s="7"/>
      <c r="F1141" s="7"/>
      <c r="G1141" s="7"/>
    </row>
    <row r="1142" spans="1:8" ht="25.5" customHeight="1">
      <c r="A1142" s="96" t="s">
        <v>65</v>
      </c>
      <c r="B1142" s="271"/>
      <c r="C1142" s="272">
        <v>11</v>
      </c>
      <c r="D1142" s="269">
        <f t="shared" ref="D1142:F1142" si="109">C1142/C$1154*D$1154</f>
        <v>14855.171063829788</v>
      </c>
      <c r="E1142" s="269">
        <f t="shared" si="109"/>
        <v>24927.502978723405</v>
      </c>
      <c r="F1142" s="269">
        <f t="shared" si="109"/>
        <v>8904.7042553191477</v>
      </c>
      <c r="G1142" s="269">
        <f>SUM(D1142:F1142)</f>
        <v>48687.378297872339</v>
      </c>
      <c r="H1142" s="436" t="s">
        <v>429</v>
      </c>
    </row>
    <row r="1143" spans="1:8" hidden="1">
      <c r="A1143" s="9" t="s">
        <v>65</v>
      </c>
      <c r="B1143" s="109"/>
      <c r="C1143" s="52"/>
      <c r="D1143" s="7"/>
      <c r="E1143" s="7"/>
      <c r="F1143" s="7"/>
      <c r="G1143" s="7"/>
    </row>
    <row r="1144" spans="1:8">
      <c r="A1144" s="96" t="s">
        <v>133</v>
      </c>
      <c r="B1144" s="271"/>
      <c r="C1144" s="272">
        <v>3</v>
      </c>
      <c r="D1144" s="269">
        <f t="shared" ref="D1144:F1144" si="110">C1144/C$1154*D$1154</f>
        <v>4051.4102901353967</v>
      </c>
      <c r="E1144" s="269">
        <f t="shared" si="110"/>
        <v>6798.4099032882023</v>
      </c>
      <c r="F1144" s="269">
        <f t="shared" si="110"/>
        <v>2428.5557059961316</v>
      </c>
      <c r="G1144" s="269">
        <f>SUM(D1144:F1144)</f>
        <v>13278.375899419731</v>
      </c>
    </row>
    <row r="1145" spans="1:8" hidden="1">
      <c r="A1145" s="9" t="s">
        <v>214</v>
      </c>
      <c r="B1145" s="109"/>
      <c r="C1145" s="52"/>
      <c r="D1145" s="7"/>
      <c r="E1145" s="7"/>
      <c r="F1145" s="7"/>
      <c r="G1145" s="7"/>
      <c r="H1145" s="254"/>
    </row>
    <row r="1146" spans="1:8" hidden="1">
      <c r="A1146" s="9" t="s">
        <v>146</v>
      </c>
      <c r="B1146" s="127"/>
      <c r="C1146" s="8"/>
      <c r="D1146" s="7"/>
      <c r="E1146" s="7"/>
      <c r="F1146" s="7"/>
      <c r="G1146" s="7"/>
    </row>
    <row r="1147" spans="1:8" hidden="1">
      <c r="A1147" s="9" t="s">
        <v>147</v>
      </c>
      <c r="B1147" s="127"/>
      <c r="C1147" s="8"/>
      <c r="D1147" s="7"/>
      <c r="E1147" s="7"/>
      <c r="F1147" s="7"/>
      <c r="G1147" s="7"/>
    </row>
    <row r="1148" spans="1:8" hidden="1">
      <c r="A1148" s="9" t="s">
        <v>148</v>
      </c>
      <c r="B1148" s="127"/>
      <c r="C1148" s="8"/>
      <c r="D1148" s="7"/>
      <c r="E1148" s="7"/>
      <c r="F1148" s="7"/>
      <c r="G1148" s="7"/>
    </row>
    <row r="1149" spans="1:8" hidden="1">
      <c r="A1149" s="9" t="s">
        <v>149</v>
      </c>
      <c r="B1149" s="127"/>
      <c r="C1149" s="8"/>
      <c r="D1149" s="7"/>
      <c r="E1149" s="7"/>
      <c r="F1149" s="7"/>
      <c r="G1149" s="7"/>
    </row>
    <row r="1150" spans="1:8" hidden="1">
      <c r="A1150" s="9" t="s">
        <v>150</v>
      </c>
      <c r="B1150" s="127"/>
      <c r="C1150" s="8"/>
      <c r="D1150" s="7"/>
      <c r="E1150" s="7"/>
      <c r="F1150" s="7"/>
      <c r="G1150" s="7"/>
    </row>
    <row r="1151" spans="1:8" hidden="1">
      <c r="A1151" s="92" t="s">
        <v>68</v>
      </c>
      <c r="B1151" s="109"/>
      <c r="C1151" s="52"/>
      <c r="D1151" s="7"/>
      <c r="E1151" s="7"/>
      <c r="F1151" s="7"/>
      <c r="G1151" s="7"/>
    </row>
    <row r="1152" spans="1:8" hidden="1">
      <c r="A1152" s="92" t="s">
        <v>69</v>
      </c>
      <c r="B1152" s="109"/>
      <c r="C1152" s="52"/>
      <c r="D1152" s="7"/>
      <c r="E1152" s="7"/>
      <c r="F1152" s="7"/>
      <c r="G1152" s="7"/>
    </row>
    <row r="1153" spans="1:9" hidden="1">
      <c r="A1153" s="92" t="s">
        <v>315</v>
      </c>
      <c r="B1153" s="109"/>
      <c r="C1153" s="52"/>
      <c r="D1153" s="7"/>
      <c r="E1153" s="7"/>
      <c r="F1153" s="7"/>
      <c r="G1153" s="7"/>
      <c r="H1153" s="261"/>
      <c r="I1153" s="270"/>
    </row>
    <row r="1154" spans="1:9">
      <c r="A1154" s="10" t="s">
        <v>51</v>
      </c>
      <c r="B1154" s="104"/>
      <c r="C1154" s="49">
        <f>SUM(C1100:C1153)</f>
        <v>258.5</v>
      </c>
      <c r="D1154" s="12">
        <v>349096.52</v>
      </c>
      <c r="E1154" s="12">
        <f>23246.5+412733.52+83910.55+65905.75</f>
        <v>585796.32000000007</v>
      </c>
      <c r="F1154" s="12">
        <f>SUM(F1155:F1157)</f>
        <v>209260.55</v>
      </c>
      <c r="G1154" s="12">
        <f>SUM(D1154:F1154)</f>
        <v>1144153.3900000001</v>
      </c>
      <c r="H1154" s="71">
        <f>F1105+F1109+F1118+F1124+F1130+F1133+F1136+F1138+F1140+F674+F691+F700</f>
        <v>204626.27983725184</v>
      </c>
    </row>
    <row r="1155" spans="1:9">
      <c r="A1155" s="397"/>
      <c r="B1155" s="116"/>
      <c r="C1155" s="132"/>
      <c r="D1155" s="13"/>
      <c r="E1155" s="77" t="s">
        <v>70</v>
      </c>
      <c r="F1155" s="75">
        <v>151409.47</v>
      </c>
      <c r="G1155" s="73">
        <f>F1155/F1154</f>
        <v>0.72354521671667216</v>
      </c>
      <c r="H1155" s="71">
        <f>G1155*H1154</f>
        <v>148056.36599077078</v>
      </c>
    </row>
    <row r="1156" spans="1:9">
      <c r="A1156" s="102"/>
      <c r="B1156" s="116"/>
      <c r="C1156" s="132"/>
      <c r="D1156" s="13"/>
      <c r="E1156" s="77" t="s">
        <v>72</v>
      </c>
      <c r="F1156" s="75">
        <v>5470.08</v>
      </c>
      <c r="G1156" s="73">
        <f>F1156/F1154</f>
        <v>2.614004407424142E-2</v>
      </c>
      <c r="H1156" s="71">
        <f>G1156*H1154</f>
        <v>5348.9399736938212</v>
      </c>
    </row>
    <row r="1157" spans="1:9">
      <c r="A1157" s="16"/>
      <c r="B1157" s="116"/>
      <c r="C1157" s="132"/>
      <c r="D1157" s="13"/>
      <c r="E1157" s="77" t="s">
        <v>71</v>
      </c>
      <c r="F1157" s="75">
        <f>854.7+51526.3</f>
        <v>52381</v>
      </c>
      <c r="G1157" s="73">
        <f>F1157/F1154</f>
        <v>0.25031473920908648</v>
      </c>
      <c r="H1157" s="71">
        <f>G1157*H1154</f>
        <v>51220.973872787246</v>
      </c>
    </row>
    <row r="1158" spans="1:9">
      <c r="A1158" s="16"/>
      <c r="B1158" s="116"/>
      <c r="C1158" s="132"/>
      <c r="D1158" s="13"/>
      <c r="E1158" s="77"/>
      <c r="F1158" s="75"/>
      <c r="G1158" s="73"/>
      <c r="H1158" s="71"/>
    </row>
    <row r="1159" spans="1:9">
      <c r="A1159" s="16"/>
      <c r="B1159" s="116"/>
      <c r="C1159" s="132"/>
      <c r="D1159" s="13"/>
      <c r="E1159" s="77"/>
      <c r="F1159" s="75"/>
      <c r="G1159" s="73"/>
      <c r="H1159" s="71"/>
    </row>
    <row r="1160" spans="1:9">
      <c r="A1160" s="16"/>
      <c r="B1160" s="116"/>
      <c r="C1160" s="132"/>
      <c r="D1160" s="13"/>
      <c r="E1160" s="77"/>
      <c r="F1160" s="75"/>
      <c r="G1160" s="73"/>
      <c r="H1160" s="71"/>
    </row>
    <row r="1161" spans="1:9">
      <c r="A1161" s="16"/>
      <c r="B1161" s="116"/>
      <c r="C1161" s="132"/>
      <c r="D1161" s="13"/>
      <c r="E1161" s="77"/>
      <c r="F1161" s="75"/>
      <c r="G1161" s="73"/>
      <c r="H1161" s="71"/>
    </row>
    <row r="1162" spans="1:9">
      <c r="A1162" s="16"/>
      <c r="B1162" s="116"/>
      <c r="C1162" s="132"/>
      <c r="D1162" s="13"/>
      <c r="E1162" s="77"/>
      <c r="F1162" s="75"/>
      <c r="G1162" s="73"/>
      <c r="H1162" s="71"/>
    </row>
    <row r="1163" spans="1:9">
      <c r="A1163" s="16"/>
      <c r="B1163" s="116"/>
      <c r="C1163" s="132"/>
      <c r="D1163" s="13"/>
      <c r="E1163" s="77"/>
      <c r="F1163" s="75"/>
      <c r="G1163" s="73"/>
      <c r="H1163" s="71"/>
    </row>
    <row r="1164" spans="1:9">
      <c r="A1164" s="16"/>
      <c r="B1164" s="116"/>
      <c r="C1164" s="132"/>
      <c r="D1164" s="13"/>
      <c r="E1164" s="77"/>
      <c r="F1164" s="75"/>
      <c r="G1164" s="73"/>
      <c r="H1164" s="71"/>
    </row>
    <row r="1165" spans="1:9">
      <c r="A1165" s="16"/>
      <c r="B1165" s="116"/>
      <c r="C1165" s="132"/>
      <c r="D1165" s="13"/>
      <c r="E1165" s="77"/>
      <c r="F1165" s="75"/>
      <c r="G1165" s="73"/>
      <c r="H1165" s="71"/>
    </row>
    <row r="1166" spans="1:9">
      <c r="A1166" s="16"/>
      <c r="B1166" s="116"/>
      <c r="C1166" s="132"/>
      <c r="D1166" s="13"/>
      <c r="E1166" s="77"/>
      <c r="F1166" s="75"/>
      <c r="G1166" s="73"/>
      <c r="H1166" s="71"/>
    </row>
    <row r="1167" spans="1:9">
      <c r="A1167" s="16"/>
      <c r="B1167" s="116"/>
      <c r="C1167" s="132"/>
      <c r="D1167" s="13"/>
      <c r="E1167" s="77"/>
      <c r="F1167" s="75"/>
      <c r="G1167" s="73"/>
      <c r="H1167" s="71"/>
    </row>
    <row r="1168" spans="1:9">
      <c r="A1168" s="16"/>
      <c r="B1168" s="116"/>
      <c r="C1168" s="132"/>
      <c r="D1168" s="13"/>
      <c r="E1168" s="77"/>
      <c r="F1168" s="75"/>
      <c r="G1168" s="73"/>
      <c r="H1168" s="71"/>
    </row>
    <row r="1169" spans="1:8">
      <c r="A1169" s="16"/>
      <c r="B1169" s="116"/>
      <c r="C1169" s="132"/>
      <c r="D1169" s="13"/>
      <c r="E1169" s="77"/>
      <c r="F1169" s="75"/>
      <c r="G1169" s="73"/>
      <c r="H1169" s="71"/>
    </row>
    <row r="1170" spans="1:8">
      <c r="A1170" s="16"/>
      <c r="B1170" s="116"/>
      <c r="C1170" s="132"/>
      <c r="D1170" s="13"/>
      <c r="E1170" s="77"/>
      <c r="F1170" s="75"/>
      <c r="G1170" s="73"/>
      <c r="H1170" s="71"/>
    </row>
    <row r="1171" spans="1:8">
      <c r="A1171" s="16"/>
      <c r="B1171" s="116"/>
      <c r="C1171" s="132"/>
      <c r="D1171" s="13"/>
      <c r="E1171" s="77"/>
      <c r="F1171" s="75"/>
      <c r="G1171" s="73"/>
      <c r="H1171" s="71"/>
    </row>
    <row r="1172" spans="1:8">
      <c r="A1172" s="16"/>
      <c r="B1172" s="116"/>
      <c r="C1172" s="132"/>
      <c r="D1172" s="13"/>
      <c r="E1172" s="77"/>
      <c r="F1172" s="75"/>
      <c r="G1172" s="73"/>
      <c r="H1172" s="71"/>
    </row>
    <row r="1173" spans="1:8">
      <c r="A1173" s="16"/>
      <c r="B1173" s="116"/>
      <c r="C1173" s="132"/>
      <c r="D1173" s="13"/>
      <c r="E1173" s="77"/>
      <c r="F1173" s="75"/>
      <c r="G1173" s="73"/>
      <c r="H1173" s="71"/>
    </row>
    <row r="1174" spans="1:8">
      <c r="A1174" s="16"/>
      <c r="B1174" s="116"/>
      <c r="C1174" s="132"/>
      <c r="D1174" s="13"/>
      <c r="E1174" s="77"/>
      <c r="F1174" s="75"/>
      <c r="G1174" s="73"/>
      <c r="H1174" s="71"/>
    </row>
    <row r="1175" spans="1:8">
      <c r="A1175" s="16"/>
      <c r="B1175" s="116"/>
      <c r="C1175" s="132"/>
      <c r="D1175" s="13"/>
      <c r="E1175" s="77"/>
      <c r="F1175" s="75"/>
      <c r="G1175" s="73"/>
      <c r="H1175" s="71"/>
    </row>
    <row r="1176" spans="1:8">
      <c r="A1176" s="16"/>
      <c r="B1176" s="116"/>
      <c r="C1176" s="132"/>
      <c r="D1176" s="13"/>
      <c r="E1176" s="77"/>
      <c r="F1176" s="75"/>
      <c r="G1176" s="73"/>
      <c r="H1176" s="71"/>
    </row>
    <row r="1177" spans="1:8">
      <c r="A1177" s="16"/>
      <c r="B1177" s="116"/>
      <c r="C1177" s="132"/>
      <c r="D1177" s="13"/>
      <c r="E1177" s="77"/>
      <c r="F1177" s="75"/>
      <c r="G1177" s="73"/>
      <c r="H1177" s="71"/>
    </row>
    <row r="1180" spans="1:8">
      <c r="A1180" s="453" t="s">
        <v>395</v>
      </c>
      <c r="B1180" s="453"/>
      <c r="C1180" s="453"/>
      <c r="D1180" s="453"/>
      <c r="E1180" s="453"/>
      <c r="F1180" s="453"/>
      <c r="G1180" s="453"/>
    </row>
    <row r="1181" spans="1:8">
      <c r="A1181" s="5" t="s">
        <v>52</v>
      </c>
      <c r="B1181" s="105" t="s">
        <v>45</v>
      </c>
      <c r="C1181" s="6" t="s">
        <v>53</v>
      </c>
      <c r="D1181" s="6" t="s">
        <v>54</v>
      </c>
      <c r="E1181" s="6" t="s">
        <v>6</v>
      </c>
      <c r="F1181" s="6" t="s">
        <v>55</v>
      </c>
      <c r="G1181" s="6" t="s">
        <v>56</v>
      </c>
      <c r="H1181" s="100" t="s">
        <v>337</v>
      </c>
    </row>
    <row r="1182" spans="1:8" hidden="1">
      <c r="A1182" s="80" t="s">
        <v>91</v>
      </c>
      <c r="B1182" s="117"/>
      <c r="C1182" s="6"/>
      <c r="D1182" s="6"/>
      <c r="E1182" s="7"/>
      <c r="F1182" s="7"/>
      <c r="G1182" s="7"/>
      <c r="H1182" s="100"/>
    </row>
    <row r="1183" spans="1:8" hidden="1">
      <c r="A1183" s="80" t="s">
        <v>92</v>
      </c>
      <c r="B1183" s="117"/>
      <c r="C1183" s="6"/>
      <c r="D1183" s="6"/>
      <c r="E1183" s="7"/>
      <c r="F1183" s="7"/>
      <c r="G1183" s="7"/>
      <c r="H1183" s="100"/>
    </row>
    <row r="1184" spans="1:8">
      <c r="A1184" s="80" t="s">
        <v>93</v>
      </c>
      <c r="B1184" s="117">
        <v>68.850999999999999</v>
      </c>
      <c r="C1184" s="6">
        <f>144-24</f>
        <v>120</v>
      </c>
      <c r="D1184" s="6">
        <f>384-64</f>
        <v>320</v>
      </c>
      <c r="E1184" s="267">
        <f>D1184/D$1201*E$1201</f>
        <v>56912.076862745096</v>
      </c>
      <c r="F1184" s="267">
        <f>C1184/C$1201*F$1201</f>
        <v>40721.540816326538</v>
      </c>
      <c r="G1184" s="267">
        <f>D1184/D$1201*G$1201</f>
        <v>38610.997647058823</v>
      </c>
      <c r="H1184" s="281">
        <f>SUM(E1184:G1184)</f>
        <v>136244.61532613047</v>
      </c>
    </row>
    <row r="1185" spans="1:10" hidden="1">
      <c r="A1185" s="80" t="s">
        <v>215</v>
      </c>
      <c r="B1185" s="117"/>
      <c r="C1185" s="6"/>
      <c r="D1185" s="6"/>
      <c r="E1185" s="7">
        <f t="shared" ref="E1185:E1189" si="111">D1185/D$1201*E$1201</f>
        <v>0</v>
      </c>
      <c r="F1185" s="7">
        <f t="shared" ref="F1185:F1189" si="112">C1185/C$1201*F$1201</f>
        <v>0</v>
      </c>
      <c r="G1185" s="7">
        <f t="shared" ref="G1185:G1189" si="113">D1185/D$1201*G$1201</f>
        <v>0</v>
      </c>
      <c r="H1185" s="281">
        <f t="shared" ref="H1185:H1189" si="114">SUM(E1185:G1185)</f>
        <v>0</v>
      </c>
    </row>
    <row r="1186" spans="1:10" hidden="1">
      <c r="A1186" s="80" t="s">
        <v>94</v>
      </c>
      <c r="B1186" s="117"/>
      <c r="C1186" s="6"/>
      <c r="D1186" s="6"/>
      <c r="E1186" s="7">
        <f t="shared" si="111"/>
        <v>0</v>
      </c>
      <c r="F1186" s="7">
        <f t="shared" si="112"/>
        <v>0</v>
      </c>
      <c r="G1186" s="7">
        <f t="shared" si="113"/>
        <v>0</v>
      </c>
      <c r="H1186" s="281">
        <f t="shared" si="114"/>
        <v>0</v>
      </c>
    </row>
    <row r="1187" spans="1:10">
      <c r="A1187" s="80" t="s">
        <v>95</v>
      </c>
      <c r="B1187" s="117">
        <v>72.472999999999999</v>
      </c>
      <c r="C1187" s="6">
        <v>264</v>
      </c>
      <c r="D1187" s="6">
        <v>512</v>
      </c>
      <c r="E1187" s="267">
        <f t="shared" si="111"/>
        <v>91059.322980392157</v>
      </c>
      <c r="F1187" s="267">
        <f t="shared" si="112"/>
        <v>89587.389795918367</v>
      </c>
      <c r="G1187" s="267">
        <f t="shared" si="113"/>
        <v>61777.596235294113</v>
      </c>
      <c r="H1187" s="281">
        <f t="shared" si="114"/>
        <v>242424.30901160464</v>
      </c>
    </row>
    <row r="1188" spans="1:10">
      <c r="A1188" s="274" t="s">
        <v>95</v>
      </c>
      <c r="B1188" s="268"/>
      <c r="C1188" s="88">
        <v>52</v>
      </c>
      <c r="D1188" s="88">
        <v>64</v>
      </c>
      <c r="E1188" s="269">
        <f t="shared" si="111"/>
        <v>11382.41537254902</v>
      </c>
      <c r="F1188" s="269">
        <f t="shared" si="112"/>
        <v>17646.001020408166</v>
      </c>
      <c r="G1188" s="269">
        <f t="shared" si="113"/>
        <v>7722.1995294117642</v>
      </c>
      <c r="H1188" s="283">
        <f t="shared" si="114"/>
        <v>36750.615922368954</v>
      </c>
    </row>
    <row r="1189" spans="1:10">
      <c r="A1189" s="80" t="s">
        <v>96</v>
      </c>
      <c r="B1189" s="117">
        <v>54.02</v>
      </c>
      <c r="C1189" s="6">
        <v>348</v>
      </c>
      <c r="D1189" s="6">
        <v>1144</v>
      </c>
      <c r="E1189" s="267">
        <f t="shared" si="111"/>
        <v>203460.67478431371</v>
      </c>
      <c r="F1189" s="267">
        <f t="shared" si="112"/>
        <v>118092.46836734694</v>
      </c>
      <c r="G1189" s="267">
        <f t="shared" si="113"/>
        <v>138034.31658823529</v>
      </c>
      <c r="H1189" s="281">
        <f t="shared" si="114"/>
        <v>459587.459739896</v>
      </c>
    </row>
    <row r="1190" spans="1:10" hidden="1">
      <c r="A1190" s="80" t="s">
        <v>96</v>
      </c>
      <c r="B1190" s="117"/>
      <c r="C1190" s="6"/>
      <c r="D1190" s="6"/>
      <c r="E1190" s="7"/>
      <c r="F1190" s="7"/>
      <c r="G1190" s="7"/>
      <c r="H1190" s="281"/>
    </row>
    <row r="1191" spans="1:10" hidden="1">
      <c r="A1191" s="80" t="s">
        <v>135</v>
      </c>
      <c r="B1191" s="117"/>
      <c r="C1191" s="6"/>
      <c r="D1191" s="6"/>
      <c r="E1191" s="7"/>
      <c r="F1191" s="7"/>
      <c r="G1191" s="7"/>
      <c r="H1191" s="281"/>
    </row>
    <row r="1192" spans="1:10" hidden="1">
      <c r="A1192" s="80" t="s">
        <v>135</v>
      </c>
      <c r="B1192" s="117"/>
      <c r="C1192" s="6"/>
      <c r="D1192" s="6"/>
      <c r="E1192" s="7"/>
      <c r="F1192" s="7"/>
      <c r="G1192" s="7"/>
      <c r="H1192" s="281"/>
    </row>
    <row r="1193" spans="1:10" hidden="1">
      <c r="A1193" s="80" t="s">
        <v>97</v>
      </c>
      <c r="B1193" s="117"/>
      <c r="C1193" s="6"/>
      <c r="D1193" s="6"/>
      <c r="E1193" s="7"/>
      <c r="F1193" s="7"/>
      <c r="G1193" s="7"/>
      <c r="H1193" s="281"/>
    </row>
    <row r="1194" spans="1:10" hidden="1">
      <c r="A1194" s="80" t="s">
        <v>136</v>
      </c>
      <c r="B1194" s="117"/>
      <c r="C1194" s="6"/>
      <c r="D1194" s="6"/>
      <c r="E1194" s="7"/>
      <c r="F1194" s="7"/>
      <c r="G1194" s="7"/>
      <c r="H1194" s="281"/>
    </row>
    <row r="1195" spans="1:10" hidden="1">
      <c r="A1195" s="80" t="s">
        <v>170</v>
      </c>
      <c r="B1195" s="117"/>
      <c r="C1195" s="6"/>
      <c r="D1195" s="6"/>
      <c r="E1195" s="7"/>
      <c r="F1195" s="7"/>
      <c r="G1195" s="7"/>
      <c r="H1195" s="255"/>
    </row>
    <row r="1196" spans="1:10" hidden="1">
      <c r="A1196" s="80" t="s">
        <v>216</v>
      </c>
      <c r="B1196" s="117"/>
      <c r="C1196" s="6"/>
      <c r="D1196" s="6"/>
      <c r="E1196" s="7"/>
      <c r="F1196" s="7"/>
      <c r="G1196" s="7"/>
      <c r="H1196" s="255"/>
    </row>
    <row r="1197" spans="1:10" hidden="1">
      <c r="A1197" s="80" t="s">
        <v>98</v>
      </c>
      <c r="B1197" s="117"/>
      <c r="C1197" s="6"/>
      <c r="D1197" s="6"/>
      <c r="E1197" s="7"/>
      <c r="F1197" s="7"/>
      <c r="G1197" s="7"/>
      <c r="H1197" s="100"/>
    </row>
    <row r="1198" spans="1:10" hidden="1">
      <c r="A1198" s="80" t="s">
        <v>99</v>
      </c>
      <c r="B1198" s="117"/>
      <c r="C1198" s="6"/>
      <c r="D1198" s="6"/>
      <c r="E1198" s="7"/>
      <c r="F1198" s="7"/>
      <c r="G1198" s="7"/>
      <c r="H1198" s="100"/>
    </row>
    <row r="1199" spans="1:10" hidden="1">
      <c r="A1199" s="80" t="s">
        <v>179</v>
      </c>
      <c r="B1199" s="117"/>
      <c r="C1199" s="6"/>
      <c r="D1199" s="6"/>
      <c r="E1199" s="7"/>
      <c r="F1199" s="7"/>
      <c r="G1199" s="7"/>
      <c r="H1199" s="100"/>
    </row>
    <row r="1200" spans="1:10" hidden="1">
      <c r="A1200" s="229" t="s">
        <v>315</v>
      </c>
      <c r="B1200" s="117"/>
      <c r="C1200" s="6"/>
      <c r="D1200" s="6"/>
      <c r="E1200" s="7"/>
      <c r="F1200" s="5"/>
      <c r="G1200" s="385"/>
      <c r="H1200" s="386"/>
      <c r="I1200" s="261"/>
      <c r="J1200" s="270"/>
    </row>
    <row r="1201" spans="1:10">
      <c r="A1201" s="44" t="s">
        <v>44</v>
      </c>
      <c r="B1201" s="113"/>
      <c r="C1201" s="15">
        <f>SUM(C1184:C1189)</f>
        <v>784</v>
      </c>
      <c r="D1201" s="15">
        <f>SUM(D1184:D1189)</f>
        <v>2040</v>
      </c>
      <c r="E1201" s="12">
        <v>362814.49</v>
      </c>
      <c r="F1201" s="12">
        <f>15027.5+101712.25+29714.65+119593</f>
        <v>266047.40000000002</v>
      </c>
      <c r="G1201" s="275">
        <f>SUM(G1202:G1204)</f>
        <v>246145.11</v>
      </c>
      <c r="H1201" s="282">
        <f>SUM(E1201:G1201)</f>
        <v>875007</v>
      </c>
      <c r="I1201" s="280">
        <f>G743+G1184+G1187+G1189</f>
        <v>247972.44962643238</v>
      </c>
      <c r="J1201" s="280"/>
    </row>
    <row r="1202" spans="1:10">
      <c r="A1202" s="397"/>
      <c r="B1202" s="129"/>
      <c r="C1202" s="81"/>
      <c r="D1202" s="81"/>
      <c r="E1202" s="81"/>
      <c r="F1202" s="77" t="s">
        <v>70</v>
      </c>
      <c r="G1202" s="82">
        <v>212049.73</v>
      </c>
      <c r="H1202" s="276">
        <f>G1202/G1201</f>
        <v>0.86148260268099586</v>
      </c>
      <c r="I1202" s="280">
        <f>H1202*I1201</f>
        <v>213623.95129736111</v>
      </c>
      <c r="J1202" s="280"/>
    </row>
    <row r="1203" spans="1:10">
      <c r="A1203" s="273" t="s">
        <v>341</v>
      </c>
      <c r="B1203" s="124"/>
      <c r="C1203" s="57"/>
      <c r="D1203" s="42"/>
      <c r="E1203" s="42"/>
      <c r="F1203" s="77" t="s">
        <v>72</v>
      </c>
      <c r="G1203" s="18">
        <v>408.46</v>
      </c>
      <c r="H1203" s="276">
        <f>G1203/G1201</f>
        <v>1.6594276441242322E-3</v>
      </c>
      <c r="I1203" s="280">
        <f>H1203*I1201</f>
        <v>411.49233789130557</v>
      </c>
      <c r="J1203" s="280"/>
    </row>
    <row r="1204" spans="1:10">
      <c r="B1204" s="118"/>
      <c r="C1204" s="17"/>
      <c r="D1204" s="18"/>
      <c r="E1204" s="42"/>
      <c r="F1204" s="77" t="s">
        <v>71</v>
      </c>
      <c r="G1204" s="18">
        <f>1153.85+32533.07</f>
        <v>33686.92</v>
      </c>
      <c r="H1204" s="276">
        <f>G1204/G1201</f>
        <v>0.13685796967487998</v>
      </c>
      <c r="I1204" s="280">
        <f>H1204*I1201</f>
        <v>33937.005991179984</v>
      </c>
      <c r="J1204" s="280"/>
    </row>
    <row r="1226" spans="1:7">
      <c r="A1226" s="453" t="s">
        <v>396</v>
      </c>
      <c r="B1226" s="453"/>
      <c r="C1226" s="453"/>
      <c r="D1226" s="453"/>
      <c r="E1226" s="453"/>
      <c r="F1226" s="453"/>
      <c r="G1226" s="453"/>
    </row>
    <row r="1227" spans="1:7">
      <c r="A1227" s="5" t="s">
        <v>4</v>
      </c>
      <c r="B1227" s="105" t="s">
        <v>45</v>
      </c>
      <c r="C1227" s="6" t="s">
        <v>11</v>
      </c>
      <c r="D1227" s="6" t="s">
        <v>6</v>
      </c>
      <c r="E1227" s="6" t="s">
        <v>7</v>
      </c>
      <c r="F1227" s="6" t="s">
        <v>8</v>
      </c>
      <c r="G1227" s="6" t="s">
        <v>9</v>
      </c>
    </row>
    <row r="1228" spans="1:7" hidden="1">
      <c r="A1228" s="83" t="s">
        <v>100</v>
      </c>
      <c r="B1228" s="119"/>
      <c r="C1228" s="6"/>
      <c r="D1228" s="6"/>
      <c r="E1228" s="6"/>
      <c r="F1228" s="6"/>
      <c r="G1228" s="6"/>
    </row>
    <row r="1229" spans="1:7" hidden="1">
      <c r="A1229" s="83" t="s">
        <v>100</v>
      </c>
      <c r="B1229" s="119"/>
      <c r="C1229" s="6"/>
      <c r="D1229" s="6"/>
      <c r="E1229" s="6"/>
      <c r="F1229" s="6"/>
      <c r="G1229" s="6"/>
    </row>
    <row r="1230" spans="1:7" hidden="1">
      <c r="A1230" s="94" t="s">
        <v>168</v>
      </c>
      <c r="B1230" s="119"/>
      <c r="C1230" s="6"/>
      <c r="D1230" s="7"/>
      <c r="E1230" s="7"/>
      <c r="F1230" s="7"/>
      <c r="G1230" s="7"/>
    </row>
    <row r="1231" spans="1:7" hidden="1">
      <c r="A1231" s="83" t="s">
        <v>101</v>
      </c>
      <c r="B1231" s="119"/>
      <c r="C1231" s="6"/>
      <c r="D1231" s="7"/>
      <c r="E1231" s="7"/>
      <c r="F1231" s="7"/>
      <c r="G1231" s="7"/>
    </row>
    <row r="1232" spans="1:7">
      <c r="A1232" s="431" t="s">
        <v>101</v>
      </c>
      <c r="B1232" s="432"/>
      <c r="C1232" s="88">
        <v>26</v>
      </c>
      <c r="D1232" s="269">
        <f>C1232/C$1251*D$1251</f>
        <v>9803.6113709677411</v>
      </c>
      <c r="E1232" s="269">
        <f t="shared" ref="E1232:F1232" si="115">D1232/D$1251*E$1251</f>
        <v>14468.680241935484</v>
      </c>
      <c r="F1232" s="269">
        <f t="shared" si="115"/>
        <v>12385.220564516128</v>
      </c>
      <c r="G1232" s="269">
        <f>SUM(D1232:F1232)</f>
        <v>36657.512177419354</v>
      </c>
    </row>
    <row r="1233" spans="1:8" hidden="1">
      <c r="A1233" s="83" t="s">
        <v>110</v>
      </c>
      <c r="B1233" s="119"/>
      <c r="C1233" s="6"/>
      <c r="D1233" s="269">
        <f t="shared" ref="D1233:F1233" si="116">C1233/C$1251*D$1251</f>
        <v>0</v>
      </c>
      <c r="E1233" s="269">
        <f t="shared" si="116"/>
        <v>0</v>
      </c>
      <c r="F1233" s="269">
        <f t="shared" si="116"/>
        <v>0</v>
      </c>
      <c r="G1233" s="7"/>
    </row>
    <row r="1234" spans="1:8">
      <c r="A1234" s="83" t="s">
        <v>102</v>
      </c>
      <c r="B1234" s="119">
        <v>16.588999999999999</v>
      </c>
      <c r="C1234" s="6">
        <v>0</v>
      </c>
      <c r="D1234" s="7"/>
      <c r="E1234" s="7"/>
      <c r="F1234" s="7"/>
      <c r="G1234" s="7"/>
    </row>
    <row r="1235" spans="1:8">
      <c r="A1235" s="431" t="s">
        <v>102</v>
      </c>
      <c r="B1235" s="432"/>
      <c r="C1235" s="88">
        <v>8</v>
      </c>
      <c r="D1235" s="269">
        <f t="shared" ref="D1235:F1235" si="117">C1235/C$1251*D$1251</f>
        <v>3016.4958064516127</v>
      </c>
      <c r="E1235" s="269">
        <f t="shared" si="117"/>
        <v>4451.9016129032261</v>
      </c>
      <c r="F1235" s="269">
        <f t="shared" si="117"/>
        <v>3810.8370967741935</v>
      </c>
      <c r="G1235" s="269">
        <f>SUM(D1235:F1235)</f>
        <v>11279.234516129032</v>
      </c>
    </row>
    <row r="1236" spans="1:8">
      <c r="A1236" s="85" t="s">
        <v>103</v>
      </c>
      <c r="B1236" s="119">
        <v>13.452999999999999</v>
      </c>
      <c r="C1236" s="6">
        <v>12</v>
      </c>
      <c r="D1236" s="267">
        <f t="shared" ref="D1236:F1236" si="118">C1236/C$1251*D$1251</f>
        <v>4524.7437096774192</v>
      </c>
      <c r="E1236" s="267">
        <f t="shared" si="118"/>
        <v>6677.8524193548392</v>
      </c>
      <c r="F1236" s="267">
        <f t="shared" si="118"/>
        <v>5716.25564516129</v>
      </c>
      <c r="G1236" s="7">
        <f t="shared" ref="G1236:G1245" si="119">SUM(D1236:F1236)</f>
        <v>16918.85177419355</v>
      </c>
    </row>
    <row r="1237" spans="1:8">
      <c r="A1237" s="433" t="s">
        <v>103</v>
      </c>
      <c r="B1237" s="432"/>
      <c r="C1237" s="88">
        <v>8</v>
      </c>
      <c r="D1237" s="269">
        <f t="shared" ref="D1237:F1237" si="120">C1237/C$1251*D$1251</f>
        <v>3016.4958064516127</v>
      </c>
      <c r="E1237" s="269">
        <f t="shared" si="120"/>
        <v>4451.9016129032261</v>
      </c>
      <c r="F1237" s="269">
        <f t="shared" si="120"/>
        <v>3810.8370967741935</v>
      </c>
      <c r="G1237" s="269">
        <f t="shared" si="119"/>
        <v>11279.234516129032</v>
      </c>
    </row>
    <row r="1238" spans="1:8">
      <c r="A1238" s="89" t="s">
        <v>104</v>
      </c>
      <c r="B1238" s="119">
        <v>2.3340000000000001</v>
      </c>
      <c r="C1238" s="6">
        <v>34</v>
      </c>
      <c r="D1238" s="267">
        <f t="shared" ref="D1238:F1238" si="121">C1238/C$1251*D$1251</f>
        <v>12820.107177419353</v>
      </c>
      <c r="E1238" s="267">
        <f t="shared" si="121"/>
        <v>18920.581854838711</v>
      </c>
      <c r="F1238" s="267">
        <f t="shared" si="121"/>
        <v>16196.057661290321</v>
      </c>
      <c r="G1238" s="7">
        <f t="shared" si="119"/>
        <v>47936.746693548383</v>
      </c>
    </row>
    <row r="1239" spans="1:8" hidden="1">
      <c r="A1239" s="89" t="s">
        <v>112</v>
      </c>
      <c r="B1239" s="119"/>
      <c r="C1239" s="6"/>
      <c r="D1239" s="7">
        <f t="shared" ref="D1239:F1239" si="122">C1239/C$1251*D$1251</f>
        <v>0</v>
      </c>
      <c r="E1239" s="7">
        <f t="shared" si="122"/>
        <v>0</v>
      </c>
      <c r="F1239" s="7">
        <f t="shared" si="122"/>
        <v>0</v>
      </c>
      <c r="G1239" s="7"/>
    </row>
    <row r="1240" spans="1:8" hidden="1">
      <c r="A1240" s="83" t="s">
        <v>109</v>
      </c>
      <c r="B1240" s="119"/>
      <c r="C1240" s="8"/>
      <c r="D1240" s="7">
        <f t="shared" ref="D1240:F1240" si="123">C1240/C$1251*D$1251</f>
        <v>0</v>
      </c>
      <c r="E1240" s="7">
        <f t="shared" si="123"/>
        <v>0</v>
      </c>
      <c r="F1240" s="7">
        <f t="shared" si="123"/>
        <v>0</v>
      </c>
      <c r="G1240" s="7"/>
    </row>
    <row r="1241" spans="1:8">
      <c r="A1241" s="83" t="s">
        <v>105</v>
      </c>
      <c r="B1241" s="119">
        <v>12.003</v>
      </c>
      <c r="C1241" s="8">
        <v>34</v>
      </c>
      <c r="D1241" s="267">
        <f t="shared" ref="D1241:F1241" si="124">C1241/C$1251*D$1251</f>
        <v>12820.107177419353</v>
      </c>
      <c r="E1241" s="267">
        <f t="shared" si="124"/>
        <v>18920.581854838711</v>
      </c>
      <c r="F1241" s="267">
        <f t="shared" si="124"/>
        <v>16196.057661290321</v>
      </c>
      <c r="G1241" s="7">
        <f t="shared" si="119"/>
        <v>47936.746693548383</v>
      </c>
    </row>
    <row r="1242" spans="1:8">
      <c r="A1242" s="83" t="s">
        <v>106</v>
      </c>
      <c r="B1242" s="119">
        <v>8.9749999999999996</v>
      </c>
      <c r="C1242" s="6">
        <v>37</v>
      </c>
      <c r="D1242" s="267">
        <f t="shared" ref="D1242:F1242" si="125">C1242/C$1251*D$1251</f>
        <v>13951.293104838709</v>
      </c>
      <c r="E1242" s="267">
        <f t="shared" si="125"/>
        <v>20590.044959677423</v>
      </c>
      <c r="F1242" s="267">
        <f t="shared" si="125"/>
        <v>17625.121572580647</v>
      </c>
      <c r="G1242" s="7">
        <f t="shared" si="119"/>
        <v>52166.459637096777</v>
      </c>
    </row>
    <row r="1243" spans="1:8" hidden="1">
      <c r="A1243" s="83" t="s">
        <v>169</v>
      </c>
      <c r="B1243" s="119"/>
      <c r="C1243" s="6"/>
      <c r="D1243" s="7">
        <f t="shared" ref="D1243:F1243" si="126">C1243/C$1251*D$1251</f>
        <v>0</v>
      </c>
      <c r="E1243" s="7">
        <f t="shared" si="126"/>
        <v>0</v>
      </c>
      <c r="F1243" s="7">
        <f t="shared" si="126"/>
        <v>0</v>
      </c>
      <c r="G1243" s="7"/>
    </row>
    <row r="1244" spans="1:8" hidden="1">
      <c r="A1244" s="83" t="s">
        <v>107</v>
      </c>
      <c r="B1244" s="119"/>
      <c r="C1244" s="6"/>
      <c r="D1244" s="7">
        <f t="shared" ref="D1244:F1244" si="127">C1244/C$1251*D$1251</f>
        <v>0</v>
      </c>
      <c r="E1244" s="7">
        <f t="shared" si="127"/>
        <v>0</v>
      </c>
      <c r="F1244" s="7">
        <f t="shared" si="127"/>
        <v>0</v>
      </c>
      <c r="G1244" s="7"/>
    </row>
    <row r="1245" spans="1:8">
      <c r="A1245" s="83" t="s">
        <v>108</v>
      </c>
      <c r="B1245" s="119">
        <v>15.259</v>
      </c>
      <c r="C1245" s="6">
        <v>54</v>
      </c>
      <c r="D1245" s="267">
        <f t="shared" ref="D1245:F1245" si="128">C1245/C$1251*D$1251</f>
        <v>20361.346693548385</v>
      </c>
      <c r="E1245" s="267">
        <f t="shared" si="128"/>
        <v>30050.335887096771</v>
      </c>
      <c r="F1245" s="267">
        <f t="shared" si="128"/>
        <v>25723.150403225802</v>
      </c>
      <c r="G1245" s="7">
        <f t="shared" si="119"/>
        <v>76134.832983870961</v>
      </c>
    </row>
    <row r="1246" spans="1:8" hidden="1">
      <c r="A1246" s="83" t="s">
        <v>137</v>
      </c>
      <c r="B1246" s="119"/>
      <c r="C1246" s="6"/>
      <c r="D1246" s="269">
        <f t="shared" ref="D1246:F1246" si="129">C1246/C$1251*D$1251</f>
        <v>0</v>
      </c>
      <c r="E1246" s="269">
        <f t="shared" si="129"/>
        <v>0</v>
      </c>
      <c r="F1246" s="269">
        <f t="shared" si="129"/>
        <v>0</v>
      </c>
      <c r="G1246" s="6"/>
    </row>
    <row r="1247" spans="1:8" hidden="1">
      <c r="A1247" s="94" t="s">
        <v>206</v>
      </c>
      <c r="B1247" s="119"/>
      <c r="C1247" s="6"/>
      <c r="D1247" s="269">
        <f t="shared" ref="D1247:F1247" si="130">C1247/C$1251*D$1251</f>
        <v>0</v>
      </c>
      <c r="E1247" s="269">
        <f t="shared" si="130"/>
        <v>0</v>
      </c>
      <c r="F1247" s="269">
        <f t="shared" si="130"/>
        <v>0</v>
      </c>
      <c r="G1247" s="6"/>
      <c r="H1247" s="254"/>
    </row>
    <row r="1248" spans="1:8" hidden="1">
      <c r="A1248" s="94" t="s">
        <v>376</v>
      </c>
      <c r="B1248" s="119"/>
      <c r="C1248" s="6"/>
      <c r="D1248" s="269">
        <f t="shared" ref="D1248:F1248" si="131">C1248/C$1251*D$1251</f>
        <v>0</v>
      </c>
      <c r="E1248" s="269">
        <f t="shared" si="131"/>
        <v>0</v>
      </c>
      <c r="F1248" s="269">
        <f t="shared" si="131"/>
        <v>0</v>
      </c>
      <c r="G1248" s="7"/>
      <c r="H1248" s="254"/>
    </row>
    <row r="1249" spans="1:9" hidden="1">
      <c r="A1249" s="94" t="s">
        <v>315</v>
      </c>
      <c r="B1249" s="119"/>
      <c r="C1249" s="6"/>
      <c r="D1249" s="269">
        <f t="shared" ref="D1249:F1249" si="132">C1249/C$1251*D$1251</f>
        <v>0</v>
      </c>
      <c r="E1249" s="269">
        <f t="shared" si="132"/>
        <v>0</v>
      </c>
      <c r="F1249" s="269">
        <f t="shared" si="132"/>
        <v>0</v>
      </c>
      <c r="G1249" s="7"/>
      <c r="H1249" s="261"/>
      <c r="I1249" s="270"/>
    </row>
    <row r="1250" spans="1:9">
      <c r="A1250" s="435" t="s">
        <v>427</v>
      </c>
      <c r="B1250" s="432"/>
      <c r="C1250" s="88">
        <v>35</v>
      </c>
      <c r="D1250" s="269">
        <f t="shared" ref="D1250:F1250" si="133">C1250/C$1251*D$1251</f>
        <v>13197.169153225806</v>
      </c>
      <c r="E1250" s="269">
        <f t="shared" si="133"/>
        <v>19477.069556451617</v>
      </c>
      <c r="F1250" s="269">
        <f t="shared" si="133"/>
        <v>16672.412298387098</v>
      </c>
      <c r="G1250" s="269">
        <f>SUM(D1250:F1250)</f>
        <v>49346.651008064524</v>
      </c>
      <c r="H1250" s="261"/>
      <c r="I1250" s="270"/>
    </row>
    <row r="1251" spans="1:9">
      <c r="A1251" s="434" t="s">
        <v>111</v>
      </c>
      <c r="B1251" s="119"/>
      <c r="C1251" s="6">
        <f>SUM(C1232:C1250)</f>
        <v>248</v>
      </c>
      <c r="D1251" s="44">
        <f>93511.37</f>
        <v>93511.37</v>
      </c>
      <c r="E1251" s="44">
        <f>11270+70791.5+25797.45+30150</f>
        <v>138008.95000000001</v>
      </c>
      <c r="F1251" s="12">
        <f>SUM(F1252:F1254)</f>
        <v>118135.95</v>
      </c>
      <c r="G1251" s="12">
        <f>SUM(D1251:F1251)</f>
        <v>349656.27</v>
      </c>
      <c r="H1251" s="284">
        <f>F1236+F1238+F1241+F1242+F1245+F791+F793</f>
        <v>168103.25151497693</v>
      </c>
    </row>
    <row r="1252" spans="1:9">
      <c r="A1252" s="131" t="s">
        <v>428</v>
      </c>
      <c r="B1252" s="126"/>
      <c r="C1252" s="4"/>
      <c r="D1252" s="3"/>
      <c r="E1252" s="77" t="s">
        <v>70</v>
      </c>
      <c r="F1252" s="72">
        <v>88562.03</v>
      </c>
      <c r="G1252" s="70">
        <f>F1252/F1251</f>
        <v>0.74966197842401061</v>
      </c>
      <c r="H1252" s="71">
        <f>G1252*H1251</f>
        <v>126020.61611022666</v>
      </c>
    </row>
    <row r="1253" spans="1:9">
      <c r="A1253" s="102"/>
      <c r="B1253" s="126"/>
      <c r="C1253" s="4"/>
      <c r="D1253" s="3"/>
      <c r="E1253" s="77" t="s">
        <v>72</v>
      </c>
      <c r="F1253" s="72">
        <v>23504.27</v>
      </c>
      <c r="G1253" s="70">
        <f>F1253/F1251</f>
        <v>0.19895950385974803</v>
      </c>
      <c r="H1253" s="71">
        <f>G1253*H1251</f>
        <v>33445.739518630246</v>
      </c>
    </row>
    <row r="1254" spans="1:9">
      <c r="A1254" s="3"/>
      <c r="B1254" s="126"/>
      <c r="C1254" s="4"/>
      <c r="D1254" s="3"/>
      <c r="E1254" s="77" t="s">
        <v>71</v>
      </c>
      <c r="F1254" s="72">
        <v>6069.65</v>
      </c>
      <c r="G1254" s="70">
        <f>F1254/F1251</f>
        <v>5.1378517716241329E-2</v>
      </c>
      <c r="H1254" s="71">
        <f>G1254*H1251</f>
        <v>8636.8958861200135</v>
      </c>
    </row>
    <row r="1255" spans="1:9">
      <c r="A1255" s="3"/>
      <c r="B1255" s="126"/>
      <c r="C1255" s="4"/>
      <c r="D1255" s="3"/>
      <c r="E1255" s="77"/>
      <c r="F1255" s="72"/>
      <c r="G1255" s="70"/>
      <c r="H1255" s="71"/>
    </row>
    <row r="1256" spans="1:9">
      <c r="A1256" s="3"/>
      <c r="B1256" s="126"/>
      <c r="C1256" s="4"/>
      <c r="D1256" s="3"/>
      <c r="E1256" s="77"/>
      <c r="F1256" s="72"/>
      <c r="G1256" s="70"/>
      <c r="H1256" s="71"/>
    </row>
    <row r="1257" spans="1:9">
      <c r="A1257" s="3"/>
      <c r="B1257" s="126"/>
      <c r="C1257" s="4"/>
      <c r="D1257" s="3"/>
      <c r="E1257" s="77"/>
      <c r="F1257" s="72"/>
      <c r="G1257" s="70"/>
      <c r="H1257" s="71"/>
    </row>
    <row r="1258" spans="1:9">
      <c r="A1258" s="3"/>
      <c r="B1258" s="126"/>
      <c r="C1258" s="4"/>
      <c r="D1258" s="3"/>
      <c r="E1258" s="77"/>
      <c r="F1258" s="72"/>
      <c r="G1258" s="70"/>
      <c r="H1258" s="71"/>
    </row>
    <row r="1259" spans="1:9">
      <c r="A1259" s="3"/>
      <c r="B1259" s="126"/>
      <c r="C1259" s="4"/>
      <c r="D1259" s="3"/>
      <c r="E1259" s="77"/>
      <c r="F1259" s="72"/>
      <c r="G1259" s="70"/>
      <c r="H1259" s="71"/>
    </row>
    <row r="1260" spans="1:9">
      <c r="A1260" s="3"/>
      <c r="B1260" s="126"/>
      <c r="C1260" s="4"/>
      <c r="D1260" s="3"/>
      <c r="E1260" s="77"/>
      <c r="F1260" s="72"/>
      <c r="G1260" s="70"/>
      <c r="H1260" s="71"/>
    </row>
    <row r="1261" spans="1:9">
      <c r="A1261" s="3"/>
      <c r="B1261" s="126"/>
      <c r="C1261" s="4"/>
      <c r="D1261" s="3"/>
      <c r="E1261" s="77"/>
      <c r="F1261" s="72"/>
      <c r="G1261" s="70"/>
      <c r="H1261" s="71"/>
    </row>
    <row r="1262" spans="1:9">
      <c r="A1262" s="3"/>
      <c r="B1262" s="126"/>
      <c r="C1262" s="4"/>
      <c r="D1262" s="3"/>
      <c r="E1262" s="77"/>
      <c r="F1262" s="72"/>
      <c r="G1262" s="70"/>
      <c r="H1262" s="71"/>
    </row>
    <row r="1263" spans="1:9">
      <c r="A1263" s="3"/>
      <c r="B1263" s="126"/>
      <c r="C1263" s="4"/>
      <c r="D1263" s="3"/>
      <c r="E1263" s="77"/>
      <c r="F1263" s="72"/>
      <c r="G1263" s="70"/>
      <c r="H1263" s="71"/>
    </row>
    <row r="1264" spans="1:9">
      <c r="A1264" s="3"/>
      <c r="B1264" s="126"/>
      <c r="C1264" s="4"/>
      <c r="D1264" s="3"/>
      <c r="E1264" s="77"/>
      <c r="F1264" s="72"/>
      <c r="G1264" s="70"/>
      <c r="H1264" s="71"/>
    </row>
    <row r="1265" spans="1:8">
      <c r="A1265" s="3"/>
      <c r="B1265" s="126"/>
      <c r="C1265" s="4"/>
      <c r="D1265" s="3"/>
      <c r="E1265" s="77"/>
      <c r="F1265" s="72"/>
      <c r="G1265" s="70"/>
      <c r="H1265" s="71"/>
    </row>
    <row r="1266" spans="1:8">
      <c r="A1266" s="3"/>
      <c r="B1266" s="126"/>
      <c r="C1266" s="4"/>
      <c r="D1266" s="3"/>
      <c r="E1266" s="77"/>
      <c r="F1266" s="72"/>
      <c r="G1266" s="70"/>
      <c r="H1266" s="71"/>
    </row>
    <row r="1267" spans="1:8">
      <c r="A1267" s="3"/>
      <c r="B1267" s="126"/>
      <c r="C1267" s="4"/>
      <c r="D1267" s="3"/>
      <c r="E1267" s="77"/>
      <c r="F1267" s="72"/>
      <c r="G1267" s="70"/>
      <c r="H1267" s="71"/>
    </row>
    <row r="1268" spans="1:8">
      <c r="A1268" s="3"/>
      <c r="B1268" s="126"/>
      <c r="C1268" s="4"/>
      <c r="D1268" s="3"/>
      <c r="E1268" s="77"/>
      <c r="F1268" s="72"/>
      <c r="G1268" s="70"/>
      <c r="H1268" s="71"/>
    </row>
    <row r="1269" spans="1:8">
      <c r="A1269" s="3"/>
      <c r="B1269" s="126"/>
      <c r="C1269" s="4"/>
      <c r="D1269" s="3"/>
      <c r="E1269" s="77"/>
      <c r="F1269" s="72"/>
      <c r="G1269" s="70"/>
      <c r="H1269" s="71"/>
    </row>
    <row r="1270" spans="1:8">
      <c r="A1270" s="3"/>
      <c r="B1270" s="126"/>
      <c r="C1270" s="4"/>
      <c r="D1270" s="3"/>
      <c r="E1270" s="77"/>
      <c r="F1270" s="72"/>
      <c r="G1270" s="70"/>
      <c r="H1270" s="71"/>
    </row>
    <row r="1271" spans="1:8">
      <c r="A1271" s="3"/>
      <c r="B1271" s="126"/>
      <c r="C1271" s="4"/>
      <c r="D1271" s="3"/>
      <c r="E1271" s="77"/>
      <c r="F1271" s="72"/>
      <c r="G1271" s="70"/>
      <c r="H1271" s="71"/>
    </row>
    <row r="1272" spans="1:8">
      <c r="A1272" s="3"/>
      <c r="B1272" s="126"/>
      <c r="C1272" s="4"/>
      <c r="D1272" s="3"/>
      <c r="E1272" s="77"/>
      <c r="F1272" s="72"/>
      <c r="G1272" s="70"/>
      <c r="H1272" s="71"/>
    </row>
    <row r="1273" spans="1:8">
      <c r="A1273" s="3"/>
      <c r="B1273" s="126"/>
      <c r="C1273" s="4"/>
      <c r="D1273" s="3"/>
      <c r="E1273" s="77"/>
      <c r="F1273" s="72"/>
      <c r="G1273" s="70"/>
      <c r="H1273" s="71"/>
    </row>
    <row r="1274" spans="1:8">
      <c r="A1274" s="3"/>
      <c r="B1274" s="126"/>
      <c r="C1274" s="4"/>
      <c r="D1274" s="3"/>
      <c r="E1274" s="77"/>
      <c r="F1274" s="72"/>
      <c r="G1274" s="70"/>
      <c r="H1274" s="71"/>
    </row>
    <row r="1276" spans="1:8">
      <c r="A1276" s="453" t="s">
        <v>397</v>
      </c>
      <c r="B1276" s="453"/>
      <c r="C1276" s="453"/>
      <c r="D1276" s="453"/>
      <c r="E1276" s="453"/>
      <c r="F1276" s="453"/>
      <c r="G1276" s="453"/>
    </row>
    <row r="1277" spans="1:8">
      <c r="A1277" s="5" t="s">
        <v>4</v>
      </c>
      <c r="B1277" s="105" t="s">
        <v>45</v>
      </c>
      <c r="C1277" s="6" t="s">
        <v>5</v>
      </c>
      <c r="D1277" s="6" t="s">
        <v>6</v>
      </c>
      <c r="E1277" s="6" t="s">
        <v>7</v>
      </c>
      <c r="F1277" s="6" t="s">
        <v>8</v>
      </c>
      <c r="G1277" s="6" t="s">
        <v>9</v>
      </c>
    </row>
    <row r="1278" spans="1:8">
      <c r="A1278" s="6" t="s">
        <v>180</v>
      </c>
      <c r="B1278" s="105"/>
      <c r="C1278" s="6"/>
      <c r="D1278" s="7">
        <v>37966.28</v>
      </c>
      <c r="E1278" s="7">
        <v>0</v>
      </c>
      <c r="F1278" s="7">
        <f>SUM(F1280:F1282)</f>
        <v>100501.25</v>
      </c>
      <c r="G1278" s="7">
        <f>SUM(D1278:F1278)</f>
        <v>138467.53</v>
      </c>
    </row>
    <row r="1279" spans="1:8">
      <c r="A1279" s="10" t="s">
        <v>10</v>
      </c>
      <c r="B1279" s="105"/>
      <c r="C1279" s="6"/>
      <c r="D1279" s="12">
        <v>37966.28</v>
      </c>
      <c r="E1279" s="12">
        <v>0</v>
      </c>
      <c r="F1279" s="12">
        <v>100501.25</v>
      </c>
      <c r="G1279" s="12">
        <f>SUM(D1279:F1279)</f>
        <v>138467.53</v>
      </c>
    </row>
    <row r="1280" spans="1:8">
      <c r="A1280" s="239" t="s">
        <v>382</v>
      </c>
      <c r="B1280" s="120"/>
      <c r="C1280" s="4"/>
      <c r="D1280" s="3"/>
      <c r="E1280" s="77" t="s">
        <v>70</v>
      </c>
      <c r="F1280" s="3">
        <v>0</v>
      </c>
      <c r="G1280" s="70">
        <f>F1280/F1279</f>
        <v>0</v>
      </c>
    </row>
    <row r="1281" spans="1:7">
      <c r="A1281" s="19"/>
      <c r="B1281" s="120"/>
      <c r="C1281" s="4"/>
      <c r="D1281" s="3"/>
      <c r="E1281" s="77" t="s">
        <v>72</v>
      </c>
      <c r="F1281" s="3">
        <v>0</v>
      </c>
      <c r="G1281" s="70">
        <f>F1281/F1279</f>
        <v>0</v>
      </c>
    </row>
    <row r="1282" spans="1:7">
      <c r="A1282" s="19"/>
      <c r="B1282" s="120"/>
      <c r="C1282" s="4"/>
      <c r="D1282" s="3"/>
      <c r="E1282" s="77" t="s">
        <v>71</v>
      </c>
      <c r="F1282" s="3">
        <v>100501.25</v>
      </c>
      <c r="G1282" s="70">
        <f>F1282/F1279</f>
        <v>1</v>
      </c>
    </row>
    <row r="1283" spans="1:7">
      <c r="A1283" s="19"/>
      <c r="B1283" s="120"/>
      <c r="C1283" s="4"/>
      <c r="D1283" s="3"/>
      <c r="E1283" s="77"/>
      <c r="F1283" s="3"/>
      <c r="G1283" s="3"/>
    </row>
    <row r="1284" spans="1:7">
      <c r="A1284" s="19"/>
      <c r="B1284" s="120"/>
      <c r="C1284" s="4"/>
      <c r="D1284" s="3"/>
      <c r="E1284" s="77"/>
      <c r="F1284" s="3"/>
      <c r="G1284" s="3"/>
    </row>
    <row r="1285" spans="1:7">
      <c r="A1285" s="19"/>
      <c r="B1285" s="120"/>
      <c r="C1285" s="4"/>
      <c r="D1285" s="3"/>
      <c r="E1285" s="77"/>
      <c r="F1285" s="3"/>
      <c r="G1285" s="3"/>
    </row>
    <row r="1286" spans="1:7">
      <c r="A1286" s="19"/>
      <c r="B1286" s="120"/>
      <c r="C1286" s="4"/>
      <c r="D1286" s="3"/>
      <c r="E1286" s="77"/>
      <c r="F1286" s="3"/>
      <c r="G1286" s="3"/>
    </row>
    <row r="1287" spans="1:7">
      <c r="A1287" s="19"/>
      <c r="B1287" s="120"/>
      <c r="C1287" s="4"/>
      <c r="D1287" s="3"/>
      <c r="E1287" s="77"/>
      <c r="F1287" s="3"/>
      <c r="G1287" s="3"/>
    </row>
    <row r="1288" spans="1:7">
      <c r="A1288" s="19"/>
      <c r="B1288" s="120"/>
      <c r="C1288" s="4"/>
      <c r="D1288" s="3"/>
      <c r="E1288" s="77"/>
      <c r="F1288" s="3"/>
      <c r="G1288" s="3"/>
    </row>
    <row r="1289" spans="1:7">
      <c r="A1289" s="19"/>
      <c r="B1289" s="120"/>
      <c r="C1289" s="4"/>
      <c r="D1289" s="3"/>
      <c r="E1289" s="77"/>
      <c r="F1289" s="3"/>
      <c r="G1289" s="3"/>
    </row>
    <row r="1290" spans="1:7">
      <c r="A1290" s="19"/>
      <c r="B1290" s="120"/>
      <c r="C1290" s="4"/>
      <c r="D1290" s="3"/>
      <c r="E1290" s="77"/>
      <c r="F1290" s="3"/>
      <c r="G1290" s="3"/>
    </row>
    <row r="1291" spans="1:7">
      <c r="A1291" s="19"/>
      <c r="B1291" s="120"/>
      <c r="C1291" s="4"/>
      <c r="D1291" s="3"/>
      <c r="E1291" s="77"/>
      <c r="F1291" s="3"/>
      <c r="G1291" s="3"/>
    </row>
    <row r="1292" spans="1:7">
      <c r="A1292" s="19"/>
      <c r="B1292" s="120"/>
      <c r="C1292" s="4"/>
      <c r="D1292" s="3"/>
      <c r="E1292" s="77"/>
      <c r="F1292" s="3"/>
      <c r="G1292" s="3"/>
    </row>
    <row r="1295" spans="1:7">
      <c r="A1295" s="453" t="s">
        <v>398</v>
      </c>
      <c r="B1295" s="453"/>
      <c r="C1295" s="453"/>
      <c r="D1295" s="453"/>
      <c r="E1295" s="453"/>
      <c r="F1295" s="453"/>
      <c r="G1295" s="453"/>
    </row>
    <row r="1296" spans="1:7">
      <c r="A1296" s="5" t="s">
        <v>4</v>
      </c>
      <c r="B1296" s="133" t="s">
        <v>45</v>
      </c>
      <c r="C1296" s="6" t="s">
        <v>5</v>
      </c>
      <c r="D1296" s="6" t="s">
        <v>6</v>
      </c>
      <c r="E1296" s="6" t="s">
        <v>7</v>
      </c>
      <c r="F1296" s="6" t="s">
        <v>8</v>
      </c>
      <c r="G1296" s="6" t="s">
        <v>9</v>
      </c>
    </row>
    <row r="1297" spans="1:7" hidden="1">
      <c r="A1297" s="6" t="s">
        <v>188</v>
      </c>
      <c r="B1297" s="134"/>
      <c r="C1297" s="6"/>
      <c r="D1297" s="6"/>
      <c r="E1297" s="6"/>
      <c r="F1297" s="6"/>
      <c r="G1297" s="6"/>
    </row>
    <row r="1298" spans="1:7" hidden="1">
      <c r="A1298" s="6" t="s">
        <v>189</v>
      </c>
      <c r="B1298" s="134"/>
      <c r="C1298" s="6"/>
      <c r="D1298" s="6"/>
      <c r="E1298" s="6"/>
      <c r="F1298" s="6"/>
      <c r="G1298" s="6"/>
    </row>
    <row r="1299" spans="1:7" hidden="1">
      <c r="A1299" s="6" t="s">
        <v>189</v>
      </c>
      <c r="B1299" s="134"/>
      <c r="C1299" s="6"/>
      <c r="D1299" s="6"/>
      <c r="E1299" s="6"/>
      <c r="F1299" s="6"/>
      <c r="G1299" s="6"/>
    </row>
    <row r="1300" spans="1:7" hidden="1">
      <c r="A1300" s="6" t="s">
        <v>78</v>
      </c>
      <c r="B1300" s="134"/>
      <c r="C1300" s="6"/>
      <c r="D1300" s="6"/>
      <c r="E1300" s="6"/>
      <c r="F1300" s="6"/>
      <c r="G1300" s="6"/>
    </row>
    <row r="1301" spans="1:7" hidden="1">
      <c r="A1301" s="6" t="s">
        <v>122</v>
      </c>
      <c r="B1301" s="134"/>
      <c r="C1301" s="6"/>
      <c r="D1301" s="6"/>
      <c r="E1301" s="6"/>
      <c r="F1301" s="6"/>
      <c r="G1301" s="6"/>
    </row>
    <row r="1302" spans="1:7" hidden="1">
      <c r="A1302" s="6" t="s">
        <v>75</v>
      </c>
      <c r="B1302" s="134"/>
      <c r="C1302" s="6"/>
      <c r="D1302" s="6"/>
      <c r="E1302" s="6"/>
      <c r="F1302" s="6"/>
      <c r="G1302" s="6"/>
    </row>
    <row r="1303" spans="1:7" hidden="1">
      <c r="A1303" s="6" t="s">
        <v>79</v>
      </c>
      <c r="B1303" s="134"/>
      <c r="C1303" s="6"/>
      <c r="D1303" s="6"/>
      <c r="E1303" s="6"/>
      <c r="F1303" s="6"/>
      <c r="G1303" s="6"/>
    </row>
    <row r="1304" spans="1:7" hidden="1">
      <c r="A1304" s="6" t="s">
        <v>80</v>
      </c>
      <c r="B1304" s="134"/>
      <c r="C1304" s="6"/>
      <c r="D1304" s="6"/>
      <c r="E1304" s="6"/>
      <c r="F1304" s="6"/>
      <c r="G1304" s="6"/>
    </row>
    <row r="1305" spans="1:7" hidden="1">
      <c r="A1305" s="6" t="s">
        <v>81</v>
      </c>
      <c r="B1305" s="134"/>
      <c r="C1305" s="6"/>
      <c r="D1305" s="6"/>
      <c r="E1305" s="6"/>
      <c r="F1305" s="6"/>
      <c r="G1305" s="6"/>
    </row>
    <row r="1306" spans="1:7" hidden="1">
      <c r="A1306" s="6" t="s">
        <v>82</v>
      </c>
      <c r="B1306" s="134"/>
      <c r="C1306" s="6"/>
      <c r="D1306" s="6"/>
      <c r="E1306" s="6"/>
      <c r="F1306" s="6"/>
      <c r="G1306" s="6"/>
    </row>
    <row r="1307" spans="1:7" hidden="1">
      <c r="A1307" s="6" t="s">
        <v>83</v>
      </c>
      <c r="B1307" s="134"/>
      <c r="C1307" s="6"/>
      <c r="D1307" s="6"/>
      <c r="E1307" s="6"/>
      <c r="F1307" s="6"/>
      <c r="G1307" s="6"/>
    </row>
    <row r="1308" spans="1:7" hidden="1">
      <c r="A1308" s="6" t="s">
        <v>122</v>
      </c>
      <c r="B1308" s="134"/>
      <c r="C1308" s="6"/>
      <c r="D1308" s="6"/>
      <c r="E1308" s="6"/>
      <c r="F1308" s="6"/>
      <c r="G1308" s="6"/>
    </row>
    <row r="1309" spans="1:7" hidden="1">
      <c r="A1309" s="6" t="s">
        <v>190</v>
      </c>
      <c r="B1309" s="134"/>
      <c r="C1309" s="6"/>
      <c r="D1309" s="6"/>
      <c r="E1309" s="6"/>
      <c r="F1309" s="6"/>
      <c r="G1309" s="6"/>
    </row>
    <row r="1310" spans="1:7" hidden="1">
      <c r="A1310" s="6" t="s">
        <v>84</v>
      </c>
      <c r="B1310" s="134"/>
      <c r="C1310" s="6"/>
      <c r="D1310" s="6"/>
      <c r="E1310" s="6"/>
      <c r="F1310" s="6"/>
      <c r="G1310" s="6"/>
    </row>
    <row r="1311" spans="1:7" hidden="1">
      <c r="A1311" s="6" t="s">
        <v>85</v>
      </c>
      <c r="B1311" s="134"/>
      <c r="C1311" s="6"/>
      <c r="D1311" s="6"/>
      <c r="E1311" s="6"/>
      <c r="F1311" s="6"/>
      <c r="G1311" s="6"/>
    </row>
    <row r="1312" spans="1:7" hidden="1">
      <c r="A1312" s="6" t="s">
        <v>89</v>
      </c>
      <c r="B1312" s="134"/>
      <c r="C1312" s="10"/>
      <c r="D1312" s="6"/>
      <c r="E1312" s="6"/>
      <c r="F1312" s="6"/>
      <c r="G1312" s="6"/>
    </row>
    <row r="1313" spans="1:9" hidden="1">
      <c r="A1313" s="6" t="s">
        <v>86</v>
      </c>
      <c r="B1313" s="134"/>
      <c r="C1313" s="10"/>
      <c r="D1313" s="6"/>
      <c r="E1313" s="6"/>
      <c r="F1313" s="6"/>
      <c r="G1313" s="6"/>
    </row>
    <row r="1314" spans="1:9" hidden="1">
      <c r="A1314" s="6" t="s">
        <v>87</v>
      </c>
      <c r="B1314" s="134"/>
      <c r="C1314" s="10"/>
      <c r="D1314" s="6"/>
      <c r="E1314" s="6"/>
      <c r="F1314" s="6"/>
      <c r="G1314" s="6"/>
    </row>
    <row r="1315" spans="1:9" hidden="1">
      <c r="A1315" s="6" t="s">
        <v>88</v>
      </c>
      <c r="B1315" s="134"/>
      <c r="C1315" s="10"/>
      <c r="D1315" s="6"/>
      <c r="E1315" s="6"/>
      <c r="F1315" s="6"/>
      <c r="G1315" s="6"/>
    </row>
    <row r="1316" spans="1:9" hidden="1">
      <c r="A1316" s="6" t="s">
        <v>90</v>
      </c>
      <c r="B1316" s="134"/>
      <c r="C1316" s="10"/>
      <c r="D1316" s="6"/>
      <c r="E1316" s="6"/>
      <c r="F1316" s="6"/>
      <c r="G1316" s="6"/>
      <c r="H1316" s="254"/>
    </row>
    <row r="1317" spans="1:9">
      <c r="A1317" s="54" t="s">
        <v>424</v>
      </c>
      <c r="B1317" s="134"/>
      <c r="C1317" s="6"/>
      <c r="D1317" s="7">
        <v>703.59</v>
      </c>
      <c r="E1317" s="7">
        <v>0</v>
      </c>
      <c r="F1317" s="7">
        <v>135204.9</v>
      </c>
      <c r="G1317" s="7">
        <v>135908.49</v>
      </c>
      <c r="H1317" s="261"/>
      <c r="I1317" s="270"/>
    </row>
    <row r="1318" spans="1:9" hidden="1">
      <c r="A1318" s="6" t="s">
        <v>57</v>
      </c>
      <c r="B1318" s="134"/>
      <c r="C1318" s="6"/>
      <c r="D1318" s="6"/>
      <c r="E1318" s="6"/>
      <c r="F1318" s="6"/>
      <c r="G1318" s="6"/>
      <c r="H1318" s="284"/>
    </row>
    <row r="1319" spans="1:9" hidden="1">
      <c r="A1319" s="54" t="s">
        <v>323</v>
      </c>
      <c r="B1319" s="134"/>
      <c r="C1319" s="6"/>
      <c r="D1319" s="7">
        <v>703.59</v>
      </c>
      <c r="E1319" s="7">
        <v>0</v>
      </c>
      <c r="F1319" s="7">
        <v>135204.9</v>
      </c>
      <c r="G1319" s="7">
        <v>135908.49</v>
      </c>
      <c r="H1319" s="71"/>
    </row>
    <row r="1320" spans="1:9">
      <c r="A1320" s="10" t="s">
        <v>10</v>
      </c>
      <c r="B1320" s="135"/>
      <c r="C1320" s="10"/>
      <c r="D1320" s="12">
        <v>703.59</v>
      </c>
      <c r="E1320" s="12">
        <v>0</v>
      </c>
      <c r="F1320" s="12">
        <f>SUM(F1321:F1323)</f>
        <v>135204.9</v>
      </c>
      <c r="G1320" s="12">
        <f>SUM(D1320:F1320)</f>
        <v>135908.49</v>
      </c>
      <c r="H1320" s="71"/>
    </row>
    <row r="1321" spans="1:9">
      <c r="A1321" s="101" t="s">
        <v>425</v>
      </c>
      <c r="B1321" s="121"/>
      <c r="C1321" s="47"/>
      <c r="D1321" s="47"/>
      <c r="E1321" s="77" t="s">
        <v>70</v>
      </c>
      <c r="F1321" s="74">
        <v>135204.9</v>
      </c>
      <c r="G1321" s="73">
        <f>F1321/F1320</f>
        <v>1</v>
      </c>
      <c r="H1321" s="71"/>
    </row>
    <row r="1322" spans="1:9">
      <c r="E1322" s="77" t="s">
        <v>72</v>
      </c>
      <c r="F1322" s="74">
        <v>0</v>
      </c>
      <c r="G1322" s="73">
        <f>F1322/F1320</f>
        <v>0</v>
      </c>
    </row>
    <row r="1323" spans="1:9">
      <c r="E1323" s="77" t="s">
        <v>71</v>
      </c>
      <c r="F1323" s="74">
        <v>0</v>
      </c>
      <c r="G1323" s="73">
        <f>F1323/F1320</f>
        <v>0</v>
      </c>
    </row>
  </sheetData>
  <mergeCells count="18">
    <mergeCell ref="A1295:G1295"/>
    <mergeCell ref="A1276:G1276"/>
    <mergeCell ref="A1226:G1226"/>
    <mergeCell ref="A1014:G1014"/>
    <mergeCell ref="A1098:G1098"/>
    <mergeCell ref="A1180:G1180"/>
    <mergeCell ref="A841:G841"/>
    <mergeCell ref="A575:G575"/>
    <mergeCell ref="A658:G658"/>
    <mergeCell ref="A739:G739"/>
    <mergeCell ref="A783:G783"/>
    <mergeCell ref="A832:G832"/>
    <mergeCell ref="A391:G391"/>
    <mergeCell ref="A131:G131"/>
    <mergeCell ref="A212:G212"/>
    <mergeCell ref="A292:G292"/>
    <mergeCell ref="A337:G337"/>
    <mergeCell ref="A381:G381"/>
  </mergeCells>
  <phoneticPr fontId="2" type="noConversion"/>
  <printOptions horizontalCentered="1" verticalCentered="1"/>
  <pageMargins left="0" right="0" top="0" bottom="0" header="0.31496062992125984" footer="0.31496062992125984"/>
  <pageSetup paperSize="9" orientation="landscape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A58" workbookViewId="0">
      <selection activeCell="A68" sqref="A68"/>
    </sheetView>
  </sheetViews>
  <sheetFormatPr defaultColWidth="9" defaultRowHeight="15.6"/>
  <cols>
    <col min="1" max="1" width="29" style="1" bestFit="1" customWidth="1"/>
    <col min="2" max="2" width="6.21875" style="1" bestFit="1" customWidth="1"/>
    <col min="3" max="3" width="9.6640625" style="1" bestFit="1" customWidth="1"/>
    <col min="4" max="4" width="12.6640625" style="1" bestFit="1" customWidth="1"/>
    <col min="5" max="5" width="5.77734375" style="1" bestFit="1" customWidth="1"/>
    <col min="6" max="6" width="9.6640625" style="1" bestFit="1" customWidth="1"/>
    <col min="7" max="7" width="12.6640625" style="1" bestFit="1" customWidth="1"/>
    <col min="8" max="8" width="9.6640625" style="1" bestFit="1" customWidth="1"/>
    <col min="9" max="10" width="14" style="1" bestFit="1" customWidth="1"/>
    <col min="11" max="16384" width="9" style="1"/>
  </cols>
  <sheetData>
    <row r="1" spans="1:10" ht="16.2">
      <c r="A1" s="144" t="s">
        <v>271</v>
      </c>
      <c r="B1" s="154"/>
      <c r="C1" s="155"/>
      <c r="D1" s="154"/>
      <c r="E1" s="154"/>
      <c r="F1" s="154"/>
      <c r="G1" s="156"/>
      <c r="H1" s="154"/>
      <c r="I1" s="154"/>
      <c r="J1" s="154">
        <v>2017.1</v>
      </c>
    </row>
    <row r="2" spans="1:10" ht="16.2">
      <c r="A2" s="457" t="s">
        <v>272</v>
      </c>
      <c r="B2" s="459" t="s">
        <v>254</v>
      </c>
      <c r="C2" s="459"/>
      <c r="D2" s="459"/>
      <c r="E2" s="459" t="s">
        <v>255</v>
      </c>
      <c r="F2" s="459"/>
      <c r="G2" s="459"/>
      <c r="H2" s="459" t="s">
        <v>256</v>
      </c>
      <c r="I2" s="459"/>
      <c r="J2" s="457" t="s">
        <v>273</v>
      </c>
    </row>
    <row r="3" spans="1:10" ht="16.2">
      <c r="A3" s="458"/>
      <c r="B3" s="145" t="s">
        <v>257</v>
      </c>
      <c r="C3" s="145" t="s">
        <v>258</v>
      </c>
      <c r="D3" s="145" t="s">
        <v>259</v>
      </c>
      <c r="E3" s="145" t="s">
        <v>257</v>
      </c>
      <c r="F3" s="145" t="s">
        <v>258</v>
      </c>
      <c r="G3" s="146" t="s">
        <v>259</v>
      </c>
      <c r="H3" s="145" t="s">
        <v>258</v>
      </c>
      <c r="I3" s="145" t="s">
        <v>259</v>
      </c>
      <c r="J3" s="458"/>
    </row>
    <row r="4" spans="1:10" ht="16.2">
      <c r="A4" s="147" t="s">
        <v>260</v>
      </c>
      <c r="B4" s="148"/>
      <c r="C4" s="149"/>
      <c r="D4" s="150"/>
      <c r="E4" s="148"/>
      <c r="F4" s="149"/>
      <c r="G4" s="150"/>
      <c r="H4" s="149"/>
      <c r="I4" s="150"/>
      <c r="J4" s="150"/>
    </row>
    <row r="5" spans="1:10" ht="16.2">
      <c r="A5" s="147" t="s">
        <v>261</v>
      </c>
      <c r="B5" s="148"/>
      <c r="C5" s="149"/>
      <c r="D5" s="150"/>
      <c r="E5" s="148"/>
      <c r="F5" s="149"/>
      <c r="G5" s="150"/>
      <c r="H5" s="149"/>
      <c r="I5" s="150"/>
      <c r="J5" s="150"/>
    </row>
    <row r="6" spans="1:10" ht="16.2">
      <c r="A6" s="147" t="s">
        <v>274</v>
      </c>
      <c r="B6" s="148">
        <v>10</v>
      </c>
      <c r="C6" s="149">
        <f>B6/B$27</f>
        <v>7.102272727272727E-3</v>
      </c>
      <c r="D6" s="150">
        <f>C6*D$27</f>
        <v>381.8946022727273</v>
      </c>
      <c r="E6" s="148"/>
      <c r="F6" s="149"/>
      <c r="G6" s="150"/>
      <c r="H6" s="149"/>
      <c r="I6" s="150"/>
      <c r="J6" s="150">
        <f>I6+G6+D6</f>
        <v>381.8946022727273</v>
      </c>
    </row>
    <row r="7" spans="1:10" ht="16.2">
      <c r="A7" s="147" t="s">
        <v>275</v>
      </c>
      <c r="B7" s="148">
        <v>128</v>
      </c>
      <c r="C7" s="149">
        <f t="shared" ref="C7:C27" si="0">B7/B$27</f>
        <v>9.0909090909090912E-2</v>
      </c>
      <c r="D7" s="150">
        <f t="shared" ref="D7:D26" si="1">C7*D$27</f>
        <v>4888.2509090909098</v>
      </c>
      <c r="E7" s="148"/>
      <c r="F7" s="149"/>
      <c r="G7" s="150"/>
      <c r="H7" s="149"/>
      <c r="I7" s="150"/>
      <c r="J7" s="150">
        <f t="shared" ref="J7:J26" si="2">I7+G7+D7</f>
        <v>4888.2509090909098</v>
      </c>
    </row>
    <row r="8" spans="1:10" ht="16.2">
      <c r="A8" s="147" t="s">
        <v>276</v>
      </c>
      <c r="B8" s="148"/>
      <c r="C8" s="149"/>
      <c r="D8" s="150"/>
      <c r="E8" s="148"/>
      <c r="F8" s="149"/>
      <c r="G8" s="150"/>
      <c r="H8" s="149"/>
      <c r="I8" s="150"/>
      <c r="J8" s="150"/>
    </row>
    <row r="9" spans="1:10" ht="16.2">
      <c r="A9" s="147" t="s">
        <v>277</v>
      </c>
      <c r="B9" s="148"/>
      <c r="C9" s="149"/>
      <c r="D9" s="150"/>
      <c r="E9" s="148"/>
      <c r="F9" s="149"/>
      <c r="G9" s="150"/>
      <c r="H9" s="149"/>
      <c r="I9" s="150"/>
      <c r="J9" s="150"/>
    </row>
    <row r="10" spans="1:10" ht="16.2">
      <c r="A10" s="147" t="s">
        <v>278</v>
      </c>
      <c r="B10" s="148"/>
      <c r="C10" s="149"/>
      <c r="D10" s="150"/>
      <c r="E10" s="148"/>
      <c r="F10" s="149"/>
      <c r="G10" s="150"/>
      <c r="H10" s="149"/>
      <c r="I10" s="150"/>
      <c r="J10" s="150"/>
    </row>
    <row r="11" spans="1:10" ht="16.2">
      <c r="A11" s="147" t="s">
        <v>279</v>
      </c>
      <c r="B11" s="148"/>
      <c r="C11" s="149"/>
      <c r="D11" s="150"/>
      <c r="E11" s="148"/>
      <c r="F11" s="149"/>
      <c r="G11" s="150"/>
      <c r="H11" s="149"/>
      <c r="I11" s="150"/>
      <c r="J11" s="150"/>
    </row>
    <row r="12" spans="1:10" ht="16.2">
      <c r="A12" s="147" t="s">
        <v>280</v>
      </c>
      <c r="B12" s="148"/>
      <c r="C12" s="149"/>
      <c r="D12" s="150"/>
      <c r="E12" s="148"/>
      <c r="F12" s="149"/>
      <c r="G12" s="150"/>
      <c r="H12" s="149"/>
      <c r="I12" s="150"/>
      <c r="J12" s="150"/>
    </row>
    <row r="13" spans="1:10" ht="16.2">
      <c r="A13" s="147" t="s">
        <v>281</v>
      </c>
      <c r="B13" s="148"/>
      <c r="C13" s="149"/>
      <c r="D13" s="150"/>
      <c r="E13" s="148"/>
      <c r="F13" s="149"/>
      <c r="G13" s="150"/>
      <c r="H13" s="149"/>
      <c r="I13" s="150"/>
      <c r="J13" s="150"/>
    </row>
    <row r="14" spans="1:10" ht="16.2">
      <c r="A14" s="147" t="s">
        <v>282</v>
      </c>
      <c r="B14" s="148"/>
      <c r="C14" s="149"/>
      <c r="D14" s="150"/>
      <c r="E14" s="148"/>
      <c r="F14" s="149"/>
      <c r="G14" s="150"/>
      <c r="H14" s="149"/>
      <c r="I14" s="148"/>
      <c r="J14" s="150"/>
    </row>
    <row r="15" spans="1:10" ht="16.2">
      <c r="A15" s="147" t="s">
        <v>283</v>
      </c>
      <c r="B15" s="148"/>
      <c r="C15" s="149"/>
      <c r="D15" s="150"/>
      <c r="E15" s="148"/>
      <c r="F15" s="149"/>
      <c r="G15" s="150"/>
      <c r="H15" s="149"/>
      <c r="I15" s="150"/>
      <c r="J15" s="150"/>
    </row>
    <row r="16" spans="1:10" ht="16.2">
      <c r="A16" s="285" t="s">
        <v>343</v>
      </c>
      <c r="B16" s="148"/>
      <c r="C16" s="149"/>
      <c r="D16" s="150"/>
      <c r="E16" s="148">
        <v>164</v>
      </c>
      <c r="F16" s="149">
        <f>E16/E$27</f>
        <v>0.6029411764705882</v>
      </c>
      <c r="G16" s="150">
        <f>F16*G$27</f>
        <v>30037.781764705884</v>
      </c>
      <c r="H16" s="149"/>
      <c r="I16" s="150"/>
      <c r="J16" s="150">
        <f t="shared" si="2"/>
        <v>30037.781764705884</v>
      </c>
    </row>
    <row r="17" spans="1:12" ht="16.2">
      <c r="A17" s="151" t="s">
        <v>262</v>
      </c>
      <c r="B17" s="148"/>
      <c r="C17" s="149"/>
      <c r="D17" s="150"/>
      <c r="E17" s="148"/>
      <c r="F17" s="149"/>
      <c r="G17" s="150"/>
      <c r="H17" s="149"/>
      <c r="I17" s="150"/>
      <c r="J17" s="150"/>
    </row>
    <row r="18" spans="1:12" ht="16.2">
      <c r="A18" s="152" t="s">
        <v>263</v>
      </c>
      <c r="B18" s="148">
        <v>1000</v>
      </c>
      <c r="C18" s="149">
        <f t="shared" si="0"/>
        <v>0.71022727272727271</v>
      </c>
      <c r="D18" s="150">
        <f>C18*D$27+0.01</f>
        <v>38189.47022727273</v>
      </c>
      <c r="E18" s="148"/>
      <c r="F18" s="149"/>
      <c r="G18" s="150"/>
      <c r="H18" s="149"/>
      <c r="I18" s="150"/>
      <c r="J18" s="150">
        <f t="shared" si="2"/>
        <v>38189.47022727273</v>
      </c>
    </row>
    <row r="19" spans="1:12" ht="16.2">
      <c r="A19" s="152" t="s">
        <v>264</v>
      </c>
      <c r="B19" s="148">
        <v>50</v>
      </c>
      <c r="C19" s="149">
        <f t="shared" si="0"/>
        <v>3.551136363636364E-2</v>
      </c>
      <c r="D19" s="150">
        <f t="shared" si="1"/>
        <v>1909.4730113636367</v>
      </c>
      <c r="E19" s="153"/>
      <c r="F19" s="149"/>
      <c r="G19" s="150"/>
      <c r="H19" s="149"/>
      <c r="I19" s="150"/>
      <c r="J19" s="150">
        <f t="shared" si="2"/>
        <v>1909.4730113636367</v>
      </c>
    </row>
    <row r="20" spans="1:12" ht="16.2">
      <c r="A20" s="151" t="s">
        <v>284</v>
      </c>
      <c r="B20" s="148">
        <v>50</v>
      </c>
      <c r="C20" s="149">
        <f t="shared" si="0"/>
        <v>3.551136363636364E-2</v>
      </c>
      <c r="D20" s="150">
        <f t="shared" si="1"/>
        <v>1909.4730113636367</v>
      </c>
      <c r="E20" s="148"/>
      <c r="F20" s="149"/>
      <c r="G20" s="150"/>
      <c r="H20" s="149"/>
      <c r="I20" s="150"/>
      <c r="J20" s="150">
        <f t="shared" si="2"/>
        <v>1909.4730113636367</v>
      </c>
    </row>
    <row r="21" spans="1:12" ht="16.2">
      <c r="A21" s="151" t="s">
        <v>285</v>
      </c>
      <c r="B21" s="148"/>
      <c r="C21" s="149"/>
      <c r="D21" s="150"/>
      <c r="E21" s="148">
        <v>72</v>
      </c>
      <c r="F21" s="149">
        <f t="shared" ref="F21:F27" si="3">E21/E$27</f>
        <v>0.26470588235294118</v>
      </c>
      <c r="G21" s="150">
        <f t="shared" ref="G21:G22" si="4">F21*G$27</f>
        <v>13187.318823529413</v>
      </c>
      <c r="H21" s="149"/>
      <c r="I21" s="150"/>
      <c r="J21" s="150">
        <f t="shared" si="2"/>
        <v>13187.318823529413</v>
      </c>
    </row>
    <row r="22" spans="1:12" ht="16.2">
      <c r="A22" s="152" t="s">
        <v>265</v>
      </c>
      <c r="B22" s="148"/>
      <c r="C22" s="149"/>
      <c r="D22" s="150"/>
      <c r="E22" s="148">
        <v>36</v>
      </c>
      <c r="F22" s="149">
        <f t="shared" si="3"/>
        <v>0.13235294117647059</v>
      </c>
      <c r="G22" s="150">
        <f t="shared" si="4"/>
        <v>6593.6594117647064</v>
      </c>
      <c r="H22" s="149"/>
      <c r="I22" s="150"/>
      <c r="J22" s="150">
        <f t="shared" si="2"/>
        <v>6593.6594117647064</v>
      </c>
    </row>
    <row r="23" spans="1:12" ht="16.2">
      <c r="A23" s="152" t="s">
        <v>266</v>
      </c>
      <c r="B23" s="148"/>
      <c r="C23" s="149"/>
      <c r="D23" s="150"/>
      <c r="E23" s="148"/>
      <c r="F23" s="149"/>
      <c r="G23" s="150"/>
      <c r="H23" s="149"/>
      <c r="I23" s="150"/>
      <c r="J23" s="150"/>
    </row>
    <row r="24" spans="1:12" ht="16.2">
      <c r="A24" s="152" t="s">
        <v>267</v>
      </c>
      <c r="B24" s="148"/>
      <c r="C24" s="149"/>
      <c r="D24" s="150"/>
      <c r="E24" s="148"/>
      <c r="F24" s="149"/>
      <c r="G24" s="150"/>
      <c r="H24" s="149"/>
      <c r="I24" s="150"/>
      <c r="J24" s="150"/>
    </row>
    <row r="25" spans="1:12" ht="16.2">
      <c r="A25" s="152" t="s">
        <v>268</v>
      </c>
      <c r="B25" s="148"/>
      <c r="C25" s="149"/>
      <c r="D25" s="150"/>
      <c r="E25" s="148"/>
      <c r="F25" s="149"/>
      <c r="G25" s="150"/>
      <c r="H25" s="149"/>
      <c r="I25" s="150"/>
      <c r="J25" s="150"/>
    </row>
    <row r="26" spans="1:12" ht="16.2">
      <c r="A26" s="152" t="s">
        <v>269</v>
      </c>
      <c r="B26" s="148">
        <v>170</v>
      </c>
      <c r="C26" s="149">
        <f t="shared" si="0"/>
        <v>0.12073863636363637</v>
      </c>
      <c r="D26" s="150">
        <f t="shared" si="1"/>
        <v>6492.2082386363645</v>
      </c>
      <c r="E26" s="148"/>
      <c r="F26" s="149"/>
      <c r="G26" s="150"/>
      <c r="H26" s="149">
        <v>1</v>
      </c>
      <c r="I26" s="150">
        <v>230903.03</v>
      </c>
      <c r="J26" s="150">
        <f t="shared" si="2"/>
        <v>237395.23823863638</v>
      </c>
    </row>
    <row r="27" spans="1:12" ht="16.2">
      <c r="A27" s="145" t="s">
        <v>270</v>
      </c>
      <c r="B27" s="148">
        <f>SUM(B4:B26)</f>
        <v>1408</v>
      </c>
      <c r="C27" s="149">
        <f t="shared" si="0"/>
        <v>1</v>
      </c>
      <c r="D27" s="157">
        <v>53770.76</v>
      </c>
      <c r="E27" s="148">
        <f>SUM(E4:E26)</f>
        <v>272</v>
      </c>
      <c r="F27" s="149">
        <f t="shared" si="3"/>
        <v>1</v>
      </c>
      <c r="G27" s="157">
        <v>49818.76</v>
      </c>
      <c r="H27" s="149">
        <v>1</v>
      </c>
      <c r="I27" s="157">
        <v>230903.03</v>
      </c>
      <c r="J27" s="157">
        <f>D27+G27+I27</f>
        <v>334492.55</v>
      </c>
    </row>
    <row r="29" spans="1:12">
      <c r="L29" s="286"/>
    </row>
    <row r="30" spans="1:12" ht="16.2">
      <c r="A30" s="144" t="s">
        <v>271</v>
      </c>
      <c r="B30" s="154"/>
      <c r="C30" s="155"/>
      <c r="D30" s="154"/>
      <c r="E30" s="154"/>
      <c r="F30" s="154"/>
      <c r="G30" s="156"/>
      <c r="H30" s="154"/>
      <c r="I30" s="154"/>
      <c r="J30" s="154">
        <v>2017.2</v>
      </c>
    </row>
    <row r="31" spans="1:12" ht="16.2">
      <c r="A31" s="457" t="s">
        <v>272</v>
      </c>
      <c r="B31" s="459" t="s">
        <v>254</v>
      </c>
      <c r="C31" s="459"/>
      <c r="D31" s="459"/>
      <c r="E31" s="459" t="s">
        <v>255</v>
      </c>
      <c r="F31" s="459"/>
      <c r="G31" s="459"/>
      <c r="H31" s="459" t="s">
        <v>256</v>
      </c>
      <c r="I31" s="459"/>
      <c r="J31" s="457" t="s">
        <v>273</v>
      </c>
    </row>
    <row r="32" spans="1:12" ht="16.2">
      <c r="A32" s="458"/>
      <c r="B32" s="387" t="s">
        <v>257</v>
      </c>
      <c r="C32" s="387" t="s">
        <v>258</v>
      </c>
      <c r="D32" s="387" t="s">
        <v>259</v>
      </c>
      <c r="E32" s="387" t="s">
        <v>257</v>
      </c>
      <c r="F32" s="387" t="s">
        <v>258</v>
      </c>
      <c r="G32" s="146" t="s">
        <v>259</v>
      </c>
      <c r="H32" s="387" t="s">
        <v>258</v>
      </c>
      <c r="I32" s="387" t="s">
        <v>259</v>
      </c>
      <c r="J32" s="458"/>
    </row>
    <row r="33" spans="1:10" ht="16.2">
      <c r="A33" s="147" t="s">
        <v>260</v>
      </c>
      <c r="B33" s="148">
        <v>2</v>
      </c>
      <c r="C33" s="149">
        <f>B33/B$56</f>
        <v>1.3468013468013469E-3</v>
      </c>
      <c r="D33" s="150">
        <f>C33*D$56</f>
        <v>64.836781144781142</v>
      </c>
      <c r="E33" s="148"/>
      <c r="F33" s="149"/>
      <c r="G33" s="150"/>
      <c r="H33" s="149"/>
      <c r="I33" s="150"/>
      <c r="J33" s="150">
        <f>I33+G33+D33</f>
        <v>64.836781144781142</v>
      </c>
    </row>
    <row r="34" spans="1:10" ht="16.2">
      <c r="A34" s="147" t="s">
        <v>261</v>
      </c>
      <c r="B34" s="148">
        <v>5</v>
      </c>
      <c r="C34" s="149">
        <f t="shared" ref="C34:C56" si="5">B34/B$56</f>
        <v>3.3670033670033669E-3</v>
      </c>
      <c r="D34" s="150">
        <f t="shared" ref="D34:D55" si="6">C34*D$56</f>
        <v>162.09195286195285</v>
      </c>
      <c r="E34" s="148"/>
      <c r="F34" s="149"/>
      <c r="G34" s="150"/>
      <c r="H34" s="149"/>
      <c r="I34" s="150"/>
      <c r="J34" s="150">
        <f t="shared" ref="J34:J56" si="7">I34+G34+D34</f>
        <v>162.09195286195285</v>
      </c>
    </row>
    <row r="35" spans="1:10" ht="16.2">
      <c r="A35" s="147" t="s">
        <v>274</v>
      </c>
      <c r="B35" s="148">
        <v>6</v>
      </c>
      <c r="C35" s="149">
        <f t="shared" si="5"/>
        <v>4.0404040404040404E-3</v>
      </c>
      <c r="D35" s="150">
        <f t="shared" si="6"/>
        <v>194.51034343434341</v>
      </c>
      <c r="E35" s="148">
        <v>2</v>
      </c>
      <c r="F35" s="149">
        <f>E35/E$56</f>
        <v>8.3333333333333332E-3</v>
      </c>
      <c r="G35" s="150">
        <f>F35*G$56</f>
        <v>126.9015</v>
      </c>
      <c r="H35" s="149"/>
      <c r="I35" s="150"/>
      <c r="J35" s="150">
        <f t="shared" si="7"/>
        <v>321.41184343434338</v>
      </c>
    </row>
    <row r="36" spans="1:10" ht="16.2">
      <c r="A36" s="147" t="s">
        <v>275</v>
      </c>
      <c r="B36" s="148"/>
      <c r="C36" s="149"/>
      <c r="D36" s="150"/>
      <c r="E36" s="148"/>
      <c r="F36" s="149"/>
      <c r="G36" s="150"/>
      <c r="H36" s="149"/>
      <c r="I36" s="150"/>
      <c r="J36" s="150"/>
    </row>
    <row r="37" spans="1:10" ht="16.2">
      <c r="A37" s="147" t="s">
        <v>276</v>
      </c>
      <c r="B37" s="148"/>
      <c r="C37" s="149"/>
      <c r="D37" s="150"/>
      <c r="E37" s="148"/>
      <c r="F37" s="149"/>
      <c r="G37" s="150"/>
      <c r="H37" s="149"/>
      <c r="I37" s="150"/>
      <c r="J37" s="150"/>
    </row>
    <row r="38" spans="1:10" ht="16.2">
      <c r="A38" s="147" t="s">
        <v>277</v>
      </c>
      <c r="B38" s="148"/>
      <c r="C38" s="149"/>
      <c r="D38" s="150"/>
      <c r="E38" s="148"/>
      <c r="F38" s="149"/>
      <c r="G38" s="150"/>
      <c r="H38" s="149"/>
      <c r="I38" s="150"/>
      <c r="J38" s="150"/>
    </row>
    <row r="39" spans="1:10" ht="16.2">
      <c r="A39" s="147" t="s">
        <v>386</v>
      </c>
      <c r="B39" s="148">
        <v>16</v>
      </c>
      <c r="C39" s="149">
        <f t="shared" si="5"/>
        <v>1.0774410774410775E-2</v>
      </c>
      <c r="D39" s="150">
        <f t="shared" si="6"/>
        <v>518.69424915824914</v>
      </c>
      <c r="E39" s="148"/>
      <c r="F39" s="149"/>
      <c r="G39" s="150"/>
      <c r="H39" s="149"/>
      <c r="I39" s="150"/>
      <c r="J39" s="150">
        <f t="shared" si="7"/>
        <v>518.69424915824914</v>
      </c>
    </row>
    <row r="40" spans="1:10" ht="16.2">
      <c r="A40" s="147" t="s">
        <v>279</v>
      </c>
      <c r="B40" s="148">
        <v>16</v>
      </c>
      <c r="C40" s="149">
        <f t="shared" si="5"/>
        <v>1.0774410774410775E-2</v>
      </c>
      <c r="D40" s="150">
        <f t="shared" si="6"/>
        <v>518.69424915824914</v>
      </c>
      <c r="E40" s="148"/>
      <c r="F40" s="149"/>
      <c r="G40" s="150"/>
      <c r="H40" s="149"/>
      <c r="I40" s="150"/>
      <c r="J40" s="150">
        <f t="shared" si="7"/>
        <v>518.69424915824914</v>
      </c>
    </row>
    <row r="41" spans="1:10" ht="16.2">
      <c r="A41" s="147" t="s">
        <v>280</v>
      </c>
      <c r="B41" s="148"/>
      <c r="C41" s="149"/>
      <c r="D41" s="150"/>
      <c r="E41" s="148"/>
      <c r="F41" s="149"/>
      <c r="G41" s="150"/>
      <c r="H41" s="149"/>
      <c r="I41" s="150"/>
      <c r="J41" s="150"/>
    </row>
    <row r="42" spans="1:10" ht="16.2">
      <c r="A42" s="147" t="s">
        <v>281</v>
      </c>
      <c r="B42" s="148"/>
      <c r="C42" s="149"/>
      <c r="D42" s="150"/>
      <c r="E42" s="148"/>
      <c r="F42" s="149"/>
      <c r="G42" s="150"/>
      <c r="H42" s="149"/>
      <c r="I42" s="150"/>
      <c r="J42" s="150"/>
    </row>
    <row r="43" spans="1:10" ht="16.2">
      <c r="A43" s="147" t="s">
        <v>282</v>
      </c>
      <c r="B43" s="148">
        <v>8</v>
      </c>
      <c r="C43" s="149">
        <f t="shared" si="5"/>
        <v>5.3872053872053875E-3</v>
      </c>
      <c r="D43" s="150">
        <f t="shared" si="6"/>
        <v>259.34712457912457</v>
      </c>
      <c r="E43" s="148"/>
      <c r="F43" s="149"/>
      <c r="G43" s="150"/>
      <c r="H43" s="149"/>
      <c r="I43" s="148"/>
      <c r="J43" s="404">
        <f t="shared" si="7"/>
        <v>259.34712457912457</v>
      </c>
    </row>
    <row r="44" spans="1:10" ht="16.2">
      <c r="A44" s="147" t="s">
        <v>283</v>
      </c>
      <c r="B44" s="148"/>
      <c r="C44" s="149"/>
      <c r="D44" s="150"/>
      <c r="E44" s="148"/>
      <c r="F44" s="149"/>
      <c r="G44" s="150"/>
      <c r="H44" s="149"/>
      <c r="I44" s="150"/>
      <c r="J44" s="150"/>
    </row>
    <row r="45" spans="1:10" ht="16.2">
      <c r="A45" s="285" t="s">
        <v>343</v>
      </c>
      <c r="B45" s="148">
        <v>50</v>
      </c>
      <c r="C45" s="149">
        <f t="shared" si="5"/>
        <v>3.3670033670033669E-2</v>
      </c>
      <c r="D45" s="150">
        <f t="shared" si="6"/>
        <v>1620.9195286195286</v>
      </c>
      <c r="E45" s="148">
        <v>197</v>
      </c>
      <c r="F45" s="149">
        <f t="shared" ref="F45:F56" si="8">E45/E$56</f>
        <v>0.8208333333333333</v>
      </c>
      <c r="G45" s="150">
        <f t="shared" ref="G45:G51" si="9">F45*G$56</f>
        <v>12499.79775</v>
      </c>
      <c r="H45" s="149"/>
      <c r="I45" s="150"/>
      <c r="J45" s="150">
        <f t="shared" si="7"/>
        <v>14120.717278619528</v>
      </c>
    </row>
    <row r="46" spans="1:10" ht="16.2">
      <c r="A46" s="151" t="s">
        <v>262</v>
      </c>
      <c r="B46" s="148"/>
      <c r="C46" s="149"/>
      <c r="D46" s="150"/>
      <c r="E46" s="148"/>
      <c r="F46" s="149"/>
      <c r="G46" s="150"/>
      <c r="H46" s="149"/>
      <c r="I46" s="150"/>
      <c r="J46" s="150"/>
    </row>
    <row r="47" spans="1:10" ht="16.2">
      <c r="A47" s="152" t="s">
        <v>263</v>
      </c>
      <c r="B47" s="148">
        <v>500</v>
      </c>
      <c r="C47" s="149">
        <f t="shared" si="5"/>
        <v>0.33670033670033672</v>
      </c>
      <c r="D47" s="150">
        <f t="shared" si="6"/>
        <v>16209.195286195287</v>
      </c>
      <c r="E47" s="148"/>
      <c r="F47" s="149"/>
      <c r="G47" s="150"/>
      <c r="H47" s="149"/>
      <c r="I47" s="150"/>
      <c r="J47" s="150">
        <f t="shared" si="7"/>
        <v>16209.195286195287</v>
      </c>
    </row>
    <row r="48" spans="1:10" ht="16.2">
      <c r="A48" s="152" t="s">
        <v>264</v>
      </c>
      <c r="B48" s="148">
        <v>400</v>
      </c>
      <c r="C48" s="149">
        <f t="shared" si="5"/>
        <v>0.26936026936026936</v>
      </c>
      <c r="D48" s="150">
        <f t="shared" si="6"/>
        <v>12967.356228956229</v>
      </c>
      <c r="E48" s="153"/>
      <c r="F48" s="149"/>
      <c r="G48" s="150"/>
      <c r="H48" s="149"/>
      <c r="I48" s="150"/>
      <c r="J48" s="150">
        <f t="shared" si="7"/>
        <v>12967.356228956229</v>
      </c>
    </row>
    <row r="49" spans="1:10" ht="16.2">
      <c r="A49" s="151" t="s">
        <v>284</v>
      </c>
      <c r="B49" s="148">
        <v>200</v>
      </c>
      <c r="C49" s="149">
        <f t="shared" si="5"/>
        <v>0.13468013468013468</v>
      </c>
      <c r="D49" s="150">
        <f t="shared" si="6"/>
        <v>6483.6781144781144</v>
      </c>
      <c r="E49" s="148"/>
      <c r="F49" s="149"/>
      <c r="G49" s="150"/>
      <c r="H49" s="149"/>
      <c r="I49" s="150"/>
      <c r="J49" s="150">
        <f t="shared" si="7"/>
        <v>6483.6781144781144</v>
      </c>
    </row>
    <row r="50" spans="1:10" ht="16.2">
      <c r="A50" s="151" t="s">
        <v>285</v>
      </c>
      <c r="B50" s="148"/>
      <c r="C50" s="149"/>
      <c r="D50" s="150"/>
      <c r="E50" s="148">
        <v>32</v>
      </c>
      <c r="F50" s="149">
        <f t="shared" si="8"/>
        <v>0.13333333333333333</v>
      </c>
      <c r="G50" s="150">
        <f t="shared" si="9"/>
        <v>2030.424</v>
      </c>
      <c r="H50" s="149"/>
      <c r="I50" s="150"/>
      <c r="J50" s="150">
        <f t="shared" si="7"/>
        <v>2030.424</v>
      </c>
    </row>
    <row r="51" spans="1:10" ht="16.2">
      <c r="A51" s="152" t="s">
        <v>265</v>
      </c>
      <c r="B51" s="148">
        <v>2</v>
      </c>
      <c r="C51" s="149">
        <f t="shared" si="5"/>
        <v>1.3468013468013469E-3</v>
      </c>
      <c r="D51" s="150">
        <f t="shared" si="6"/>
        <v>64.836781144781142</v>
      </c>
      <c r="E51" s="148">
        <v>9</v>
      </c>
      <c r="F51" s="149">
        <f t="shared" si="8"/>
        <v>3.7499999999999999E-2</v>
      </c>
      <c r="G51" s="150">
        <f t="shared" si="9"/>
        <v>571.05674999999997</v>
      </c>
      <c r="H51" s="149"/>
      <c r="I51" s="150"/>
      <c r="J51" s="150">
        <f t="shared" si="7"/>
        <v>635.89353114478115</v>
      </c>
    </row>
    <row r="52" spans="1:10" ht="16.2">
      <c r="A52" s="152" t="s">
        <v>266</v>
      </c>
      <c r="B52" s="148">
        <v>50</v>
      </c>
      <c r="C52" s="149">
        <f t="shared" si="5"/>
        <v>3.3670033670033669E-2</v>
      </c>
      <c r="D52" s="150">
        <f t="shared" si="6"/>
        <v>1620.9195286195286</v>
      </c>
      <c r="E52" s="148"/>
      <c r="F52" s="149"/>
      <c r="G52" s="150"/>
      <c r="H52" s="149"/>
      <c r="I52" s="150"/>
      <c r="J52" s="150">
        <f t="shared" si="7"/>
        <v>1620.9195286195286</v>
      </c>
    </row>
    <row r="53" spans="1:10" ht="16.2">
      <c r="A53" s="152" t="s">
        <v>267</v>
      </c>
      <c r="B53" s="148">
        <v>30</v>
      </c>
      <c r="C53" s="149">
        <f t="shared" si="5"/>
        <v>2.0202020202020204E-2</v>
      </c>
      <c r="D53" s="150">
        <f t="shared" si="6"/>
        <v>972.5517171717172</v>
      </c>
      <c r="E53" s="148"/>
      <c r="F53" s="149"/>
      <c r="G53" s="150"/>
      <c r="H53" s="149"/>
      <c r="I53" s="150"/>
      <c r="J53" s="150">
        <f t="shared" si="7"/>
        <v>972.5517171717172</v>
      </c>
    </row>
    <row r="54" spans="1:10" ht="16.2">
      <c r="A54" s="152" t="s">
        <v>268</v>
      </c>
      <c r="B54" s="148"/>
      <c r="C54" s="149"/>
      <c r="D54" s="150"/>
      <c r="E54" s="148"/>
      <c r="F54" s="149"/>
      <c r="G54" s="150"/>
      <c r="H54" s="149"/>
      <c r="I54" s="150"/>
      <c r="J54" s="150"/>
    </row>
    <row r="55" spans="1:10" ht="16.2">
      <c r="A55" s="152" t="s">
        <v>269</v>
      </c>
      <c r="B55" s="148">
        <v>200</v>
      </c>
      <c r="C55" s="149">
        <f t="shared" si="5"/>
        <v>0.13468013468013468</v>
      </c>
      <c r="D55" s="150">
        <f t="shared" si="6"/>
        <v>6483.6781144781144</v>
      </c>
      <c r="E55" s="148"/>
      <c r="F55" s="149"/>
      <c r="G55" s="150"/>
      <c r="H55" s="149">
        <v>1</v>
      </c>
      <c r="I55" s="150"/>
      <c r="J55" s="150">
        <f t="shared" si="7"/>
        <v>6483.6781144781144</v>
      </c>
    </row>
    <row r="56" spans="1:10" ht="16.2">
      <c r="A56" s="387" t="s">
        <v>270</v>
      </c>
      <c r="B56" s="148">
        <f>SUM(B33:B55)</f>
        <v>1485</v>
      </c>
      <c r="C56" s="149">
        <f t="shared" si="5"/>
        <v>1</v>
      </c>
      <c r="D56" s="157">
        <v>48141.31</v>
      </c>
      <c r="E56" s="148">
        <f>SUM(E33:E55)</f>
        <v>240</v>
      </c>
      <c r="F56" s="149">
        <f t="shared" si="8"/>
        <v>1</v>
      </c>
      <c r="G56" s="157">
        <v>15228.18</v>
      </c>
      <c r="H56" s="149">
        <v>1</v>
      </c>
      <c r="I56" s="157">
        <v>132477.1</v>
      </c>
      <c r="J56" s="150">
        <f t="shared" si="7"/>
        <v>195846.59</v>
      </c>
    </row>
    <row r="59" spans="1:10" ht="16.2">
      <c r="A59" s="144" t="s">
        <v>271</v>
      </c>
      <c r="B59" s="154"/>
      <c r="C59" s="155"/>
      <c r="D59" s="154"/>
      <c r="E59" s="154"/>
      <c r="F59" s="154"/>
      <c r="G59" s="156"/>
      <c r="H59" s="154"/>
      <c r="I59" s="154"/>
      <c r="J59" s="154">
        <v>2017.3</v>
      </c>
    </row>
    <row r="60" spans="1:10" ht="16.2">
      <c r="A60" s="457" t="s">
        <v>272</v>
      </c>
      <c r="B60" s="459" t="s">
        <v>254</v>
      </c>
      <c r="C60" s="459"/>
      <c r="D60" s="459"/>
      <c r="E60" s="459" t="s">
        <v>255</v>
      </c>
      <c r="F60" s="459"/>
      <c r="G60" s="459"/>
      <c r="H60" s="459" t="s">
        <v>256</v>
      </c>
      <c r="I60" s="459"/>
      <c r="J60" s="457" t="s">
        <v>273</v>
      </c>
    </row>
    <row r="61" spans="1:10" ht="16.2">
      <c r="A61" s="458"/>
      <c r="B61" s="421" t="s">
        <v>257</v>
      </c>
      <c r="C61" s="421" t="s">
        <v>258</v>
      </c>
      <c r="D61" s="421" t="s">
        <v>259</v>
      </c>
      <c r="E61" s="421" t="s">
        <v>257</v>
      </c>
      <c r="F61" s="421" t="s">
        <v>258</v>
      </c>
      <c r="G61" s="146" t="s">
        <v>259</v>
      </c>
      <c r="H61" s="421" t="s">
        <v>258</v>
      </c>
      <c r="I61" s="421" t="s">
        <v>259</v>
      </c>
      <c r="J61" s="458"/>
    </row>
    <row r="62" spans="1:10" ht="16.2">
      <c r="A62" s="147" t="s">
        <v>260</v>
      </c>
      <c r="B62" s="148">
        <v>40</v>
      </c>
      <c r="C62" s="149">
        <f>B62/B$85</f>
        <v>2.159827213822894E-2</v>
      </c>
      <c r="D62" s="150">
        <f>C62*D$85</f>
        <v>1173.5345572354211</v>
      </c>
      <c r="E62" s="148"/>
      <c r="F62" s="149"/>
      <c r="G62" s="150"/>
      <c r="H62" s="149"/>
      <c r="I62" s="150"/>
      <c r="J62" s="150">
        <f>I62+G62+D62</f>
        <v>1173.5345572354211</v>
      </c>
    </row>
    <row r="63" spans="1:10" ht="16.2">
      <c r="A63" s="147" t="s">
        <v>261</v>
      </c>
      <c r="B63" s="148">
        <v>4</v>
      </c>
      <c r="C63" s="149">
        <f t="shared" ref="C63:C85" si="10">B63/B$85</f>
        <v>2.1598272138228943E-3</v>
      </c>
      <c r="D63" s="150">
        <f t="shared" ref="D63:D84" si="11">C63*D$85</f>
        <v>117.35345572354213</v>
      </c>
      <c r="E63" s="148">
        <v>4</v>
      </c>
      <c r="F63" s="149">
        <f>E63/E$85</f>
        <v>1.2195121951219513E-2</v>
      </c>
      <c r="G63" s="150">
        <f>F63*G$85</f>
        <v>408.45670731707315</v>
      </c>
      <c r="H63" s="149"/>
      <c r="I63" s="150"/>
      <c r="J63" s="150">
        <f t="shared" ref="J63:J85" si="12">I63+G63+D63</f>
        <v>525.81016304061529</v>
      </c>
    </row>
    <row r="64" spans="1:10" ht="16.2">
      <c r="A64" s="147" t="s">
        <v>274</v>
      </c>
      <c r="B64" s="148"/>
      <c r="C64" s="149"/>
      <c r="D64" s="150"/>
      <c r="E64" s="148"/>
      <c r="F64" s="149"/>
      <c r="G64" s="150"/>
      <c r="H64" s="149"/>
      <c r="I64" s="150"/>
      <c r="J64" s="150"/>
    </row>
    <row r="65" spans="1:10" ht="16.2">
      <c r="A65" s="147" t="s">
        <v>275</v>
      </c>
      <c r="B65" s="148"/>
      <c r="C65" s="149"/>
      <c r="D65" s="150"/>
      <c r="E65" s="148"/>
      <c r="F65" s="149"/>
      <c r="G65" s="150"/>
      <c r="H65" s="149"/>
      <c r="I65" s="150"/>
      <c r="J65" s="150"/>
    </row>
    <row r="66" spans="1:10" ht="16.2">
      <c r="A66" s="147" t="s">
        <v>276</v>
      </c>
      <c r="B66" s="148"/>
      <c r="C66" s="149"/>
      <c r="D66" s="150"/>
      <c r="E66" s="148"/>
      <c r="F66" s="149"/>
      <c r="G66" s="150"/>
      <c r="H66" s="149"/>
      <c r="I66" s="150"/>
      <c r="J66" s="150"/>
    </row>
    <row r="67" spans="1:10" ht="16.2">
      <c r="A67" s="147" t="s">
        <v>277</v>
      </c>
      <c r="B67" s="148"/>
      <c r="C67" s="149"/>
      <c r="D67" s="150"/>
      <c r="E67" s="148"/>
      <c r="F67" s="149"/>
      <c r="G67" s="150"/>
      <c r="H67" s="149"/>
      <c r="I67" s="150"/>
      <c r="J67" s="150"/>
    </row>
    <row r="68" spans="1:10" ht="16.2">
      <c r="A68" s="147" t="s">
        <v>278</v>
      </c>
      <c r="B68" s="148">
        <v>3</v>
      </c>
      <c r="C68" s="149">
        <f t="shared" si="10"/>
        <v>1.6198704103671706E-3</v>
      </c>
      <c r="D68" s="150">
        <f t="shared" si="11"/>
        <v>88.015091792656591</v>
      </c>
      <c r="E68" s="148"/>
      <c r="F68" s="149"/>
      <c r="G68" s="150"/>
      <c r="H68" s="149"/>
      <c r="I68" s="150"/>
      <c r="J68" s="150">
        <f t="shared" si="12"/>
        <v>88.015091792656591</v>
      </c>
    </row>
    <row r="69" spans="1:10" ht="16.2">
      <c r="A69" s="147" t="s">
        <v>279</v>
      </c>
      <c r="B69" s="148"/>
      <c r="C69" s="149"/>
      <c r="D69" s="150"/>
      <c r="E69" s="148"/>
      <c r="F69" s="149"/>
      <c r="G69" s="150"/>
      <c r="H69" s="149"/>
      <c r="I69" s="150"/>
      <c r="J69" s="150"/>
    </row>
    <row r="70" spans="1:10" ht="16.2">
      <c r="A70" s="147" t="s">
        <v>280</v>
      </c>
      <c r="B70" s="148"/>
      <c r="C70" s="149"/>
      <c r="D70" s="150"/>
      <c r="E70" s="148">
        <v>4</v>
      </c>
      <c r="F70" s="149">
        <f t="shared" ref="F70:F85" si="13">E70/E$85</f>
        <v>1.2195121951219513E-2</v>
      </c>
      <c r="G70" s="150">
        <f t="shared" ref="G70:G79" si="14">F70*G$85</f>
        <v>408.45670731707315</v>
      </c>
      <c r="H70" s="149"/>
      <c r="I70" s="150"/>
      <c r="J70" s="150">
        <f t="shared" si="12"/>
        <v>408.45670731707315</v>
      </c>
    </row>
    <row r="71" spans="1:10" ht="16.2">
      <c r="A71" s="147" t="s">
        <v>281</v>
      </c>
      <c r="B71" s="148"/>
      <c r="C71" s="149"/>
      <c r="D71" s="150"/>
      <c r="E71" s="148"/>
      <c r="F71" s="149"/>
      <c r="G71" s="150"/>
      <c r="H71" s="149"/>
      <c r="I71" s="150"/>
      <c r="J71" s="150"/>
    </row>
    <row r="72" spans="1:10" ht="16.2">
      <c r="A72" s="147" t="s">
        <v>282</v>
      </c>
      <c r="B72" s="148"/>
      <c r="C72" s="149"/>
      <c r="D72" s="150"/>
      <c r="E72" s="148"/>
      <c r="F72" s="149"/>
      <c r="G72" s="150"/>
      <c r="H72" s="149"/>
      <c r="I72" s="148"/>
      <c r="J72" s="150"/>
    </row>
    <row r="73" spans="1:10" ht="16.2">
      <c r="A73" s="147" t="s">
        <v>283</v>
      </c>
      <c r="B73" s="148"/>
      <c r="C73" s="149"/>
      <c r="D73" s="150"/>
      <c r="E73" s="148"/>
      <c r="F73" s="149"/>
      <c r="G73" s="150"/>
      <c r="H73" s="149"/>
      <c r="I73" s="150"/>
      <c r="J73" s="150"/>
    </row>
    <row r="74" spans="1:10" ht="16.2">
      <c r="A74" s="285" t="s">
        <v>343</v>
      </c>
      <c r="B74" s="148"/>
      <c r="C74" s="149"/>
      <c r="D74" s="150"/>
      <c r="E74" s="148">
        <v>46</v>
      </c>
      <c r="F74" s="149">
        <f t="shared" si="13"/>
        <v>0.1402439024390244</v>
      </c>
      <c r="G74" s="150">
        <f t="shared" si="14"/>
        <v>4697.2521341463416</v>
      </c>
      <c r="H74" s="149"/>
      <c r="I74" s="150"/>
      <c r="J74" s="150">
        <f t="shared" si="12"/>
        <v>4697.2521341463416</v>
      </c>
    </row>
    <row r="75" spans="1:10" ht="16.2">
      <c r="A75" s="151" t="s">
        <v>262</v>
      </c>
      <c r="B75" s="148"/>
      <c r="C75" s="149"/>
      <c r="D75" s="150"/>
      <c r="E75" s="148"/>
      <c r="F75" s="149"/>
      <c r="G75" s="150"/>
      <c r="H75" s="149"/>
      <c r="I75" s="150"/>
      <c r="J75" s="150"/>
    </row>
    <row r="76" spans="1:10" ht="16.2">
      <c r="A76" s="152" t="s">
        <v>263</v>
      </c>
      <c r="B76" s="148">
        <v>870</v>
      </c>
      <c r="C76" s="149">
        <f t="shared" si="10"/>
        <v>0.46976241900647947</v>
      </c>
      <c r="D76" s="150">
        <f>C76*D$85-0.01</f>
        <v>25524.366619870412</v>
      </c>
      <c r="E76" s="148">
        <v>6</v>
      </c>
      <c r="F76" s="149">
        <f t="shared" si="13"/>
        <v>1.8292682926829267E-2</v>
      </c>
      <c r="G76" s="150">
        <f t="shared" si="14"/>
        <v>612.68506097560964</v>
      </c>
      <c r="H76" s="149"/>
      <c r="I76" s="150"/>
      <c r="J76" s="150">
        <f>I76+G76+D76+0.01</f>
        <v>26137.061680846022</v>
      </c>
    </row>
    <row r="77" spans="1:10" ht="16.2">
      <c r="A77" s="152" t="s">
        <v>264</v>
      </c>
      <c r="B77" s="148">
        <v>400</v>
      </c>
      <c r="C77" s="149">
        <f t="shared" si="10"/>
        <v>0.21598272138228941</v>
      </c>
      <c r="D77" s="150">
        <f t="shared" si="11"/>
        <v>11735.345572354212</v>
      </c>
      <c r="E77" s="153"/>
      <c r="F77" s="149"/>
      <c r="G77" s="150"/>
      <c r="H77" s="149"/>
      <c r="I77" s="150"/>
      <c r="J77" s="150">
        <f t="shared" si="12"/>
        <v>11735.345572354212</v>
      </c>
    </row>
    <row r="78" spans="1:10" ht="16.2">
      <c r="A78" s="151" t="s">
        <v>284</v>
      </c>
      <c r="B78" s="148">
        <v>130</v>
      </c>
      <c r="C78" s="149">
        <f t="shared" si="10"/>
        <v>7.0194384449244057E-2</v>
      </c>
      <c r="D78" s="150">
        <f t="shared" si="11"/>
        <v>3813.9873110151188</v>
      </c>
      <c r="E78" s="148"/>
      <c r="F78" s="149"/>
      <c r="G78" s="150"/>
      <c r="H78" s="149"/>
      <c r="I78" s="150"/>
      <c r="J78" s="150">
        <f t="shared" si="12"/>
        <v>3813.9873110151188</v>
      </c>
    </row>
    <row r="79" spans="1:10" ht="16.2">
      <c r="A79" s="151" t="s">
        <v>285</v>
      </c>
      <c r="B79" s="148"/>
      <c r="C79" s="149"/>
      <c r="D79" s="150"/>
      <c r="E79" s="148">
        <v>21</v>
      </c>
      <c r="F79" s="149">
        <f t="shared" si="13"/>
        <v>6.402439024390244E-2</v>
      </c>
      <c r="G79" s="150">
        <f t="shared" si="14"/>
        <v>2144.3977134146339</v>
      </c>
      <c r="H79" s="149"/>
      <c r="I79" s="150"/>
      <c r="J79" s="150">
        <f t="shared" si="12"/>
        <v>2144.3977134146339</v>
      </c>
    </row>
    <row r="80" spans="1:10" ht="16.2">
      <c r="A80" s="152" t="s">
        <v>265</v>
      </c>
      <c r="B80" s="148">
        <v>50</v>
      </c>
      <c r="C80" s="149">
        <f t="shared" si="10"/>
        <v>2.6997840172786176E-2</v>
      </c>
      <c r="D80" s="150">
        <f t="shared" si="11"/>
        <v>1466.9181965442765</v>
      </c>
      <c r="E80" s="148">
        <v>247</v>
      </c>
      <c r="F80" s="149">
        <f t="shared" si="13"/>
        <v>0.75304878048780488</v>
      </c>
      <c r="G80" s="150">
        <f>F80*G$85-0.01</f>
        <v>25222.191676829269</v>
      </c>
      <c r="H80" s="149"/>
      <c r="I80" s="150"/>
      <c r="J80" s="150">
        <f t="shared" si="12"/>
        <v>26689.109873373545</v>
      </c>
    </row>
    <row r="81" spans="1:10" ht="16.2">
      <c r="A81" s="152" t="s">
        <v>266</v>
      </c>
      <c r="B81" s="148"/>
      <c r="C81" s="149"/>
      <c r="D81" s="150"/>
      <c r="E81" s="148"/>
      <c r="F81" s="149"/>
      <c r="G81" s="150"/>
      <c r="H81" s="149"/>
      <c r="I81" s="150"/>
      <c r="J81" s="150"/>
    </row>
    <row r="82" spans="1:10" ht="16.2">
      <c r="A82" s="152" t="s">
        <v>267</v>
      </c>
      <c r="B82" s="148"/>
      <c r="C82" s="149"/>
      <c r="D82" s="150"/>
      <c r="E82" s="148"/>
      <c r="F82" s="149"/>
      <c r="G82" s="150"/>
      <c r="H82" s="149"/>
      <c r="I82" s="150"/>
      <c r="J82" s="150"/>
    </row>
    <row r="83" spans="1:10" ht="16.2">
      <c r="A83" s="152" t="s">
        <v>268</v>
      </c>
      <c r="B83" s="148"/>
      <c r="C83" s="149"/>
      <c r="D83" s="150"/>
      <c r="E83" s="148"/>
      <c r="F83" s="149"/>
      <c r="G83" s="150"/>
      <c r="H83" s="149"/>
      <c r="I83" s="150"/>
      <c r="J83" s="150"/>
    </row>
    <row r="84" spans="1:10" ht="16.2">
      <c r="A84" s="152" t="s">
        <v>269</v>
      </c>
      <c r="B84" s="148">
        <v>355</v>
      </c>
      <c r="C84" s="149">
        <f t="shared" si="10"/>
        <v>0.19168466522678185</v>
      </c>
      <c r="D84" s="150">
        <f t="shared" si="11"/>
        <v>10415.119195464362</v>
      </c>
      <c r="E84" s="148"/>
      <c r="F84" s="149"/>
      <c r="G84" s="150"/>
      <c r="H84" s="149"/>
      <c r="I84" s="150"/>
      <c r="J84" s="150">
        <f t="shared" si="12"/>
        <v>10415.119195464362</v>
      </c>
    </row>
    <row r="85" spans="1:10" ht="16.2">
      <c r="A85" s="421" t="s">
        <v>270</v>
      </c>
      <c r="B85" s="148">
        <f>SUM(B62:B84)</f>
        <v>1852</v>
      </c>
      <c r="C85" s="149">
        <f t="shared" si="10"/>
        <v>1</v>
      </c>
      <c r="D85" s="157">
        <v>54334.65</v>
      </c>
      <c r="E85" s="148">
        <f>SUM(E62:E84)</f>
        <v>328</v>
      </c>
      <c r="F85" s="149">
        <f t="shared" si="13"/>
        <v>1</v>
      </c>
      <c r="G85" s="157">
        <v>33493.449999999997</v>
      </c>
      <c r="H85" s="149"/>
      <c r="I85" s="157"/>
      <c r="J85" s="150">
        <f t="shared" si="12"/>
        <v>87828.1</v>
      </c>
    </row>
  </sheetData>
  <mergeCells count="15">
    <mergeCell ref="A60:A61"/>
    <mergeCell ref="B60:D60"/>
    <mergeCell ref="E60:G60"/>
    <mergeCell ref="H60:I60"/>
    <mergeCell ref="J60:J61"/>
    <mergeCell ref="A2:A3"/>
    <mergeCell ref="B2:D2"/>
    <mergeCell ref="E2:G2"/>
    <mergeCell ref="H2:I2"/>
    <mergeCell ref="J2:J3"/>
    <mergeCell ref="A31:A32"/>
    <mergeCell ref="B31:D31"/>
    <mergeCell ref="E31:G31"/>
    <mergeCell ref="H31:I31"/>
    <mergeCell ref="J31:J32"/>
  </mergeCells>
  <phoneticPr fontId="2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opLeftCell="A49" workbookViewId="0">
      <selection activeCell="O49" sqref="O49"/>
    </sheetView>
  </sheetViews>
  <sheetFormatPr defaultColWidth="9" defaultRowHeight="15.6"/>
  <cols>
    <col min="1" max="1" width="29.88671875" style="1" customWidth="1"/>
    <col min="2" max="2" width="8.6640625" style="1" hidden="1" customWidth="1"/>
    <col min="3" max="3" width="9.6640625" style="1" bestFit="1" customWidth="1"/>
    <col min="4" max="4" width="14" style="1" bestFit="1" customWidth="1"/>
    <col min="5" max="5" width="12.6640625" style="1" hidden="1" customWidth="1"/>
    <col min="6" max="6" width="9.6640625" style="1" bestFit="1" customWidth="1"/>
    <col min="7" max="7" width="16.109375" style="1" bestFit="1" customWidth="1"/>
    <col min="8" max="8" width="8" style="1" hidden="1" customWidth="1"/>
    <col min="9" max="9" width="9.6640625" style="1" bestFit="1" customWidth="1"/>
    <col min="10" max="10" width="14" style="1" bestFit="1" customWidth="1"/>
    <col min="11" max="11" width="10.44140625" style="1" hidden="1" customWidth="1"/>
    <col min="12" max="12" width="9.6640625" style="1" bestFit="1" customWidth="1"/>
    <col min="13" max="13" width="14" style="1" bestFit="1" customWidth="1"/>
    <col min="14" max="14" width="16.109375" style="1" bestFit="1" customWidth="1"/>
    <col min="15" max="16384" width="9" style="1"/>
  </cols>
  <sheetData>
    <row r="1" spans="1:14" ht="16.2" thickBot="1">
      <c r="A1" s="186" t="s">
        <v>314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7" t="s">
        <v>313</v>
      </c>
    </row>
    <row r="2" spans="1:14" ht="15.75" customHeight="1">
      <c r="A2" s="460" t="s">
        <v>288</v>
      </c>
      <c r="B2" s="462" t="s">
        <v>289</v>
      </c>
      <c r="C2" s="462"/>
      <c r="D2" s="462"/>
      <c r="E2" s="462" t="s">
        <v>290</v>
      </c>
      <c r="F2" s="462"/>
      <c r="G2" s="462"/>
      <c r="H2" s="462" t="s">
        <v>291</v>
      </c>
      <c r="I2" s="462"/>
      <c r="J2" s="462"/>
      <c r="K2" s="463" t="s">
        <v>286</v>
      </c>
      <c r="L2" s="463"/>
      <c r="M2" s="463"/>
      <c r="N2" s="160" t="s">
        <v>292</v>
      </c>
    </row>
    <row r="3" spans="1:14">
      <c r="A3" s="461"/>
      <c r="B3" s="162" t="s">
        <v>293</v>
      </c>
      <c r="C3" s="161" t="s">
        <v>294</v>
      </c>
      <c r="D3" s="162" t="s">
        <v>295</v>
      </c>
      <c r="E3" s="162" t="s">
        <v>293</v>
      </c>
      <c r="F3" s="161" t="s">
        <v>294</v>
      </c>
      <c r="G3" s="162" t="s">
        <v>295</v>
      </c>
      <c r="H3" s="162" t="s">
        <v>293</v>
      </c>
      <c r="I3" s="161" t="s">
        <v>294</v>
      </c>
      <c r="J3" s="162" t="s">
        <v>295</v>
      </c>
      <c r="K3" s="162" t="s">
        <v>293</v>
      </c>
      <c r="L3" s="162" t="s">
        <v>294</v>
      </c>
      <c r="M3" s="162" t="s">
        <v>295</v>
      </c>
      <c r="N3" s="163" t="s">
        <v>296</v>
      </c>
    </row>
    <row r="4" spans="1:14" ht="16.2">
      <c r="A4" s="164" t="s">
        <v>297</v>
      </c>
      <c r="B4" s="188">
        <v>4786</v>
      </c>
      <c r="C4" s="161">
        <f>B4/B$20</f>
        <v>0.20226523539852928</v>
      </c>
      <c r="D4" s="162">
        <f>C4*D$20</f>
        <v>38358.881829093058</v>
      </c>
      <c r="E4" s="165">
        <f>105439+17720</f>
        <v>123159</v>
      </c>
      <c r="F4" s="161">
        <f>E4/E$20</f>
        <v>0.11396678131914197</v>
      </c>
      <c r="G4" s="162">
        <f>F4*G$20</f>
        <v>115543.79779531341</v>
      </c>
      <c r="H4" s="165">
        <v>430</v>
      </c>
      <c r="I4" s="166">
        <f>H4/H$20</f>
        <v>0.17111022682053323</v>
      </c>
      <c r="J4" s="167">
        <f>I4*J$20</f>
        <v>77707.076124154395</v>
      </c>
      <c r="K4" s="168">
        <v>17720</v>
      </c>
      <c r="L4" s="166">
        <f>K4/K$20</f>
        <v>0.10302325581395348</v>
      </c>
      <c r="M4" s="162">
        <f>L4*M$20</f>
        <v>16522.417495348836</v>
      </c>
      <c r="N4" s="169">
        <f>M4+J4+G4+D4+0.01</f>
        <v>248132.18324390971</v>
      </c>
    </row>
    <row r="5" spans="1:14" ht="16.2">
      <c r="A5" s="164" t="s">
        <v>298</v>
      </c>
      <c r="B5" s="188"/>
      <c r="C5" s="161"/>
      <c r="D5" s="162"/>
      <c r="E5" s="165">
        <f>56538+0</f>
        <v>56538</v>
      </c>
      <c r="F5" s="161">
        <f t="shared" ref="F5:F20" si="0">E5/E$20</f>
        <v>5.2318173111357259E-2</v>
      </c>
      <c r="G5" s="162">
        <f t="shared" ref="G5:G19" si="1">F5*G$20</f>
        <v>53042.126354967397</v>
      </c>
      <c r="H5" s="165"/>
      <c r="I5" s="166"/>
      <c r="J5" s="167"/>
      <c r="K5" s="168"/>
      <c r="L5" s="166"/>
      <c r="M5" s="162"/>
      <c r="N5" s="169">
        <f t="shared" ref="N5:N20" si="2">M5+J5+G5+D5</f>
        <v>53042.126354967397</v>
      </c>
    </row>
    <row r="6" spans="1:14" ht="16.2">
      <c r="A6" s="164" t="s">
        <v>299</v>
      </c>
      <c r="B6" s="188">
        <v>631</v>
      </c>
      <c r="C6" s="161">
        <f t="shared" ref="C6:C20" si="3">B6/B$20</f>
        <v>2.6667230158059337E-2</v>
      </c>
      <c r="D6" s="162">
        <f t="shared" ref="D6:D19" si="4">C6*D$20</f>
        <v>5057.3452641365902</v>
      </c>
      <c r="E6" s="165">
        <f>50442+20296</f>
        <v>70738</v>
      </c>
      <c r="F6" s="161">
        <f t="shared" si="0"/>
        <v>6.5458327665484983E-2</v>
      </c>
      <c r="G6" s="162">
        <f t="shared" si="1"/>
        <v>66364.107929139413</v>
      </c>
      <c r="H6" s="165">
        <v>150</v>
      </c>
      <c r="I6" s="166">
        <f t="shared" ref="I6:I20" si="5">H6/H$20</f>
        <v>5.9689614007162752E-2</v>
      </c>
      <c r="J6" s="167">
        <f t="shared" ref="J6:J18" si="6">I6*J$20</f>
        <v>27107.119578193393</v>
      </c>
      <c r="K6" s="168">
        <v>20296</v>
      </c>
      <c r="L6" s="166">
        <f t="shared" ref="L6:L20" si="7">K6/K$20</f>
        <v>0.11799999999999999</v>
      </c>
      <c r="M6" s="162">
        <f t="shared" ref="M6:M17" si="8">L6*M$20</f>
        <v>18924.321979999997</v>
      </c>
      <c r="N6" s="169">
        <f t="shared" si="2"/>
        <v>117452.89475146939</v>
      </c>
    </row>
    <row r="7" spans="1:14" ht="16.2">
      <c r="A7" s="164" t="s">
        <v>300</v>
      </c>
      <c r="B7" s="188">
        <v>504</v>
      </c>
      <c r="C7" s="161">
        <f t="shared" si="3"/>
        <v>2.1299974642887329E-2</v>
      </c>
      <c r="D7" s="162">
        <f t="shared" si="4"/>
        <v>4039.4643631138533</v>
      </c>
      <c r="E7" s="165">
        <f>20662+8827</f>
        <v>29489</v>
      </c>
      <c r="F7" s="161">
        <f t="shared" si="0"/>
        <v>2.728802941173749E-2</v>
      </c>
      <c r="G7" s="162">
        <f t="shared" si="1"/>
        <v>27665.627791602703</v>
      </c>
      <c r="H7" s="165"/>
      <c r="I7" s="166"/>
      <c r="J7" s="167"/>
      <c r="K7" s="168">
        <v>8827</v>
      </c>
      <c r="L7" s="166">
        <f t="shared" si="7"/>
        <v>5.1319767441860467E-2</v>
      </c>
      <c r="M7" s="162">
        <f t="shared" si="8"/>
        <v>8230.4390085465111</v>
      </c>
      <c r="N7" s="169">
        <f t="shared" si="2"/>
        <v>39935.531163263069</v>
      </c>
    </row>
    <row r="8" spans="1:14" ht="16.2">
      <c r="A8" s="164" t="s">
        <v>301</v>
      </c>
      <c r="B8" s="188">
        <v>4962</v>
      </c>
      <c r="C8" s="161">
        <f t="shared" si="3"/>
        <v>0.20970332178175979</v>
      </c>
      <c r="D8" s="162">
        <f t="shared" si="4"/>
        <v>39769.4884320852</v>
      </c>
      <c r="E8" s="165">
        <f>136498+39786</f>
        <v>176284</v>
      </c>
      <c r="F8" s="161">
        <f t="shared" si="0"/>
        <v>0.16312669052252474</v>
      </c>
      <c r="G8" s="162">
        <f t="shared" si="1"/>
        <v>165383.95773389708</v>
      </c>
      <c r="H8" s="165">
        <v>383</v>
      </c>
      <c r="I8" s="166">
        <f t="shared" si="5"/>
        <v>0.15240748109828889</v>
      </c>
      <c r="J8" s="167">
        <f t="shared" si="6"/>
        <v>69213.511989653794</v>
      </c>
      <c r="K8" s="168">
        <v>39786</v>
      </c>
      <c r="L8" s="166">
        <f t="shared" si="7"/>
        <v>0.23131395348837208</v>
      </c>
      <c r="M8" s="162">
        <f t="shared" si="8"/>
        <v>37097.116392209296</v>
      </c>
      <c r="N8" s="169">
        <f t="shared" si="2"/>
        <v>311464.07454784535</v>
      </c>
    </row>
    <row r="9" spans="1:14" ht="16.2">
      <c r="A9" s="164" t="s">
        <v>302</v>
      </c>
      <c r="B9" s="188">
        <f>5620+1</f>
        <v>5621</v>
      </c>
      <c r="C9" s="161">
        <f t="shared" si="3"/>
        <v>0.23755388386442397</v>
      </c>
      <c r="D9" s="162">
        <f t="shared" si="4"/>
        <v>45051.248383061451</v>
      </c>
      <c r="E9" s="165">
        <f>170347+41880</f>
        <v>212227</v>
      </c>
      <c r="F9" s="161">
        <f t="shared" si="0"/>
        <v>0.19638701271541295</v>
      </c>
      <c r="G9" s="162">
        <f t="shared" si="1"/>
        <v>199104.5199677326</v>
      </c>
      <c r="H9" s="165">
        <v>360</v>
      </c>
      <c r="I9" s="166">
        <f t="shared" si="5"/>
        <v>0.14325507361719061</v>
      </c>
      <c r="J9" s="167">
        <f t="shared" si="6"/>
        <v>65057.086987664145</v>
      </c>
      <c r="K9" s="168">
        <v>41880</v>
      </c>
      <c r="L9" s="166">
        <f t="shared" si="7"/>
        <v>0.24348837209302326</v>
      </c>
      <c r="M9" s="162">
        <f t="shared" si="8"/>
        <v>39049.596202325578</v>
      </c>
      <c r="N9" s="169">
        <f t="shared" si="2"/>
        <v>348262.45154078375</v>
      </c>
    </row>
    <row r="10" spans="1:14" ht="16.2">
      <c r="A10" s="164" t="s">
        <v>303</v>
      </c>
      <c r="B10" s="188">
        <v>3136</v>
      </c>
      <c r="C10" s="161">
        <f t="shared" si="3"/>
        <v>0.1325331755557434</v>
      </c>
      <c r="D10" s="162">
        <f t="shared" si="4"/>
        <v>25134.444926041757</v>
      </c>
      <c r="E10" s="165">
        <f>154418+28994</f>
        <v>183412</v>
      </c>
      <c r="F10" s="161">
        <f t="shared" si="0"/>
        <v>0.16972267796349813</v>
      </c>
      <c r="G10" s="162">
        <f t="shared" si="1"/>
        <v>172071.21721704482</v>
      </c>
      <c r="H10" s="165">
        <v>650</v>
      </c>
      <c r="I10" s="166">
        <f t="shared" si="5"/>
        <v>0.25865499403103859</v>
      </c>
      <c r="J10" s="167">
        <f t="shared" si="6"/>
        <v>117464.18483883803</v>
      </c>
      <c r="K10" s="168">
        <v>28994</v>
      </c>
      <c r="L10" s="166">
        <f t="shared" si="7"/>
        <v>0.16856976744186047</v>
      </c>
      <c r="M10" s="162">
        <f t="shared" si="8"/>
        <v>27034.479281046511</v>
      </c>
      <c r="N10" s="169">
        <f t="shared" si="2"/>
        <v>341704.32626297115</v>
      </c>
    </row>
    <row r="11" spans="1:14" ht="16.2">
      <c r="A11" s="164" t="s">
        <v>304</v>
      </c>
      <c r="B11" s="188">
        <v>488</v>
      </c>
      <c r="C11" s="161">
        <f t="shared" si="3"/>
        <v>2.0623784971684558E-2</v>
      </c>
      <c r="D11" s="162">
        <f t="shared" si="4"/>
        <v>3911.2273992054775</v>
      </c>
      <c r="E11" s="165">
        <f>13036+10470</f>
        <v>23506</v>
      </c>
      <c r="F11" s="161">
        <f t="shared" si="0"/>
        <v>2.1751582602065226E-2</v>
      </c>
      <c r="G11" s="162">
        <f t="shared" si="1"/>
        <v>22052.570343837131</v>
      </c>
      <c r="H11" s="165">
        <v>180</v>
      </c>
      <c r="I11" s="166">
        <f t="shared" si="5"/>
        <v>7.1627536808595307E-2</v>
      </c>
      <c r="J11" s="167">
        <f t="shared" si="6"/>
        <v>32528.543493832072</v>
      </c>
      <c r="K11" s="168">
        <v>10470</v>
      </c>
      <c r="L11" s="166">
        <f t="shared" si="7"/>
        <v>6.0872093023255816E-2</v>
      </c>
      <c r="M11" s="162">
        <f t="shared" si="8"/>
        <v>9762.3990505813945</v>
      </c>
      <c r="N11" s="169">
        <f t="shared" si="2"/>
        <v>68254.740287456079</v>
      </c>
    </row>
    <row r="12" spans="1:14" ht="16.2">
      <c r="A12" s="164" t="s">
        <v>305</v>
      </c>
      <c r="B12" s="188"/>
      <c r="C12" s="161"/>
      <c r="D12" s="162"/>
      <c r="E12" s="165">
        <f>8103</f>
        <v>8103</v>
      </c>
      <c r="F12" s="161">
        <f t="shared" si="0"/>
        <v>7.498216362823727E-3</v>
      </c>
      <c r="G12" s="162">
        <f t="shared" si="1"/>
        <v>7601.9730067264645</v>
      </c>
      <c r="H12" s="165"/>
      <c r="I12" s="166"/>
      <c r="J12" s="167"/>
      <c r="K12" s="168"/>
      <c r="L12" s="166"/>
      <c r="M12" s="162"/>
      <c r="N12" s="169">
        <f t="shared" si="2"/>
        <v>7601.9730067264645</v>
      </c>
    </row>
    <row r="13" spans="1:14" ht="16.2">
      <c r="A13" s="164" t="s">
        <v>306</v>
      </c>
      <c r="B13" s="188"/>
      <c r="C13" s="161"/>
      <c r="D13" s="162"/>
      <c r="E13" s="165">
        <f>965</f>
        <v>965</v>
      </c>
      <c r="F13" s="161">
        <f t="shared" si="0"/>
        <v>8.9297529188262328E-4</v>
      </c>
      <c r="G13" s="162">
        <f t="shared" si="1"/>
        <v>905.33184641380205</v>
      </c>
      <c r="H13" s="165"/>
      <c r="I13" s="166"/>
      <c r="J13" s="167"/>
      <c r="K13" s="168"/>
      <c r="L13" s="166"/>
      <c r="M13" s="162"/>
      <c r="N13" s="169">
        <f t="shared" si="2"/>
        <v>905.33184641380205</v>
      </c>
    </row>
    <row r="14" spans="1:14">
      <c r="A14" s="170" t="s">
        <v>1</v>
      </c>
      <c r="B14" s="188">
        <v>21</v>
      </c>
      <c r="C14" s="161">
        <f t="shared" si="3"/>
        <v>8.8749894345363869E-4</v>
      </c>
      <c r="D14" s="162">
        <f t="shared" si="4"/>
        <v>168.31101512974388</v>
      </c>
      <c r="E14" s="165">
        <f>21843</f>
        <v>21843</v>
      </c>
      <c r="F14" s="161">
        <f t="shared" si="0"/>
        <v>2.0212703938437451E-2</v>
      </c>
      <c r="G14" s="162">
        <f t="shared" si="1"/>
        <v>20492.39743131262</v>
      </c>
      <c r="H14" s="165"/>
      <c r="I14" s="166"/>
      <c r="J14" s="167"/>
      <c r="K14" s="168"/>
      <c r="L14" s="166"/>
      <c r="M14" s="162"/>
      <c r="N14" s="169">
        <f t="shared" si="2"/>
        <v>20660.708446442364</v>
      </c>
    </row>
    <row r="15" spans="1:14">
      <c r="A15" s="171" t="s">
        <v>307</v>
      </c>
      <c r="B15" s="189">
        <v>688</v>
      </c>
      <c r="C15" s="161">
        <f t="shared" si="3"/>
        <v>2.9076155861719213E-2</v>
      </c>
      <c r="D15" s="162">
        <f t="shared" si="4"/>
        <v>5514.1894480601813</v>
      </c>
      <c r="E15" s="165">
        <f>60748</f>
        <v>60748</v>
      </c>
      <c r="F15" s="161">
        <f t="shared" si="0"/>
        <v>5.6213951327757097E-2</v>
      </c>
      <c r="G15" s="162">
        <f t="shared" si="1"/>
        <v>56991.812441394453</v>
      </c>
      <c r="H15" s="165"/>
      <c r="I15" s="166"/>
      <c r="J15" s="167"/>
      <c r="K15" s="168"/>
      <c r="L15" s="166"/>
      <c r="M15" s="162"/>
      <c r="N15" s="169">
        <f t="shared" si="2"/>
        <v>62506.001889454637</v>
      </c>
    </row>
    <row r="16" spans="1:14">
      <c r="A16" s="172" t="s">
        <v>2</v>
      </c>
      <c r="B16" s="190">
        <v>1378</v>
      </c>
      <c r="C16" s="161">
        <f t="shared" si="3"/>
        <v>5.823683543233877E-2</v>
      </c>
      <c r="D16" s="162">
        <f t="shared" si="4"/>
        <v>11044.408516608908</v>
      </c>
      <c r="E16" s="165">
        <f>64213</f>
        <v>64213</v>
      </c>
      <c r="F16" s="161">
        <f t="shared" si="0"/>
        <v>5.9420334111563611E-2</v>
      </c>
      <c r="G16" s="162">
        <f t="shared" si="1"/>
        <v>60242.563579035712</v>
      </c>
      <c r="H16" s="165"/>
      <c r="I16" s="166"/>
      <c r="J16" s="167"/>
      <c r="K16" s="168"/>
      <c r="L16" s="166"/>
      <c r="M16" s="162"/>
      <c r="N16" s="169">
        <f t="shared" si="2"/>
        <v>71286.972095644625</v>
      </c>
    </row>
    <row r="17" spans="1:14">
      <c r="A17" s="173" t="s">
        <v>287</v>
      </c>
      <c r="B17" s="191">
        <v>64</v>
      </c>
      <c r="C17" s="174">
        <f t="shared" si="3"/>
        <v>2.7047586848110896E-3</v>
      </c>
      <c r="D17" s="175">
        <f t="shared" si="4"/>
        <v>512.94785563350524</v>
      </c>
      <c r="E17" s="176">
        <f>4027</f>
        <v>4027</v>
      </c>
      <c r="F17" s="174">
        <f t="shared" si="0"/>
        <v>3.7264367879910093E-3</v>
      </c>
      <c r="G17" s="175">
        <f t="shared" si="1"/>
        <v>3778.0013943092026</v>
      </c>
      <c r="H17" s="176"/>
      <c r="I17" s="177"/>
      <c r="J17" s="178"/>
      <c r="K17" s="179">
        <v>4027</v>
      </c>
      <c r="L17" s="177">
        <f t="shared" si="7"/>
        <v>2.3412790697674418E-2</v>
      </c>
      <c r="M17" s="175">
        <f t="shared" si="8"/>
        <v>3754.8405899418599</v>
      </c>
      <c r="N17" s="180">
        <f t="shared" si="2"/>
        <v>8045.7898398845682</v>
      </c>
    </row>
    <row r="18" spans="1:14">
      <c r="A18" s="171" t="s">
        <v>308</v>
      </c>
      <c r="B18" s="189">
        <v>845</v>
      </c>
      <c r="C18" s="161">
        <f t="shared" si="3"/>
        <v>3.5711267010396418E-2</v>
      </c>
      <c r="D18" s="162">
        <f t="shared" si="4"/>
        <v>6772.5146564111237</v>
      </c>
      <c r="E18" s="165">
        <f>24066</f>
        <v>24066</v>
      </c>
      <c r="F18" s="161">
        <f t="shared" si="0"/>
        <v>2.2269785880256177E-2</v>
      </c>
      <c r="G18" s="162">
        <f t="shared" si="1"/>
        <v>22577.944265072081</v>
      </c>
      <c r="H18" s="165">
        <v>360</v>
      </c>
      <c r="I18" s="166">
        <f t="shared" si="5"/>
        <v>0.14325507361719061</v>
      </c>
      <c r="J18" s="167">
        <f t="shared" si="6"/>
        <v>65057.086987664145</v>
      </c>
      <c r="K18" s="168"/>
      <c r="L18" s="166"/>
      <c r="M18" s="162"/>
      <c r="N18" s="169">
        <f t="shared" si="2"/>
        <v>94407.545909147346</v>
      </c>
    </row>
    <row r="19" spans="1:14">
      <c r="A19" s="171" t="s">
        <v>309</v>
      </c>
      <c r="B19" s="189">
        <v>538</v>
      </c>
      <c r="C19" s="161">
        <f t="shared" si="3"/>
        <v>2.2736877694193223E-2</v>
      </c>
      <c r="D19" s="162">
        <f t="shared" si="4"/>
        <v>4311.9679114191531</v>
      </c>
      <c r="E19" s="165">
        <f>21339</f>
        <v>21339</v>
      </c>
      <c r="F19" s="161">
        <f t="shared" si="0"/>
        <v>1.9746320988065592E-2</v>
      </c>
      <c r="G19" s="162">
        <f t="shared" si="1"/>
        <v>20019.560902201159</v>
      </c>
      <c r="H19" s="165"/>
      <c r="I19" s="166"/>
      <c r="J19" s="167"/>
      <c r="K19" s="168"/>
      <c r="L19" s="166"/>
      <c r="M19" s="162"/>
      <c r="N19" s="169">
        <f t="shared" si="2"/>
        <v>24331.528813620313</v>
      </c>
    </row>
    <row r="20" spans="1:14" ht="16.2" thickBot="1">
      <c r="A20" s="181" t="s">
        <v>310</v>
      </c>
      <c r="B20" s="192">
        <f>SUM(B4:B19)</f>
        <v>23662</v>
      </c>
      <c r="C20" s="193">
        <f t="shared" si="3"/>
        <v>1</v>
      </c>
      <c r="D20" s="158">
        <v>189646.44</v>
      </c>
      <c r="E20" s="159">
        <f>SUM(E4:E19)</f>
        <v>1080657</v>
      </c>
      <c r="F20" s="193">
        <f t="shared" si="0"/>
        <v>1</v>
      </c>
      <c r="G20" s="158">
        <v>1013837.51</v>
      </c>
      <c r="H20" s="159">
        <f>SUM(H4:H19)</f>
        <v>2513</v>
      </c>
      <c r="I20" s="194">
        <f t="shared" si="5"/>
        <v>1</v>
      </c>
      <c r="J20" s="158">
        <v>454134.61</v>
      </c>
      <c r="K20" s="159">
        <f>SUM(K4:K19)</f>
        <v>172000</v>
      </c>
      <c r="L20" s="194">
        <f t="shared" si="7"/>
        <v>1</v>
      </c>
      <c r="M20" s="158">
        <v>160375.60999999999</v>
      </c>
      <c r="N20" s="195">
        <f t="shared" si="2"/>
        <v>1817994.17</v>
      </c>
    </row>
    <row r="21" spans="1:14">
      <c r="A21" s="182" t="s">
        <v>311</v>
      </c>
      <c r="B21" s="182"/>
      <c r="C21" s="183"/>
      <c r="D21" s="184"/>
      <c r="E21" s="184"/>
      <c r="F21" s="183"/>
      <c r="G21" s="184"/>
      <c r="H21" s="184"/>
      <c r="I21" s="183"/>
      <c r="J21" s="184"/>
      <c r="K21" s="184"/>
      <c r="L21" s="184"/>
      <c r="M21" s="184"/>
      <c r="N21" s="185"/>
    </row>
    <row r="22" spans="1:14">
      <c r="A22" s="182" t="s">
        <v>312</v>
      </c>
      <c r="B22" s="182"/>
      <c r="C22" s="183"/>
      <c r="D22" s="184"/>
      <c r="E22" s="184"/>
      <c r="F22" s="183"/>
      <c r="G22" s="184"/>
      <c r="H22" s="184"/>
      <c r="I22" s="183"/>
      <c r="J22" s="184"/>
      <c r="K22" s="184"/>
      <c r="L22" s="184"/>
      <c r="M22" s="184"/>
      <c r="N22" s="185"/>
    </row>
    <row r="25" spans="1:14" ht="16.2" thickBot="1">
      <c r="A25" s="186" t="s">
        <v>314</v>
      </c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7" t="s">
        <v>356</v>
      </c>
    </row>
    <row r="26" spans="1:14">
      <c r="A26" s="460" t="s">
        <v>288</v>
      </c>
      <c r="B26" s="462" t="s">
        <v>289</v>
      </c>
      <c r="C26" s="462"/>
      <c r="D26" s="462"/>
      <c r="E26" s="462" t="s">
        <v>290</v>
      </c>
      <c r="F26" s="462"/>
      <c r="G26" s="462"/>
      <c r="H26" s="462" t="s">
        <v>291</v>
      </c>
      <c r="I26" s="462"/>
      <c r="J26" s="462"/>
      <c r="K26" s="463" t="s">
        <v>286</v>
      </c>
      <c r="L26" s="463"/>
      <c r="M26" s="463"/>
      <c r="N26" s="160" t="s">
        <v>292</v>
      </c>
    </row>
    <row r="27" spans="1:14">
      <c r="A27" s="461"/>
      <c r="B27" s="162" t="s">
        <v>293</v>
      </c>
      <c r="C27" s="161" t="s">
        <v>294</v>
      </c>
      <c r="D27" s="162" t="s">
        <v>295</v>
      </c>
      <c r="E27" s="162" t="s">
        <v>293</v>
      </c>
      <c r="F27" s="161" t="s">
        <v>294</v>
      </c>
      <c r="G27" s="162" t="s">
        <v>295</v>
      </c>
      <c r="H27" s="162" t="s">
        <v>293</v>
      </c>
      <c r="I27" s="161" t="s">
        <v>294</v>
      </c>
      <c r="J27" s="162" t="s">
        <v>295</v>
      </c>
      <c r="K27" s="162" t="s">
        <v>293</v>
      </c>
      <c r="L27" s="162" t="s">
        <v>294</v>
      </c>
      <c r="M27" s="162" t="s">
        <v>295</v>
      </c>
      <c r="N27" s="163" t="s">
        <v>296</v>
      </c>
    </row>
    <row r="28" spans="1:14" ht="16.2">
      <c r="A28" s="164" t="s">
        <v>297</v>
      </c>
      <c r="B28" s="188">
        <v>5782</v>
      </c>
      <c r="C28" s="161">
        <f>B28/B$44</f>
        <v>0.23216221642240514</v>
      </c>
      <c r="D28" s="162">
        <f>C28*D$44</f>
        <v>37207.983728568557</v>
      </c>
      <c r="E28" s="165">
        <f>104950+10885</f>
        <v>115835</v>
      </c>
      <c r="F28" s="161">
        <f>E28/E$44</f>
        <v>0.11213401677629828</v>
      </c>
      <c r="G28" s="162">
        <f>F28*G$44</f>
        <v>93302.102166107623</v>
      </c>
      <c r="H28" s="165">
        <v>600</v>
      </c>
      <c r="I28" s="166">
        <f>H28/H$44</f>
        <v>0.13333333333333333</v>
      </c>
      <c r="J28" s="167">
        <f>I28*J$44</f>
        <v>110293.73333333334</v>
      </c>
      <c r="K28" s="168">
        <v>10885</v>
      </c>
      <c r="L28" s="166">
        <f>K28/K$44</f>
        <v>9.3998272884283252E-2</v>
      </c>
      <c r="M28" s="162">
        <f>L28*M$44</f>
        <v>10981.015475820381</v>
      </c>
      <c r="N28" s="169">
        <f>M28+J28+G28+D28</f>
        <v>251784.83470382993</v>
      </c>
    </row>
    <row r="29" spans="1:14" ht="16.2">
      <c r="A29" s="164" t="s">
        <v>298</v>
      </c>
      <c r="B29" s="188"/>
      <c r="C29" s="161"/>
      <c r="D29" s="162"/>
      <c r="E29" s="165">
        <f>57264</f>
        <v>57264</v>
      </c>
      <c r="F29" s="161">
        <f t="shared" ref="F29:F44" si="9">E29/E$44</f>
        <v>5.5434388023291273E-2</v>
      </c>
      <c r="G29" s="162">
        <f t="shared" ref="G29:G43" si="10">F29*G$44</f>
        <v>46124.673703457389</v>
      </c>
      <c r="H29" s="165"/>
      <c r="I29" s="166"/>
      <c r="J29" s="167"/>
      <c r="K29" s="168"/>
      <c r="L29" s="166"/>
      <c r="M29" s="162"/>
      <c r="N29" s="169">
        <f t="shared" ref="N29:N44" si="11">M29+J29+G29+D29</f>
        <v>46124.673703457389</v>
      </c>
    </row>
    <row r="30" spans="1:14" ht="16.2">
      <c r="A30" s="164" t="s">
        <v>299</v>
      </c>
      <c r="B30" s="188">
        <v>607</v>
      </c>
      <c r="C30" s="161">
        <f t="shared" ref="C30:C44" si="12">B30/B$44</f>
        <v>2.4372615940574181E-2</v>
      </c>
      <c r="D30" s="162">
        <f t="shared" ref="D30:D43" si="13">C30*D$44</f>
        <v>3906.1304260188713</v>
      </c>
      <c r="E30" s="165">
        <f>47968+13664</f>
        <v>61632</v>
      </c>
      <c r="F30" s="161">
        <f t="shared" si="9"/>
        <v>5.9662828350298402E-2</v>
      </c>
      <c r="G30" s="162">
        <f t="shared" si="10"/>
        <v>49642.98494152497</v>
      </c>
      <c r="H30" s="165">
        <v>700</v>
      </c>
      <c r="I30" s="166">
        <f t="shared" ref="I30:I44" si="14">H30/H$44</f>
        <v>0.15555555555555556</v>
      </c>
      <c r="J30" s="167">
        <f t="shared" ref="J30:J42" si="15">I30*J$44</f>
        <v>128676.02222222222</v>
      </c>
      <c r="K30" s="168">
        <v>13664</v>
      </c>
      <c r="L30" s="166">
        <f t="shared" ref="L30:L44" si="16">K30/K$44</f>
        <v>0.1179965457685665</v>
      </c>
      <c r="M30" s="162">
        <f t="shared" ref="M30:M41" si="17">L30*M$44</f>
        <v>13784.528751640761</v>
      </c>
      <c r="N30" s="169">
        <f>M30+J30+G30+D30-0.01</f>
        <v>196009.65634140684</v>
      </c>
    </row>
    <row r="31" spans="1:14" ht="16.2">
      <c r="A31" s="164" t="s">
        <v>300</v>
      </c>
      <c r="B31" s="188">
        <v>270</v>
      </c>
      <c r="C31" s="161">
        <f t="shared" si="12"/>
        <v>1.0841196546878137E-2</v>
      </c>
      <c r="D31" s="162">
        <f t="shared" si="13"/>
        <v>1737.4879983938968</v>
      </c>
      <c r="E31" s="165">
        <f>25568+10885</f>
        <v>36453</v>
      </c>
      <c r="F31" s="161">
        <f t="shared" si="9"/>
        <v>3.5288309349906344E-2</v>
      </c>
      <c r="G31" s="162">
        <f t="shared" si="10"/>
        <v>29361.950449010412</v>
      </c>
      <c r="H31" s="165">
        <v>200</v>
      </c>
      <c r="I31" s="166">
        <f t="shared" si="14"/>
        <v>4.4444444444444446E-2</v>
      </c>
      <c r="J31" s="167">
        <f t="shared" si="15"/>
        <v>36764.577777777777</v>
      </c>
      <c r="K31" s="168">
        <v>10885</v>
      </c>
      <c r="L31" s="166">
        <f t="shared" si="16"/>
        <v>9.3998272884283252E-2</v>
      </c>
      <c r="M31" s="162">
        <f t="shared" si="17"/>
        <v>10981.015475820381</v>
      </c>
      <c r="N31" s="169">
        <f>M31+J31+G31+D31+0.01</f>
        <v>78845.041701002468</v>
      </c>
    </row>
    <row r="32" spans="1:14" ht="16.2">
      <c r="A32" s="164" t="s">
        <v>301</v>
      </c>
      <c r="B32" s="188">
        <v>6462</v>
      </c>
      <c r="C32" s="161">
        <f t="shared" si="12"/>
        <v>0.25946597068861676</v>
      </c>
      <c r="D32" s="162">
        <f>C32*D$44+0.01</f>
        <v>41583.889428227267</v>
      </c>
      <c r="E32" s="165">
        <f>132889+25939</f>
        <v>158828</v>
      </c>
      <c r="F32" s="161">
        <f t="shared" si="9"/>
        <v>0.15375337002241035</v>
      </c>
      <c r="G32" s="162">
        <f t="shared" si="10"/>
        <v>127931.85378200492</v>
      </c>
      <c r="H32" s="165">
        <v>680</v>
      </c>
      <c r="I32" s="166">
        <f t="shared" si="14"/>
        <v>0.15111111111111111</v>
      </c>
      <c r="J32" s="167">
        <f t="shared" si="15"/>
        <v>124999.56444444445</v>
      </c>
      <c r="K32" s="168">
        <v>25939</v>
      </c>
      <c r="L32" s="166">
        <f t="shared" si="16"/>
        <v>0.22399827288428326</v>
      </c>
      <c r="M32" s="162">
        <f t="shared" si="17"/>
        <v>26167.805275820381</v>
      </c>
      <c r="N32" s="169">
        <f t="shared" si="11"/>
        <v>320683.11293049704</v>
      </c>
    </row>
    <row r="33" spans="1:14" ht="16.2">
      <c r="A33" s="164" t="s">
        <v>302</v>
      </c>
      <c r="B33" s="188">
        <v>4581</v>
      </c>
      <c r="C33" s="161">
        <f t="shared" si="12"/>
        <v>0.18393896807869906</v>
      </c>
      <c r="D33" s="162">
        <f t="shared" si="13"/>
        <v>29479.379706083113</v>
      </c>
      <c r="E33" s="165">
        <f>166530+25939</f>
        <v>192469</v>
      </c>
      <c r="F33" s="161">
        <f t="shared" si="9"/>
        <v>0.18631952410685332</v>
      </c>
      <c r="G33" s="162">
        <f>F33*G$44+0.02</f>
        <v>155028.83082409087</v>
      </c>
      <c r="H33" s="165">
        <v>580</v>
      </c>
      <c r="I33" s="166">
        <f t="shared" si="14"/>
        <v>0.12888888888888889</v>
      </c>
      <c r="J33" s="167">
        <f t="shared" si="15"/>
        <v>106617.27555555555</v>
      </c>
      <c r="K33" s="168">
        <v>25939</v>
      </c>
      <c r="L33" s="166">
        <f t="shared" si="16"/>
        <v>0.22399827288428326</v>
      </c>
      <c r="M33" s="162">
        <f t="shared" si="17"/>
        <v>26167.805275820381</v>
      </c>
      <c r="N33" s="169">
        <f>M33+J33+G33+D33+0.01</f>
        <v>317293.30136154988</v>
      </c>
    </row>
    <row r="34" spans="1:14" ht="16.2">
      <c r="A34" s="164" t="s">
        <v>303</v>
      </c>
      <c r="B34" s="188">
        <v>3370</v>
      </c>
      <c r="C34" s="161">
        <f t="shared" si="12"/>
        <v>0.13531419393696045</v>
      </c>
      <c r="D34" s="162">
        <f>C34*D$44-0.01</f>
        <v>21686.41427624975</v>
      </c>
      <c r="E34" s="165">
        <f>159484+23740</f>
        <v>183224</v>
      </c>
      <c r="F34" s="161">
        <f t="shared" si="9"/>
        <v>0.17736990624440346</v>
      </c>
      <c r="G34" s="162">
        <f t="shared" si="10"/>
        <v>147582.20198802522</v>
      </c>
      <c r="H34" s="165">
        <v>1040</v>
      </c>
      <c r="I34" s="166">
        <f t="shared" si="14"/>
        <v>0.2311111111111111</v>
      </c>
      <c r="J34" s="167">
        <f>I34*J$44+0.01</f>
        <v>191175.81444444443</v>
      </c>
      <c r="K34" s="168">
        <v>23740</v>
      </c>
      <c r="L34" s="166">
        <f t="shared" si="16"/>
        <v>0.20500863557858376</v>
      </c>
      <c r="M34" s="162">
        <f t="shared" si="17"/>
        <v>23949.408120898101</v>
      </c>
      <c r="N34" s="169">
        <f>M34+J34+G34+D34-0.01</f>
        <v>384393.82882961753</v>
      </c>
    </row>
    <row r="35" spans="1:14" ht="16.2">
      <c r="A35" s="164" t="s">
        <v>304</v>
      </c>
      <c r="B35" s="188">
        <v>57</v>
      </c>
      <c r="C35" s="161">
        <f t="shared" si="12"/>
        <v>2.2886970487853843E-3</v>
      </c>
      <c r="D35" s="162">
        <f t="shared" si="13"/>
        <v>366.80302188315596</v>
      </c>
      <c r="E35" s="165">
        <f>1132+0</f>
        <v>1132</v>
      </c>
      <c r="F35" s="161">
        <f t="shared" si="9"/>
        <v>1.0958320627683313E-3</v>
      </c>
      <c r="G35" s="162">
        <f t="shared" si="10"/>
        <v>911.79677689846608</v>
      </c>
      <c r="H35" s="165">
        <v>50</v>
      </c>
      <c r="I35" s="166">
        <f t="shared" si="14"/>
        <v>1.1111111111111112E-2</v>
      </c>
      <c r="J35" s="167">
        <f t="shared" si="15"/>
        <v>9191.1444444444442</v>
      </c>
      <c r="K35" s="168"/>
      <c r="L35" s="166"/>
      <c r="M35" s="162"/>
      <c r="N35" s="169">
        <f t="shared" si="11"/>
        <v>10469.744243226065</v>
      </c>
    </row>
    <row r="36" spans="1:14" ht="16.2">
      <c r="A36" s="164" t="s">
        <v>305</v>
      </c>
      <c r="B36" s="188">
        <v>142</v>
      </c>
      <c r="C36" s="161">
        <f t="shared" si="12"/>
        <v>5.7016663320618348E-3</v>
      </c>
      <c r="D36" s="162">
        <f t="shared" si="13"/>
        <v>913.78998434049379</v>
      </c>
      <c r="E36" s="165">
        <f>8857</f>
        <v>8857</v>
      </c>
      <c r="F36" s="161">
        <f t="shared" si="9"/>
        <v>8.5740146465893199E-3</v>
      </c>
      <c r="G36" s="162">
        <f t="shared" si="10"/>
        <v>7134.0848524644125</v>
      </c>
      <c r="H36" s="165"/>
      <c r="I36" s="166"/>
      <c r="J36" s="167"/>
      <c r="K36" s="168"/>
      <c r="L36" s="166"/>
      <c r="M36" s="162"/>
      <c r="N36" s="403">
        <f t="shared" si="11"/>
        <v>8047.8748368049064</v>
      </c>
    </row>
    <row r="37" spans="1:14" ht="16.2">
      <c r="A37" s="164" t="s">
        <v>306</v>
      </c>
      <c r="B37" s="188"/>
      <c r="C37" s="161"/>
      <c r="D37" s="162"/>
      <c r="E37" s="165">
        <v>1699</v>
      </c>
      <c r="F37" s="161">
        <f t="shared" si="9"/>
        <v>1.6447161436779106E-3</v>
      </c>
      <c r="G37" s="162">
        <f t="shared" si="10"/>
        <v>1368.5006395322384</v>
      </c>
      <c r="H37" s="165"/>
      <c r="I37" s="166"/>
      <c r="J37" s="167"/>
      <c r="K37" s="168"/>
      <c r="L37" s="166"/>
      <c r="M37" s="162"/>
      <c r="N37" s="169">
        <f t="shared" si="11"/>
        <v>1368.5006395322384</v>
      </c>
    </row>
    <row r="38" spans="1:14">
      <c r="A38" s="170" t="s">
        <v>1</v>
      </c>
      <c r="B38" s="188">
        <v>19</v>
      </c>
      <c r="C38" s="161">
        <f t="shared" si="12"/>
        <v>7.628990162617948E-4</v>
      </c>
      <c r="D38" s="162">
        <f t="shared" si="13"/>
        <v>122.26767396105198</v>
      </c>
      <c r="E38" s="165">
        <v>23537</v>
      </c>
      <c r="F38" s="161">
        <f t="shared" si="9"/>
        <v>2.2784981679662732E-2</v>
      </c>
      <c r="G38" s="162">
        <f t="shared" si="10"/>
        <v>18958.445881501058</v>
      </c>
      <c r="H38" s="165"/>
      <c r="I38" s="166"/>
      <c r="J38" s="167"/>
      <c r="K38" s="168"/>
      <c r="L38" s="166"/>
      <c r="M38" s="162"/>
      <c r="N38" s="169">
        <f>M38+J38+G38+D38+0.01</f>
        <v>19080.723555462107</v>
      </c>
    </row>
    <row r="39" spans="1:14">
      <c r="A39" s="171" t="s">
        <v>307</v>
      </c>
      <c r="B39" s="189">
        <v>991</v>
      </c>
      <c r="C39" s="161">
        <f t="shared" si="12"/>
        <v>3.9791206585023088E-2</v>
      </c>
      <c r="D39" s="162">
        <f t="shared" si="13"/>
        <v>6377.2244681790798</v>
      </c>
      <c r="E39" s="165">
        <v>68183</v>
      </c>
      <c r="F39" s="161">
        <f t="shared" si="9"/>
        <v>6.6004520791283688E-2</v>
      </c>
      <c r="G39" s="162">
        <f t="shared" si="10"/>
        <v>54919.646324441805</v>
      </c>
      <c r="H39" s="165">
        <v>50</v>
      </c>
      <c r="I39" s="166">
        <f t="shared" si="14"/>
        <v>1.1111111111111112E-2</v>
      </c>
      <c r="J39" s="167">
        <f t="shared" si="15"/>
        <v>9191.1444444444442</v>
      </c>
      <c r="K39" s="168"/>
      <c r="L39" s="166"/>
      <c r="M39" s="162"/>
      <c r="N39" s="169">
        <f>M39+J39+G39+D39-0.01</f>
        <v>70488.005237065328</v>
      </c>
    </row>
    <row r="40" spans="1:14">
      <c r="A40" s="172" t="s">
        <v>2</v>
      </c>
      <c r="B40" s="190">
        <v>797</v>
      </c>
      <c r="C40" s="161">
        <f t="shared" si="12"/>
        <v>3.200160610319213E-2</v>
      </c>
      <c r="D40" s="162">
        <f t="shared" si="13"/>
        <v>5128.8071656293914</v>
      </c>
      <c r="E40" s="165">
        <v>60914</v>
      </c>
      <c r="F40" s="161">
        <f t="shared" si="9"/>
        <v>5.8967768791051353E-2</v>
      </c>
      <c r="G40" s="162">
        <f t="shared" si="10"/>
        <v>49064.654477025768</v>
      </c>
      <c r="H40" s="165"/>
      <c r="I40" s="166"/>
      <c r="J40" s="167"/>
      <c r="K40" s="168"/>
      <c r="L40" s="166"/>
      <c r="M40" s="162"/>
      <c r="N40" s="169">
        <f t="shared" si="11"/>
        <v>54193.461642655158</v>
      </c>
    </row>
    <row r="41" spans="1:14">
      <c r="A41" s="173" t="s">
        <v>287</v>
      </c>
      <c r="B41" s="191">
        <v>90</v>
      </c>
      <c r="C41" s="174">
        <f t="shared" si="12"/>
        <v>3.6137321822927123E-3</v>
      </c>
      <c r="D41" s="175">
        <f t="shared" si="13"/>
        <v>579.16266613129892</v>
      </c>
      <c r="E41" s="176">
        <v>4748</v>
      </c>
      <c r="F41" s="174">
        <f t="shared" si="9"/>
        <v>4.5962991466643437E-3</v>
      </c>
      <c r="G41" s="175">
        <f t="shared" si="10"/>
        <v>3824.3914281925067</v>
      </c>
      <c r="H41" s="176"/>
      <c r="I41" s="177"/>
      <c r="J41" s="178"/>
      <c r="K41" s="179">
        <v>4748</v>
      </c>
      <c r="L41" s="177">
        <f t="shared" si="16"/>
        <v>4.100172711571675E-2</v>
      </c>
      <c r="M41" s="175">
        <f t="shared" si="17"/>
        <v>4789.8816241796203</v>
      </c>
      <c r="N41" s="180">
        <f>M41+J41+G41+D41-0.01</f>
        <v>9193.4257185034257</v>
      </c>
    </row>
    <row r="42" spans="1:14">
      <c r="A42" s="171" t="s">
        <v>308</v>
      </c>
      <c r="B42" s="189">
        <v>1123</v>
      </c>
      <c r="C42" s="161">
        <f t="shared" si="12"/>
        <v>4.5091347119052397E-2</v>
      </c>
      <c r="D42" s="162">
        <f t="shared" si="13"/>
        <v>7226.6630451716519</v>
      </c>
      <c r="E42" s="165">
        <v>24209</v>
      </c>
      <c r="F42" s="161">
        <f t="shared" si="9"/>
        <v>2.3435510960740751E-2</v>
      </c>
      <c r="G42" s="162">
        <f t="shared" si="10"/>
        <v>19499.724533511453</v>
      </c>
      <c r="H42" s="165">
        <v>600</v>
      </c>
      <c r="I42" s="166">
        <f t="shared" si="14"/>
        <v>0.13333333333333333</v>
      </c>
      <c r="J42" s="167">
        <f t="shared" si="15"/>
        <v>110293.73333333334</v>
      </c>
      <c r="K42" s="168"/>
      <c r="L42" s="166"/>
      <c r="M42" s="162"/>
      <c r="N42" s="169">
        <f>M42+J42+G42+D42-0.01</f>
        <v>137020.11091201645</v>
      </c>
    </row>
    <row r="43" spans="1:14">
      <c r="A43" s="171" t="s">
        <v>309</v>
      </c>
      <c r="B43" s="189">
        <v>614</v>
      </c>
      <c r="C43" s="161">
        <f t="shared" si="12"/>
        <v>2.465368399919695E-2</v>
      </c>
      <c r="D43" s="162">
        <f t="shared" si="13"/>
        <v>3951.1764111624175</v>
      </c>
      <c r="E43" s="165">
        <v>34021</v>
      </c>
      <c r="F43" s="161">
        <f t="shared" si="9"/>
        <v>3.2934012904100175E-2</v>
      </c>
      <c r="G43" s="162">
        <f t="shared" si="10"/>
        <v>27403.037232210881</v>
      </c>
      <c r="H43" s="165">
        <v>0</v>
      </c>
      <c r="I43" s="166"/>
      <c r="J43" s="167"/>
      <c r="K43" s="168"/>
      <c r="L43" s="166"/>
      <c r="M43" s="162"/>
      <c r="N43" s="169">
        <f>M43+J43+G43+D43+0.01</f>
        <v>31354.223643373298</v>
      </c>
    </row>
    <row r="44" spans="1:14" ht="16.2" thickBot="1">
      <c r="A44" s="181" t="s">
        <v>310</v>
      </c>
      <c r="B44" s="192">
        <f>SUM(B28:B43)</f>
        <v>24905</v>
      </c>
      <c r="C44" s="193">
        <f t="shared" si="12"/>
        <v>1</v>
      </c>
      <c r="D44" s="158">
        <v>160267.18</v>
      </c>
      <c r="E44" s="159">
        <f>SUM(E28:E43)</f>
        <v>1033005</v>
      </c>
      <c r="F44" s="193">
        <f t="shared" si="9"/>
        <v>1</v>
      </c>
      <c r="G44" s="158">
        <v>832058.86</v>
      </c>
      <c r="H44" s="159">
        <f>SUM(H28:H43)</f>
        <v>4500</v>
      </c>
      <c r="I44" s="194">
        <f t="shared" si="14"/>
        <v>1</v>
      </c>
      <c r="J44" s="158">
        <v>827203</v>
      </c>
      <c r="K44" s="159">
        <f>SUM(K28:K43)</f>
        <v>115800</v>
      </c>
      <c r="L44" s="194">
        <f t="shared" si="16"/>
        <v>1</v>
      </c>
      <c r="M44" s="158">
        <v>116821.46</v>
      </c>
      <c r="N44" s="394">
        <f t="shared" si="11"/>
        <v>1936350.4999999998</v>
      </c>
    </row>
    <row r="45" spans="1:14">
      <c r="A45" s="182" t="s">
        <v>311</v>
      </c>
      <c r="B45" s="182"/>
      <c r="C45" s="183"/>
      <c r="D45" s="184"/>
      <c r="E45" s="184"/>
      <c r="F45" s="183"/>
      <c r="G45" s="184"/>
      <c r="H45" s="184"/>
      <c r="I45" s="183"/>
      <c r="J45" s="184"/>
      <c r="K45" s="184"/>
      <c r="L45" s="184"/>
      <c r="M45" s="184"/>
      <c r="N45" s="185"/>
    </row>
    <row r="46" spans="1:14">
      <c r="A46" s="182" t="s">
        <v>312</v>
      </c>
      <c r="B46" s="182"/>
      <c r="C46" s="183"/>
      <c r="D46" s="184"/>
      <c r="E46" s="184"/>
      <c r="F46" s="183"/>
      <c r="G46" s="184"/>
      <c r="H46" s="184"/>
      <c r="I46" s="183"/>
      <c r="J46" s="184"/>
      <c r="K46" s="184"/>
      <c r="L46" s="184"/>
      <c r="M46" s="184"/>
      <c r="N46" s="185"/>
    </row>
    <row r="49" spans="1:14" ht="16.2" thickBot="1">
      <c r="A49" s="186" t="s">
        <v>314</v>
      </c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7" t="s">
        <v>399</v>
      </c>
    </row>
    <row r="50" spans="1:14">
      <c r="A50" s="460" t="s">
        <v>288</v>
      </c>
      <c r="B50" s="462" t="s">
        <v>289</v>
      </c>
      <c r="C50" s="462"/>
      <c r="D50" s="462"/>
      <c r="E50" s="462" t="s">
        <v>290</v>
      </c>
      <c r="F50" s="462"/>
      <c r="G50" s="462"/>
      <c r="H50" s="462" t="s">
        <v>291</v>
      </c>
      <c r="I50" s="462"/>
      <c r="J50" s="462"/>
      <c r="K50" s="463" t="s">
        <v>286</v>
      </c>
      <c r="L50" s="463"/>
      <c r="M50" s="463"/>
      <c r="N50" s="160" t="s">
        <v>292</v>
      </c>
    </row>
    <row r="51" spans="1:14">
      <c r="A51" s="461"/>
      <c r="B51" s="162" t="s">
        <v>293</v>
      </c>
      <c r="C51" s="161" t="s">
        <v>294</v>
      </c>
      <c r="D51" s="162" t="s">
        <v>295</v>
      </c>
      <c r="E51" s="162" t="s">
        <v>293</v>
      </c>
      <c r="F51" s="161" t="s">
        <v>294</v>
      </c>
      <c r="G51" s="162" t="s">
        <v>295</v>
      </c>
      <c r="H51" s="162" t="s">
        <v>293</v>
      </c>
      <c r="I51" s="161" t="s">
        <v>294</v>
      </c>
      <c r="J51" s="162" t="s">
        <v>295</v>
      </c>
      <c r="K51" s="162" t="s">
        <v>293</v>
      </c>
      <c r="L51" s="162" t="s">
        <v>294</v>
      </c>
      <c r="M51" s="162" t="s">
        <v>295</v>
      </c>
      <c r="N51" s="163" t="s">
        <v>296</v>
      </c>
    </row>
    <row r="52" spans="1:14" ht="16.2">
      <c r="A52" s="164" t="s">
        <v>297</v>
      </c>
      <c r="B52" s="188">
        <v>202</v>
      </c>
      <c r="C52" s="161">
        <f>B52/B$68</f>
        <v>7.5749053136835789E-3</v>
      </c>
      <c r="D52" s="162">
        <f>C52*D$68</f>
        <v>1397.3442981962726</v>
      </c>
      <c r="E52" s="165">
        <f>21514</f>
        <v>21514</v>
      </c>
      <c r="F52" s="161">
        <f>E52/E$68</f>
        <v>1.7381145892074346E-2</v>
      </c>
      <c r="G52" s="162">
        <f>F52*G$68</f>
        <v>18347.972653755358</v>
      </c>
      <c r="H52" s="165">
        <v>50</v>
      </c>
      <c r="I52" s="166">
        <f>H52/H$68</f>
        <v>1.5625E-2</v>
      </c>
      <c r="J52" s="167">
        <f>I52*J$68</f>
        <v>8862.4651562500003</v>
      </c>
      <c r="K52" s="168">
        <v>0</v>
      </c>
      <c r="L52" s="166"/>
      <c r="M52" s="162"/>
      <c r="N52" s="169">
        <f>M52+J52+G52+D52</f>
        <v>28607.782108201631</v>
      </c>
    </row>
    <row r="53" spans="1:14" ht="16.2">
      <c r="A53" s="164" t="s">
        <v>298</v>
      </c>
      <c r="B53" s="188">
        <v>5648</v>
      </c>
      <c r="C53" s="161">
        <f t="shared" ref="C53:C68" si="18">B53/B$68</f>
        <v>0.21179735253309334</v>
      </c>
      <c r="D53" s="162">
        <f t="shared" ref="D53:D67" si="19">C53*D$68</f>
        <v>39070.299981250238</v>
      </c>
      <c r="E53" s="165">
        <f>242490+17421</f>
        <v>259911</v>
      </c>
      <c r="F53" s="161">
        <f t="shared" ref="F53:F68" si="20">E53/E$68</f>
        <v>0.20998191921329995</v>
      </c>
      <c r="G53" s="162">
        <f t="shared" ref="G53:G67" si="21">F53*G$68</f>
        <v>221662.16976899735</v>
      </c>
      <c r="H53" s="165">
        <v>490</v>
      </c>
      <c r="I53" s="166">
        <f t="shared" ref="I53:I68" si="22">H53/H$68</f>
        <v>0.15312500000000001</v>
      </c>
      <c r="J53" s="167">
        <f t="shared" ref="J53:J66" si="23">I53*J$68</f>
        <v>86852.15853125001</v>
      </c>
      <c r="K53" s="168">
        <v>17421</v>
      </c>
      <c r="L53" s="166">
        <f t="shared" ref="L53:L68" si="24">K53/K$68</f>
        <v>6.9262881679389307E-2</v>
      </c>
      <c r="M53" s="162">
        <f t="shared" ref="M53:M65" si="25">L53*M$68</f>
        <v>8503.7530687022881</v>
      </c>
      <c r="N53" s="169">
        <f t="shared" ref="N53:N67" si="26">M53+J53+G53+D53</f>
        <v>356088.38135019987</v>
      </c>
    </row>
    <row r="54" spans="1:14" ht="16.2">
      <c r="A54" s="164" t="s">
        <v>299</v>
      </c>
      <c r="B54" s="188">
        <v>678</v>
      </c>
      <c r="C54" s="161">
        <f t="shared" si="18"/>
        <v>2.5424682191472606E-2</v>
      </c>
      <c r="D54" s="162">
        <f t="shared" si="19"/>
        <v>4690.0962087973903</v>
      </c>
      <c r="E54" s="165">
        <f>18325+1306</f>
        <v>19631</v>
      </c>
      <c r="F54" s="161">
        <f t="shared" si="20"/>
        <v>1.5859871479376755E-2</v>
      </c>
      <c r="G54" s="162">
        <f t="shared" si="21"/>
        <v>16742.077306213232</v>
      </c>
      <c r="H54" s="165">
        <v>150</v>
      </c>
      <c r="I54" s="166">
        <f t="shared" si="22"/>
        <v>4.6875E-2</v>
      </c>
      <c r="J54" s="167">
        <f t="shared" si="23"/>
        <v>26587.395468750001</v>
      </c>
      <c r="K54" s="168">
        <v>1306</v>
      </c>
      <c r="L54" s="166">
        <f t="shared" si="24"/>
        <v>5.1924300254452922E-3</v>
      </c>
      <c r="M54" s="162">
        <f t="shared" si="25"/>
        <v>637.50080407124676</v>
      </c>
      <c r="N54" s="169">
        <f t="shared" si="26"/>
        <v>48657.069787831868</v>
      </c>
    </row>
    <row r="55" spans="1:14" ht="16.2">
      <c r="A55" s="164" t="s">
        <v>300</v>
      </c>
      <c r="B55" s="188">
        <v>315</v>
      </c>
      <c r="C55" s="161">
        <f t="shared" si="18"/>
        <v>1.181235234559568E-2</v>
      </c>
      <c r="D55" s="162">
        <f t="shared" si="19"/>
        <v>2179.0269996625043</v>
      </c>
      <c r="E55" s="165">
        <f>34426+15244</f>
        <v>49670</v>
      </c>
      <c r="F55" s="161">
        <f t="shared" si="20"/>
        <v>4.0128359043382578E-2</v>
      </c>
      <c r="G55" s="162">
        <f t="shared" si="21"/>
        <v>42360.500219021509</v>
      </c>
      <c r="H55" s="165">
        <v>50</v>
      </c>
      <c r="I55" s="166">
        <f t="shared" si="22"/>
        <v>1.5625E-2</v>
      </c>
      <c r="J55" s="167">
        <f t="shared" si="23"/>
        <v>8862.4651562500003</v>
      </c>
      <c r="K55" s="168">
        <v>15244</v>
      </c>
      <c r="L55" s="166">
        <f t="shared" si="24"/>
        <v>6.0607506361323157E-2</v>
      </c>
      <c r="M55" s="162">
        <f t="shared" si="25"/>
        <v>7441.0890178117052</v>
      </c>
      <c r="N55" s="169">
        <f t="shared" si="26"/>
        <v>60843.08139274572</v>
      </c>
    </row>
    <row r="56" spans="1:14" ht="16.2">
      <c r="A56" s="164" t="s">
        <v>301</v>
      </c>
      <c r="B56" s="188">
        <v>7015</v>
      </c>
      <c r="C56" s="161">
        <f t="shared" si="18"/>
        <v>0.26305921175985303</v>
      </c>
      <c r="D56" s="162">
        <f t="shared" si="19"/>
        <v>48526.585405182443</v>
      </c>
      <c r="E56" s="165">
        <f>131603+62281</f>
        <v>193884</v>
      </c>
      <c r="F56" s="161">
        <f t="shared" si="20"/>
        <v>0.15663875105228886</v>
      </c>
      <c r="G56" s="162">
        <f t="shared" si="21"/>
        <v>165351.78627873497</v>
      </c>
      <c r="H56" s="165">
        <v>580</v>
      </c>
      <c r="I56" s="166">
        <f t="shared" si="22"/>
        <v>0.18124999999999999</v>
      </c>
      <c r="J56" s="167">
        <f t="shared" si="23"/>
        <v>102804.5958125</v>
      </c>
      <c r="K56" s="168">
        <v>62281</v>
      </c>
      <c r="L56" s="166">
        <f t="shared" si="24"/>
        <v>0.2476184796437659</v>
      </c>
      <c r="M56" s="162">
        <f t="shared" si="25"/>
        <v>30401.368743002542</v>
      </c>
      <c r="N56" s="169">
        <f t="shared" si="26"/>
        <v>347084.33623941999</v>
      </c>
    </row>
    <row r="57" spans="1:14" ht="16.2">
      <c r="A57" s="164" t="s">
        <v>302</v>
      </c>
      <c r="B57" s="188">
        <v>4978</v>
      </c>
      <c r="C57" s="161">
        <f t="shared" si="18"/>
        <v>0.18667266659166759</v>
      </c>
      <c r="D57" s="162">
        <f t="shared" si="19"/>
        <v>34435.544140698243</v>
      </c>
      <c r="E57" s="165">
        <f>166817+65112</f>
        <v>231929</v>
      </c>
      <c r="F57" s="161">
        <f t="shared" si="20"/>
        <v>0.18737528054303759</v>
      </c>
      <c r="G57" s="162">
        <f t="shared" si="21"/>
        <v>197798.03614450249</v>
      </c>
      <c r="H57" s="165">
        <v>480</v>
      </c>
      <c r="I57" s="166">
        <f t="shared" si="22"/>
        <v>0.15</v>
      </c>
      <c r="J57" s="167">
        <f t="shared" si="23"/>
        <v>85079.665500000003</v>
      </c>
      <c r="K57" s="168">
        <v>65112</v>
      </c>
      <c r="L57" s="166">
        <f t="shared" si="24"/>
        <v>0.25887404580152673</v>
      </c>
      <c r="M57" s="162">
        <f t="shared" si="25"/>
        <v>31783.271328244275</v>
      </c>
      <c r="N57" s="169">
        <f t="shared" si="26"/>
        <v>349096.51711344498</v>
      </c>
    </row>
    <row r="58" spans="1:14" ht="16.2">
      <c r="A58" s="164" t="s">
        <v>303</v>
      </c>
      <c r="B58" s="188">
        <v>2949</v>
      </c>
      <c r="C58" s="161">
        <f t="shared" si="18"/>
        <v>0.11058611767352908</v>
      </c>
      <c r="D58" s="162">
        <f t="shared" si="19"/>
        <v>20399.843244459444</v>
      </c>
      <c r="E58" s="165">
        <f>159902+47909</f>
        <v>207811</v>
      </c>
      <c r="F58" s="161">
        <f t="shared" si="20"/>
        <v>0.16789036483117328</v>
      </c>
      <c r="G58" s="162">
        <f t="shared" si="21"/>
        <v>177229.27141161825</v>
      </c>
      <c r="H58" s="165">
        <v>800</v>
      </c>
      <c r="I58" s="166">
        <f t="shared" si="22"/>
        <v>0.25</v>
      </c>
      <c r="J58" s="167">
        <f t="shared" si="23"/>
        <v>141799.4425</v>
      </c>
      <c r="K58" s="168">
        <v>47909</v>
      </c>
      <c r="L58" s="166">
        <f t="shared" si="24"/>
        <v>0.19047789440203564</v>
      </c>
      <c r="M58" s="162">
        <f t="shared" si="25"/>
        <v>23385.9311043257</v>
      </c>
      <c r="N58" s="169">
        <f t="shared" si="26"/>
        <v>362814.48826040333</v>
      </c>
    </row>
    <row r="59" spans="1:14" ht="16.2">
      <c r="A59" s="164" t="s">
        <v>304</v>
      </c>
      <c r="B59" s="188">
        <v>744</v>
      </c>
      <c r="C59" s="161">
        <f t="shared" si="18"/>
        <v>2.7899651254359319E-2</v>
      </c>
      <c r="D59" s="162">
        <f t="shared" si="19"/>
        <v>5146.654246821915</v>
      </c>
      <c r="E59" s="165">
        <f>17532+28310</f>
        <v>45842</v>
      </c>
      <c r="F59" s="161">
        <f t="shared" si="20"/>
        <v>3.7035720460373345E-2</v>
      </c>
      <c r="G59" s="162">
        <f t="shared" si="21"/>
        <v>39095.833522053224</v>
      </c>
      <c r="H59" s="165">
        <v>200</v>
      </c>
      <c r="I59" s="166">
        <f t="shared" si="22"/>
        <v>6.25E-2</v>
      </c>
      <c r="J59" s="167">
        <f t="shared" si="23"/>
        <v>35449.860625000001</v>
      </c>
      <c r="K59" s="168">
        <v>28310</v>
      </c>
      <c r="L59" s="166">
        <f t="shared" si="24"/>
        <v>0.11255566157760814</v>
      </c>
      <c r="M59" s="162">
        <f t="shared" si="25"/>
        <v>13819.025852417302</v>
      </c>
      <c r="N59" s="169">
        <f t="shared" si="26"/>
        <v>93511.374246292442</v>
      </c>
    </row>
    <row r="60" spans="1:14" ht="16.2">
      <c r="A60" s="164" t="s">
        <v>305</v>
      </c>
      <c r="B60" s="188">
        <v>141</v>
      </c>
      <c r="C60" s="161">
        <f t="shared" si="18"/>
        <v>5.2874339070761618E-3</v>
      </c>
      <c r="D60" s="162">
        <f t="shared" si="19"/>
        <v>975.3739903251211</v>
      </c>
      <c r="E60" s="165">
        <f>28188+3049</f>
        <v>31237</v>
      </c>
      <c r="F60" s="161">
        <f t="shared" si="20"/>
        <v>2.523635094499983E-2</v>
      </c>
      <c r="G60" s="162">
        <f t="shared" si="21"/>
        <v>26640.123723405974</v>
      </c>
      <c r="H60" s="165">
        <v>50</v>
      </c>
      <c r="I60" s="166">
        <f t="shared" si="22"/>
        <v>1.5625E-2</v>
      </c>
      <c r="J60" s="167">
        <f t="shared" si="23"/>
        <v>8862.4651562500003</v>
      </c>
      <c r="K60" s="168">
        <v>3049</v>
      </c>
      <c r="L60" s="166">
        <f t="shared" si="24"/>
        <v>1.2122296437659033E-2</v>
      </c>
      <c r="M60" s="162">
        <f t="shared" si="25"/>
        <v>1488.3154300254453</v>
      </c>
      <c r="N60" s="169">
        <f t="shared" si="26"/>
        <v>37966.278300006539</v>
      </c>
    </row>
    <row r="61" spans="1:14" ht="16.2">
      <c r="A61" s="164" t="s">
        <v>306</v>
      </c>
      <c r="B61" s="188">
        <v>0</v>
      </c>
      <c r="C61" s="161"/>
      <c r="D61" s="162"/>
      <c r="E61" s="165">
        <v>825</v>
      </c>
      <c r="F61" s="161">
        <f t="shared" si="20"/>
        <v>6.6651693599336878E-4</v>
      </c>
      <c r="G61" s="162">
        <f t="shared" si="21"/>
        <v>703.59196055350799</v>
      </c>
      <c r="H61" s="165">
        <v>0</v>
      </c>
      <c r="I61" s="166"/>
      <c r="J61" s="167"/>
      <c r="K61" s="168">
        <v>0</v>
      </c>
      <c r="L61" s="166"/>
      <c r="M61" s="162"/>
      <c r="N61" s="169">
        <f t="shared" si="26"/>
        <v>703.59196055350799</v>
      </c>
    </row>
    <row r="62" spans="1:14">
      <c r="A62" s="170" t="s">
        <v>1</v>
      </c>
      <c r="B62" s="188">
        <v>26</v>
      </c>
      <c r="C62" s="161">
        <f t="shared" si="18"/>
        <v>9.7498781265234187E-4</v>
      </c>
      <c r="D62" s="162">
        <f t="shared" si="19"/>
        <v>179.85619679754004</v>
      </c>
      <c r="E62" s="165">
        <v>19060</v>
      </c>
      <c r="F62" s="161">
        <f t="shared" si="20"/>
        <v>1.5398560969737707E-2</v>
      </c>
      <c r="G62" s="162">
        <f t="shared" si="21"/>
        <v>16255.106385636196</v>
      </c>
      <c r="H62" s="165">
        <v>0</v>
      </c>
      <c r="I62" s="166"/>
      <c r="J62" s="167"/>
      <c r="K62" s="168">
        <v>0</v>
      </c>
      <c r="L62" s="166"/>
      <c r="M62" s="162"/>
      <c r="N62" s="169">
        <f t="shared" si="26"/>
        <v>16434.962582433734</v>
      </c>
    </row>
    <row r="63" spans="1:14">
      <c r="A63" s="171" t="s">
        <v>307</v>
      </c>
      <c r="B63" s="189">
        <v>723</v>
      </c>
      <c r="C63" s="161">
        <f t="shared" si="18"/>
        <v>2.7112161097986275E-2</v>
      </c>
      <c r="D63" s="162">
        <f t="shared" si="19"/>
        <v>5001.3857801777476</v>
      </c>
      <c r="E63" s="165">
        <v>54704</v>
      </c>
      <c r="F63" s="161">
        <f t="shared" si="20"/>
        <v>4.4195324201916658E-2</v>
      </c>
      <c r="G63" s="162">
        <f t="shared" si="21"/>
        <v>46653.690436507997</v>
      </c>
      <c r="H63" s="165">
        <v>0</v>
      </c>
      <c r="I63" s="166"/>
      <c r="J63" s="167"/>
      <c r="K63" s="168">
        <v>0</v>
      </c>
      <c r="L63" s="166"/>
      <c r="M63" s="162"/>
      <c r="N63" s="169">
        <f t="shared" si="26"/>
        <v>51655.076216685746</v>
      </c>
    </row>
    <row r="64" spans="1:14">
      <c r="A64" s="172" t="s">
        <v>2</v>
      </c>
      <c r="B64" s="190">
        <v>1105</v>
      </c>
      <c r="C64" s="161">
        <f t="shared" si="18"/>
        <v>4.1436982037724529E-2</v>
      </c>
      <c r="D64" s="162">
        <f t="shared" si="19"/>
        <v>7643.8883638954521</v>
      </c>
      <c r="E64" s="165">
        <v>46257</v>
      </c>
      <c r="F64" s="161">
        <f t="shared" si="20"/>
        <v>3.7370998676660917E-2</v>
      </c>
      <c r="G64" s="162">
        <f t="shared" si="21"/>
        <v>39449.761599180143</v>
      </c>
      <c r="H64" s="165">
        <v>0</v>
      </c>
      <c r="I64" s="166"/>
      <c r="J64" s="167"/>
      <c r="K64" s="168">
        <v>0</v>
      </c>
      <c r="L64" s="166"/>
      <c r="M64" s="162"/>
      <c r="N64" s="169">
        <f t="shared" si="26"/>
        <v>47093.649963075593</v>
      </c>
    </row>
    <row r="65" spans="1:14">
      <c r="A65" s="173" t="s">
        <v>287</v>
      </c>
      <c r="B65" s="191">
        <v>94</v>
      </c>
      <c r="C65" s="174">
        <f t="shared" si="18"/>
        <v>3.5249559380507744E-3</v>
      </c>
      <c r="D65" s="175">
        <f t="shared" si="19"/>
        <v>650.24932688341403</v>
      </c>
      <c r="E65" s="176">
        <v>10888</v>
      </c>
      <c r="F65" s="174">
        <f t="shared" si="20"/>
        <v>8.7964077564797565E-3</v>
      </c>
      <c r="G65" s="175">
        <f t="shared" si="21"/>
        <v>9285.7082018261754</v>
      </c>
      <c r="H65" s="176">
        <v>0</v>
      </c>
      <c r="I65" s="177"/>
      <c r="J65" s="178"/>
      <c r="K65" s="179">
        <v>10888</v>
      </c>
      <c r="L65" s="177">
        <f t="shared" si="24"/>
        <v>4.3288804071246821E-2</v>
      </c>
      <c r="M65" s="175">
        <f t="shared" si="25"/>
        <v>5314.7846513994909</v>
      </c>
      <c r="N65" s="180">
        <f t="shared" si="26"/>
        <v>15250.74218010908</v>
      </c>
    </row>
    <row r="66" spans="1:14">
      <c r="A66" s="171" t="s">
        <v>308</v>
      </c>
      <c r="B66" s="189">
        <v>1251</v>
      </c>
      <c r="C66" s="161">
        <f t="shared" si="18"/>
        <v>4.6911913601079984E-2</v>
      </c>
      <c r="D66" s="162">
        <f t="shared" si="19"/>
        <v>8653.8500843739457</v>
      </c>
      <c r="E66" s="165">
        <v>20749</v>
      </c>
      <c r="F66" s="161">
        <f t="shared" si="20"/>
        <v>1.6763102915062313E-2</v>
      </c>
      <c r="G66" s="162">
        <f t="shared" si="21"/>
        <v>17695.551017605743</v>
      </c>
      <c r="H66" s="165">
        <v>350</v>
      </c>
      <c r="I66" s="166">
        <f t="shared" si="22"/>
        <v>0.109375</v>
      </c>
      <c r="J66" s="167">
        <f t="shared" si="23"/>
        <v>62037.256093750002</v>
      </c>
      <c r="K66" s="168">
        <v>0</v>
      </c>
      <c r="L66" s="166"/>
      <c r="M66" s="162"/>
      <c r="N66" s="169">
        <f t="shared" si="26"/>
        <v>88386.657195729684</v>
      </c>
    </row>
    <row r="67" spans="1:14">
      <c r="A67" s="171" t="s">
        <v>309</v>
      </c>
      <c r="B67" s="189">
        <v>798</v>
      </c>
      <c r="C67" s="161">
        <f t="shared" si="18"/>
        <v>2.9924625942175723E-2</v>
      </c>
      <c r="D67" s="162">
        <f t="shared" si="19"/>
        <v>5520.2017324783446</v>
      </c>
      <c r="E67" s="165">
        <v>23866</v>
      </c>
      <c r="F67" s="161">
        <f t="shared" si="20"/>
        <v>1.9281325084142712E-2</v>
      </c>
      <c r="G67" s="162">
        <f t="shared" si="21"/>
        <v>20353.849370387903</v>
      </c>
      <c r="H67" s="165">
        <v>0</v>
      </c>
      <c r="I67" s="166"/>
      <c r="J67" s="167"/>
      <c r="K67" s="168">
        <v>0</v>
      </c>
      <c r="L67" s="166"/>
      <c r="M67" s="162"/>
      <c r="N67" s="169">
        <f t="shared" si="26"/>
        <v>25874.051102866248</v>
      </c>
    </row>
    <row r="68" spans="1:14" ht="16.2" thickBot="1">
      <c r="A68" s="181" t="s">
        <v>310</v>
      </c>
      <c r="B68" s="192">
        <f>SUM(B52:B67)</f>
        <v>26667</v>
      </c>
      <c r="C68" s="161">
        <f t="shared" si="18"/>
        <v>1</v>
      </c>
      <c r="D68" s="158">
        <v>184470.2</v>
      </c>
      <c r="E68" s="159">
        <f>SUM(E52:E67)</f>
        <v>1237778</v>
      </c>
      <c r="F68" s="161">
        <f t="shared" si="20"/>
        <v>1</v>
      </c>
      <c r="G68" s="158">
        <v>1055625.03</v>
      </c>
      <c r="H68" s="159">
        <f>SUM(H52:H67)</f>
        <v>3200</v>
      </c>
      <c r="I68" s="166">
        <f t="shared" si="22"/>
        <v>1</v>
      </c>
      <c r="J68" s="158">
        <v>567197.77</v>
      </c>
      <c r="K68" s="159">
        <f>SUM(K52:K67)</f>
        <v>251520</v>
      </c>
      <c r="L68" s="166">
        <f t="shared" si="24"/>
        <v>1</v>
      </c>
      <c r="M68" s="158">
        <v>122775.03999999999</v>
      </c>
      <c r="N68" s="195">
        <f>M68+J68+G68+D68</f>
        <v>1930068.04</v>
      </c>
    </row>
    <row r="69" spans="1:14">
      <c r="A69" s="182" t="s">
        <v>311</v>
      </c>
      <c r="B69" s="182"/>
      <c r="C69" s="183"/>
      <c r="D69" s="184"/>
      <c r="E69" s="184"/>
      <c r="F69" s="183"/>
      <c r="G69" s="184"/>
      <c r="H69" s="184"/>
      <c r="I69" s="183"/>
      <c r="J69" s="184"/>
      <c r="K69" s="184"/>
      <c r="L69" s="184"/>
      <c r="M69" s="184"/>
      <c r="N69" s="185"/>
    </row>
    <row r="70" spans="1:14">
      <c r="A70" s="182" t="s">
        <v>312</v>
      </c>
      <c r="B70" s="182"/>
      <c r="C70" s="183"/>
      <c r="D70" s="184"/>
      <c r="E70" s="184"/>
      <c r="F70" s="183"/>
      <c r="G70" s="184"/>
      <c r="H70" s="184"/>
      <c r="I70" s="183"/>
      <c r="J70" s="184"/>
      <c r="K70" s="184"/>
      <c r="L70" s="184"/>
      <c r="M70" s="184"/>
      <c r="N70" s="185"/>
    </row>
  </sheetData>
  <mergeCells count="15">
    <mergeCell ref="A50:A51"/>
    <mergeCell ref="B50:D50"/>
    <mergeCell ref="E50:G50"/>
    <mergeCell ref="H50:J50"/>
    <mergeCell ref="K50:M50"/>
    <mergeCell ref="B2:D2"/>
    <mergeCell ref="E2:G2"/>
    <mergeCell ref="H2:J2"/>
    <mergeCell ref="A2:A3"/>
    <mergeCell ref="K2:M2"/>
    <mergeCell ref="A26:A27"/>
    <mergeCell ref="B26:D26"/>
    <mergeCell ref="E26:G26"/>
    <mergeCell ref="H26:J26"/>
    <mergeCell ref="K26:M26"/>
  </mergeCells>
  <phoneticPr fontId="6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paperSize="9" fitToWidth="0" fitToHeight="0" orientation="landscape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9" workbookViewId="0">
      <selection activeCell="A51" sqref="A51:C73"/>
    </sheetView>
  </sheetViews>
  <sheetFormatPr defaultColWidth="9" defaultRowHeight="15.6"/>
  <cols>
    <col min="1" max="1" width="37.88671875" style="136" bestFit="1" customWidth="1"/>
    <col min="2" max="2" width="7" style="137" bestFit="1" customWidth="1"/>
    <col min="3" max="3" width="17.33203125" style="137" bestFit="1" customWidth="1"/>
    <col min="4" max="4" width="7" style="136" bestFit="1" customWidth="1"/>
    <col min="5" max="5" width="30.77734375" style="136" bestFit="1" customWidth="1"/>
    <col min="6" max="16384" width="9" style="136"/>
  </cols>
  <sheetData>
    <row r="1" spans="1:5">
      <c r="A1" s="140" t="s">
        <v>253</v>
      </c>
      <c r="B1" s="141"/>
      <c r="C1" s="141">
        <v>2017.1</v>
      </c>
      <c r="E1" s="136" t="s">
        <v>239</v>
      </c>
    </row>
    <row r="2" spans="1:5">
      <c r="A2" s="138" t="s">
        <v>249</v>
      </c>
      <c r="B2" s="137" t="s">
        <v>228</v>
      </c>
      <c r="C2" s="137" t="s">
        <v>229</v>
      </c>
    </row>
    <row r="3" spans="1:5">
      <c r="A3" s="138" t="s">
        <v>230</v>
      </c>
      <c r="B3" s="141">
        <f>27+61+2+7+33</f>
        <v>130</v>
      </c>
      <c r="C3" s="142">
        <f>361960+284629+11500+51850+145035.5</f>
        <v>854974.5</v>
      </c>
    </row>
    <row r="4" spans="1:5">
      <c r="A4" s="138" t="s">
        <v>231</v>
      </c>
      <c r="B4" s="141">
        <v>73</v>
      </c>
      <c r="C4" s="142">
        <f>566399.75</f>
        <v>566399.75</v>
      </c>
    </row>
    <row r="5" spans="1:5">
      <c r="A5" s="138" t="s">
        <v>232</v>
      </c>
      <c r="B5" s="141">
        <v>5</v>
      </c>
      <c r="C5" s="142">
        <v>45916.25</v>
      </c>
    </row>
    <row r="6" spans="1:5">
      <c r="A6" s="138" t="s">
        <v>233</v>
      </c>
      <c r="B6" s="141">
        <v>50</v>
      </c>
      <c r="C6" s="142">
        <v>264358</v>
      </c>
    </row>
    <row r="7" spans="1:5">
      <c r="A7" s="138" t="s">
        <v>250</v>
      </c>
      <c r="B7" s="141">
        <f>SUM(B8:B16)</f>
        <v>117</v>
      </c>
      <c r="C7" s="142">
        <f>SUM(C8:C16)</f>
        <v>509767</v>
      </c>
    </row>
    <row r="8" spans="1:5" ht="16.2">
      <c r="A8" s="139" t="s">
        <v>240</v>
      </c>
      <c r="B8" s="137">
        <v>25</v>
      </c>
      <c r="C8" s="143">
        <v>113967.75</v>
      </c>
    </row>
    <row r="9" spans="1:5" ht="16.2">
      <c r="A9" s="139" t="s">
        <v>241</v>
      </c>
      <c r="B9" s="137">
        <v>0</v>
      </c>
      <c r="C9" s="143">
        <v>0</v>
      </c>
    </row>
    <row r="10" spans="1:5" ht="16.2">
      <c r="A10" s="139" t="s">
        <v>242</v>
      </c>
      <c r="B10" s="137">
        <v>4</v>
      </c>
      <c r="C10" s="143">
        <v>15128</v>
      </c>
    </row>
    <row r="11" spans="1:5" ht="16.2">
      <c r="A11" s="139" t="s">
        <v>243</v>
      </c>
      <c r="B11" s="137">
        <v>13</v>
      </c>
      <c r="C11" s="143">
        <v>60514.25</v>
      </c>
    </row>
    <row r="12" spans="1:5" ht="16.2">
      <c r="A12" s="139" t="s">
        <v>244</v>
      </c>
      <c r="B12" s="137">
        <v>21</v>
      </c>
      <c r="C12" s="143">
        <v>83243.5</v>
      </c>
    </row>
    <row r="13" spans="1:5" ht="16.2">
      <c r="A13" s="139" t="s">
        <v>245</v>
      </c>
      <c r="B13" s="137">
        <v>15</v>
      </c>
      <c r="C13" s="143">
        <v>68128</v>
      </c>
    </row>
    <row r="14" spans="1:5" ht="16.2">
      <c r="A14" s="139" t="s">
        <v>246</v>
      </c>
      <c r="B14" s="137">
        <v>28</v>
      </c>
      <c r="C14" s="143">
        <v>127167.25</v>
      </c>
    </row>
    <row r="15" spans="1:5" ht="16.2">
      <c r="A15" s="139" t="s">
        <v>247</v>
      </c>
      <c r="B15" s="137">
        <v>11</v>
      </c>
      <c r="C15" s="143">
        <v>41618.25</v>
      </c>
    </row>
    <row r="16" spans="1:5" ht="16.2">
      <c r="A16" s="139" t="s">
        <v>248</v>
      </c>
      <c r="B16" s="137">
        <v>0</v>
      </c>
      <c r="C16" s="143">
        <v>0</v>
      </c>
    </row>
    <row r="17" spans="1:3">
      <c r="A17" s="138" t="s">
        <v>251</v>
      </c>
      <c r="B17" s="141">
        <f>SUM(B18:B22)</f>
        <v>25</v>
      </c>
      <c r="C17" s="142">
        <f>SUM(C18:C22)</f>
        <v>102514.75</v>
      </c>
    </row>
    <row r="18" spans="1:3">
      <c r="A18" s="138" t="s">
        <v>234</v>
      </c>
      <c r="B18" s="137">
        <v>7</v>
      </c>
      <c r="C18" s="143">
        <v>27838</v>
      </c>
    </row>
    <row r="19" spans="1:3">
      <c r="A19" s="138" t="s">
        <v>235</v>
      </c>
      <c r="B19" s="137">
        <v>3</v>
      </c>
      <c r="C19" s="143">
        <v>9448</v>
      </c>
    </row>
    <row r="20" spans="1:3">
      <c r="A20" s="138" t="s">
        <v>236</v>
      </c>
      <c r="B20" s="137">
        <v>6</v>
      </c>
      <c r="C20" s="143">
        <v>23557.75</v>
      </c>
    </row>
    <row r="21" spans="1:3">
      <c r="A21" s="138" t="s">
        <v>237</v>
      </c>
      <c r="B21" s="137">
        <v>5</v>
      </c>
      <c r="C21" s="143">
        <v>25621</v>
      </c>
    </row>
    <row r="22" spans="1:3">
      <c r="A22" s="138" t="s">
        <v>238</v>
      </c>
      <c r="B22" s="137">
        <v>4</v>
      </c>
      <c r="C22" s="143">
        <v>16050</v>
      </c>
    </row>
    <row r="23" spans="1:3">
      <c r="A23" s="138" t="s">
        <v>252</v>
      </c>
      <c r="B23" s="141">
        <f>B3+B4+B5+B6+B7+B17</f>
        <v>400</v>
      </c>
      <c r="C23" s="142">
        <f>C3+C4+C5+C6+C7+C17</f>
        <v>2343930.25</v>
      </c>
    </row>
    <row r="24" spans="1:3">
      <c r="A24" s="138"/>
    </row>
    <row r="26" spans="1:3">
      <c r="A26" s="140" t="s">
        <v>253</v>
      </c>
      <c r="B26" s="141"/>
      <c r="C26" s="141">
        <v>2017.2</v>
      </c>
    </row>
    <row r="27" spans="1:3">
      <c r="A27" s="287" t="s">
        <v>249</v>
      </c>
      <c r="B27" s="137" t="s">
        <v>228</v>
      </c>
      <c r="C27" s="137" t="s">
        <v>229</v>
      </c>
    </row>
    <row r="28" spans="1:3">
      <c r="A28" s="287" t="s">
        <v>230</v>
      </c>
      <c r="B28" s="141">
        <f>26+60+2+6+31</f>
        <v>125</v>
      </c>
      <c r="C28" s="142">
        <f>480782.5+280112+13079+34120+102674.75</f>
        <v>910768.25</v>
      </c>
    </row>
    <row r="29" spans="1:3">
      <c r="A29" s="287" t="s">
        <v>231</v>
      </c>
      <c r="B29" s="141">
        <v>73</v>
      </c>
      <c r="C29" s="142">
        <f>684528</f>
        <v>684528</v>
      </c>
    </row>
    <row r="30" spans="1:3">
      <c r="A30" s="287" t="s">
        <v>232</v>
      </c>
      <c r="B30" s="141">
        <v>5</v>
      </c>
      <c r="C30" s="142">
        <f>41131.75</f>
        <v>41131.75</v>
      </c>
    </row>
    <row r="31" spans="1:3">
      <c r="A31" s="287" t="s">
        <v>233</v>
      </c>
      <c r="B31" s="141">
        <v>50</v>
      </c>
      <c r="C31" s="142">
        <f>427426</f>
        <v>427426</v>
      </c>
    </row>
    <row r="32" spans="1:3">
      <c r="A32" s="287" t="s">
        <v>250</v>
      </c>
      <c r="B32" s="141">
        <f>SUM(B33:B41)</f>
        <v>116</v>
      </c>
      <c r="C32" s="142">
        <f>SUM(C33:C41)</f>
        <v>490429</v>
      </c>
    </row>
    <row r="33" spans="1:3" ht="16.2">
      <c r="A33" s="139" t="s">
        <v>240</v>
      </c>
      <c r="B33" s="137">
        <v>25</v>
      </c>
      <c r="C33" s="143">
        <v>118585.25</v>
      </c>
    </row>
    <row r="34" spans="1:3" ht="16.2">
      <c r="A34" s="139" t="s">
        <v>241</v>
      </c>
      <c r="B34" s="137">
        <v>0</v>
      </c>
      <c r="C34" s="143">
        <v>0</v>
      </c>
    </row>
    <row r="35" spans="1:3" ht="16.2">
      <c r="A35" s="139" t="s">
        <v>242</v>
      </c>
      <c r="B35" s="137">
        <v>4</v>
      </c>
      <c r="C35" s="143">
        <v>19826</v>
      </c>
    </row>
    <row r="36" spans="1:3" ht="16.2">
      <c r="A36" s="139" t="s">
        <v>243</v>
      </c>
      <c r="B36" s="137">
        <v>13</v>
      </c>
      <c r="C36" s="143">
        <v>56712.25</v>
      </c>
    </row>
    <row r="37" spans="1:3" ht="16.2">
      <c r="A37" s="139" t="s">
        <v>244</v>
      </c>
      <c r="B37" s="137">
        <v>21</v>
      </c>
      <c r="C37" s="143">
        <v>88619.25</v>
      </c>
    </row>
    <row r="38" spans="1:3" ht="16.2">
      <c r="A38" s="139" t="s">
        <v>245</v>
      </c>
      <c r="B38" s="137">
        <v>15</v>
      </c>
      <c r="C38" s="143">
        <v>67659.25</v>
      </c>
    </row>
    <row r="39" spans="1:3" ht="16.2">
      <c r="A39" s="139" t="s">
        <v>246</v>
      </c>
      <c r="B39" s="137">
        <v>28</v>
      </c>
      <c r="C39" s="143">
        <v>119206</v>
      </c>
    </row>
    <row r="40" spans="1:3" ht="16.2">
      <c r="A40" s="139" t="s">
        <v>247</v>
      </c>
      <c r="B40" s="137">
        <v>10</v>
      </c>
      <c r="C40" s="143">
        <v>19821</v>
      </c>
    </row>
    <row r="41" spans="1:3" ht="16.2">
      <c r="A41" s="139" t="s">
        <v>248</v>
      </c>
      <c r="B41" s="137">
        <v>0</v>
      </c>
      <c r="C41" s="143">
        <v>0</v>
      </c>
    </row>
    <row r="42" spans="1:3">
      <c r="A42" s="287" t="s">
        <v>251</v>
      </c>
      <c r="B42" s="141">
        <f>SUM(B43:B47)</f>
        <v>25</v>
      </c>
      <c r="C42" s="142">
        <f>SUM(C43:C47)</f>
        <v>100137</v>
      </c>
    </row>
    <row r="43" spans="1:3">
      <c r="A43" s="287" t="s">
        <v>234</v>
      </c>
      <c r="B43" s="137">
        <v>7</v>
      </c>
      <c r="C43" s="143">
        <v>29515</v>
      </c>
    </row>
    <row r="44" spans="1:3">
      <c r="A44" s="287" t="s">
        <v>235</v>
      </c>
      <c r="B44" s="137">
        <v>3</v>
      </c>
      <c r="C44" s="143">
        <v>11173</v>
      </c>
    </row>
    <row r="45" spans="1:3">
      <c r="A45" s="287" t="s">
        <v>236</v>
      </c>
      <c r="B45" s="137">
        <v>6</v>
      </c>
      <c r="C45" s="143">
        <v>21310.75</v>
      </c>
    </row>
    <row r="46" spans="1:3">
      <c r="A46" s="287" t="s">
        <v>237</v>
      </c>
      <c r="B46" s="137">
        <v>5</v>
      </c>
      <c r="C46" s="143">
        <v>23123.75</v>
      </c>
    </row>
    <row r="47" spans="1:3">
      <c r="A47" s="287" t="s">
        <v>238</v>
      </c>
      <c r="B47" s="137">
        <v>4</v>
      </c>
      <c r="C47" s="143">
        <v>15014.5</v>
      </c>
    </row>
    <row r="48" spans="1:3">
      <c r="A48" s="287" t="s">
        <v>252</v>
      </c>
      <c r="B48" s="141">
        <f>B28+B29+B30+B31+B32+B42</f>
        <v>394</v>
      </c>
      <c r="C48" s="142">
        <f>C28+C29+C30+C31+C32+C42</f>
        <v>2654420</v>
      </c>
    </row>
    <row r="51" spans="1:3">
      <c r="A51" s="140" t="s">
        <v>253</v>
      </c>
      <c r="B51" s="141"/>
      <c r="C51" s="141">
        <v>2017.3</v>
      </c>
    </row>
    <row r="52" spans="1:3">
      <c r="A52" s="420" t="s">
        <v>249</v>
      </c>
      <c r="B52" s="137" t="s">
        <v>228</v>
      </c>
      <c r="C52" s="137" t="s">
        <v>229</v>
      </c>
    </row>
    <row r="53" spans="1:3">
      <c r="A53" s="420" t="s">
        <v>230</v>
      </c>
      <c r="B53" s="141">
        <f>26+60+2+6+30</f>
        <v>124</v>
      </c>
      <c r="C53" s="142">
        <f>357552.25+265036.5+11500+41900+125237.5</f>
        <v>801226.25</v>
      </c>
    </row>
    <row r="54" spans="1:3">
      <c r="A54" s="420" t="s">
        <v>231</v>
      </c>
      <c r="B54" s="141">
        <v>73</v>
      </c>
      <c r="C54" s="142">
        <f>566226.5</f>
        <v>566226.5</v>
      </c>
    </row>
    <row r="55" spans="1:3">
      <c r="A55" s="420" t="s">
        <v>232</v>
      </c>
      <c r="B55" s="141">
        <v>5</v>
      </c>
      <c r="C55" s="142">
        <f>52283.75</f>
        <v>52283.75</v>
      </c>
    </row>
    <row r="56" spans="1:3">
      <c r="A56" s="420" t="s">
        <v>233</v>
      </c>
      <c r="B56" s="141">
        <v>51</v>
      </c>
      <c r="C56" s="142">
        <f>265156</f>
        <v>265156</v>
      </c>
    </row>
    <row r="57" spans="1:3">
      <c r="A57" s="420" t="s">
        <v>250</v>
      </c>
      <c r="B57" s="141">
        <f>SUM(B58:B66)</f>
        <v>113</v>
      </c>
      <c r="C57" s="142">
        <f>SUM(C58:C66)</f>
        <v>479536.5</v>
      </c>
    </row>
    <row r="58" spans="1:3" ht="16.2">
      <c r="A58" s="139" t="s">
        <v>240</v>
      </c>
      <c r="B58" s="137">
        <v>0</v>
      </c>
      <c r="C58" s="143">
        <v>0</v>
      </c>
    </row>
    <row r="59" spans="1:3" ht="16.2">
      <c r="A59" s="139" t="s">
        <v>241</v>
      </c>
      <c r="B59" s="137">
        <v>23</v>
      </c>
      <c r="C59" s="143">
        <v>107710.75</v>
      </c>
    </row>
    <row r="60" spans="1:3" ht="16.2">
      <c r="A60" s="139" t="s">
        <v>242</v>
      </c>
      <c r="B60" s="137">
        <v>4</v>
      </c>
      <c r="C60" s="143">
        <v>18271.5</v>
      </c>
    </row>
    <row r="61" spans="1:3" ht="16.2">
      <c r="A61" s="139" t="s">
        <v>243</v>
      </c>
      <c r="B61" s="137">
        <v>14</v>
      </c>
      <c r="C61" s="143">
        <v>61527.75</v>
      </c>
    </row>
    <row r="62" spans="1:3" ht="16.2">
      <c r="A62" s="139" t="s">
        <v>244</v>
      </c>
      <c r="B62" s="137">
        <v>19</v>
      </c>
      <c r="C62" s="143">
        <v>76377.75</v>
      </c>
    </row>
    <row r="63" spans="1:3" ht="16.2">
      <c r="A63" s="139" t="s">
        <v>245</v>
      </c>
      <c r="B63" s="137">
        <v>15</v>
      </c>
      <c r="C63" s="143">
        <v>65905.75</v>
      </c>
    </row>
    <row r="64" spans="1:3" ht="16.2">
      <c r="A64" s="139" t="s">
        <v>246</v>
      </c>
      <c r="B64" s="137">
        <v>28</v>
      </c>
      <c r="C64" s="143">
        <v>119593</v>
      </c>
    </row>
    <row r="65" spans="1:3" ht="16.2">
      <c r="A65" s="139" t="s">
        <v>247</v>
      </c>
      <c r="B65" s="137">
        <v>10</v>
      </c>
      <c r="C65" s="143">
        <v>30150</v>
      </c>
    </row>
    <row r="66" spans="1:3" ht="16.2">
      <c r="A66" s="139" t="s">
        <v>248</v>
      </c>
      <c r="B66" s="137">
        <v>0</v>
      </c>
      <c r="C66" s="143">
        <v>0</v>
      </c>
    </row>
    <row r="67" spans="1:3">
      <c r="A67" s="420" t="s">
        <v>251</v>
      </c>
      <c r="B67" s="141">
        <f>SUM(B68:B72)</f>
        <v>25</v>
      </c>
      <c r="C67" s="142">
        <f>SUM(C68:C72)</f>
        <v>103874.25</v>
      </c>
    </row>
    <row r="68" spans="1:3">
      <c r="A68" s="420" t="s">
        <v>234</v>
      </c>
      <c r="B68" s="137">
        <v>7</v>
      </c>
      <c r="C68" s="143">
        <v>28254.25</v>
      </c>
    </row>
    <row r="69" spans="1:3">
      <c r="A69" s="420" t="s">
        <v>235</v>
      </c>
      <c r="B69" s="137">
        <v>3</v>
      </c>
      <c r="C69" s="143">
        <v>9226</v>
      </c>
    </row>
    <row r="70" spans="1:3">
      <c r="A70" s="420" t="s">
        <v>236</v>
      </c>
      <c r="B70" s="137">
        <v>6</v>
      </c>
      <c r="C70" s="143">
        <v>23800</v>
      </c>
    </row>
    <row r="71" spans="1:3">
      <c r="A71" s="420" t="s">
        <v>237</v>
      </c>
      <c r="B71" s="137">
        <v>5</v>
      </c>
      <c r="C71" s="143">
        <v>26021</v>
      </c>
    </row>
    <row r="72" spans="1:3">
      <c r="A72" s="420" t="s">
        <v>238</v>
      </c>
      <c r="B72" s="137">
        <v>4</v>
      </c>
      <c r="C72" s="143">
        <v>16573</v>
      </c>
    </row>
    <row r="73" spans="1:3">
      <c r="A73" s="420" t="s">
        <v>252</v>
      </c>
      <c r="B73" s="141">
        <f>B53+B54+B55+B56+B57+B67</f>
        <v>391</v>
      </c>
      <c r="C73" s="142">
        <f>C53+C54+C55+C56+C57+C67</f>
        <v>2268303.25</v>
      </c>
    </row>
  </sheetData>
  <phoneticPr fontId="2" type="noConversion"/>
  <printOptions horizontalCentered="1" gridLines="1"/>
  <pageMargins left="0.39370078740157483" right="0.39370078740157483" top="0.39370078740157483" bottom="0.39370078740157483" header="0.31496062992125984" footer="0.31496062992125984"/>
  <pageSetup paperSize="9" scale="150" orientation="portrait" blackAndWhite="1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7"/>
  <sheetViews>
    <sheetView topLeftCell="A446" workbookViewId="0">
      <selection activeCell="C477" sqref="C477"/>
    </sheetView>
  </sheetViews>
  <sheetFormatPr defaultColWidth="9" defaultRowHeight="13.2"/>
  <cols>
    <col min="1" max="1" width="44.21875" style="22" customWidth="1"/>
    <col min="2" max="2" width="11.21875" style="125" bestFit="1" customWidth="1"/>
    <col min="3" max="3" width="10.44140625" style="22" bestFit="1" customWidth="1"/>
    <col min="4" max="5" width="14.44140625" style="329" bestFit="1" customWidth="1"/>
    <col min="6" max="6" width="17.21875" style="329" bestFit="1" customWidth="1"/>
    <col min="7" max="7" width="12.88671875" style="74" bestFit="1" customWidth="1"/>
    <col min="8" max="8" width="15" style="53" bestFit="1" customWidth="1"/>
    <col min="9" max="9" width="16.77734375" style="71" bestFit="1" customWidth="1"/>
    <col min="10" max="11" width="11" style="22" customWidth="1"/>
    <col min="12" max="16384" width="9" style="22"/>
  </cols>
  <sheetData>
    <row r="1" spans="1:10">
      <c r="A1" s="20" t="s">
        <v>218</v>
      </c>
      <c r="B1" s="104"/>
      <c r="C1" s="2"/>
      <c r="D1" s="321"/>
      <c r="E1" s="321"/>
      <c r="F1" s="321"/>
      <c r="G1" s="51"/>
    </row>
    <row r="2" spans="1:10">
      <c r="A2" s="23" t="s">
        <v>12</v>
      </c>
      <c r="B2" s="105" t="s">
        <v>45</v>
      </c>
      <c r="C2" s="6" t="s">
        <v>5</v>
      </c>
      <c r="D2" s="322" t="s">
        <v>344</v>
      </c>
      <c r="E2" s="322" t="s">
        <v>345</v>
      </c>
      <c r="F2" s="322" t="s">
        <v>346</v>
      </c>
      <c r="G2" s="51" t="s">
        <v>16</v>
      </c>
    </row>
    <row r="3" spans="1:10">
      <c r="A3" s="23" t="s">
        <v>0</v>
      </c>
      <c r="B3" s="106"/>
      <c r="C3" s="24"/>
      <c r="D3" s="323"/>
      <c r="E3" s="323"/>
      <c r="F3" s="323"/>
      <c r="G3" s="90"/>
    </row>
    <row r="4" spans="1:10">
      <c r="A4" s="59" t="s">
        <v>217</v>
      </c>
      <c r="B4" s="106"/>
      <c r="C4" s="24"/>
      <c r="D4" s="323"/>
      <c r="E4" s="323"/>
      <c r="F4" s="323"/>
      <c r="G4" s="90"/>
    </row>
    <row r="5" spans="1:10">
      <c r="A5" s="23" t="s">
        <v>17</v>
      </c>
      <c r="B5" s="106">
        <v>7755.2889999999998</v>
      </c>
      <c r="C5" s="24">
        <v>920</v>
      </c>
      <c r="D5" s="324">
        <f>D14-D13</f>
        <v>4786</v>
      </c>
      <c r="E5" s="324">
        <f>E14-E13</f>
        <v>123159</v>
      </c>
      <c r="F5" s="324">
        <f>F14-F13</f>
        <v>-23410.559999999998</v>
      </c>
      <c r="G5" s="90">
        <f>SUM(D5:F5)</f>
        <v>104534.44</v>
      </c>
    </row>
    <row r="6" spans="1:10">
      <c r="A6" s="59" t="s">
        <v>203</v>
      </c>
      <c r="B6" s="106"/>
      <c r="C6" s="24"/>
      <c r="D6" s="323"/>
      <c r="E6" s="323"/>
      <c r="F6" s="323"/>
      <c r="G6" s="90"/>
    </row>
    <row r="7" spans="1:10">
      <c r="A7" s="58" t="s">
        <v>67</v>
      </c>
      <c r="B7" s="22"/>
      <c r="C7" s="24"/>
      <c r="D7" s="323"/>
      <c r="E7" s="323"/>
      <c r="F7" s="323"/>
      <c r="G7" s="90"/>
    </row>
    <row r="8" spans="1:10">
      <c r="A8" s="23" t="s">
        <v>18</v>
      </c>
      <c r="B8" s="106"/>
      <c r="C8" s="24"/>
      <c r="D8" s="323"/>
      <c r="E8" s="323"/>
      <c r="F8" s="323"/>
      <c r="G8" s="90"/>
    </row>
    <row r="9" spans="1:10">
      <c r="A9" s="23" t="s">
        <v>19</v>
      </c>
      <c r="B9" s="106"/>
      <c r="C9" s="24"/>
      <c r="D9" s="323"/>
      <c r="E9" s="323"/>
      <c r="F9" s="323"/>
      <c r="G9" s="90"/>
    </row>
    <row r="10" spans="1:10">
      <c r="A10" s="23" t="s">
        <v>73</v>
      </c>
      <c r="B10" s="106"/>
      <c r="C10" s="24"/>
      <c r="D10" s="323"/>
      <c r="E10" s="323"/>
      <c r="F10" s="323"/>
      <c r="G10" s="90"/>
    </row>
    <row r="11" spans="1:10">
      <c r="A11" s="56" t="s">
        <v>202</v>
      </c>
      <c r="B11" s="106"/>
      <c r="C11" s="24"/>
      <c r="D11" s="323"/>
      <c r="E11" s="323"/>
      <c r="F11" s="323"/>
      <c r="G11" s="90"/>
    </row>
    <row r="12" spans="1:10">
      <c r="A12" s="93" t="s">
        <v>167</v>
      </c>
      <c r="B12" s="106"/>
      <c r="C12" s="24"/>
      <c r="D12" s="323"/>
      <c r="E12" s="323"/>
      <c r="F12" s="323"/>
      <c r="G12" s="90"/>
      <c r="J12" s="130"/>
    </row>
    <row r="13" spans="1:10">
      <c r="A13" s="93" t="s">
        <v>316</v>
      </c>
      <c r="B13" s="106"/>
      <c r="C13" s="24"/>
      <c r="D13" s="325">
        <v>0</v>
      </c>
      <c r="E13" s="325">
        <v>0</v>
      </c>
      <c r="F13" s="325">
        <f>8/31*F15</f>
        <v>23840.559999999998</v>
      </c>
      <c r="G13" s="217">
        <f>SUM(D13:F13)</f>
        <v>23840.559999999998</v>
      </c>
      <c r="J13" s="130"/>
    </row>
    <row r="14" spans="1:10">
      <c r="A14" s="20" t="s">
        <v>20</v>
      </c>
      <c r="B14" s="104"/>
      <c r="C14" s="25">
        <f>SUM(C5:C13)</f>
        <v>920</v>
      </c>
      <c r="D14" s="326">
        <v>4786</v>
      </c>
      <c r="E14" s="326">
        <f>105439+17720</f>
        <v>123159</v>
      </c>
      <c r="F14" s="326">
        <v>430</v>
      </c>
      <c r="G14" s="103">
        <f>SUM(D14:F14)</f>
        <v>128375</v>
      </c>
      <c r="H14" s="289" t="s">
        <v>335</v>
      </c>
      <c r="I14" s="290"/>
    </row>
    <row r="15" spans="1:10">
      <c r="A15" s="131" t="s">
        <v>317</v>
      </c>
      <c r="B15" s="128"/>
      <c r="C15" s="65"/>
      <c r="D15" s="327"/>
      <c r="E15" s="328" t="s">
        <v>70</v>
      </c>
      <c r="F15" s="329">
        <f>92382.17</f>
        <v>92382.17</v>
      </c>
      <c r="G15" s="74">
        <f>F15/F14</f>
        <v>214.84225581395347</v>
      </c>
      <c r="H15" s="71">
        <f>F14-F16-F17-F13</f>
        <v>-33671.429999999993</v>
      </c>
    </row>
    <row r="16" spans="1:10" ht="25.2">
      <c r="A16" s="102" t="s">
        <v>318</v>
      </c>
      <c r="B16" s="128"/>
      <c r="C16" s="62"/>
      <c r="D16" s="330"/>
      <c r="E16" s="328" t="s">
        <v>72</v>
      </c>
      <c r="F16" s="329">
        <f>0</f>
        <v>0</v>
      </c>
      <c r="G16" s="74">
        <f>F16/F14</f>
        <v>0</v>
      </c>
      <c r="H16" s="71">
        <f>F16</f>
        <v>0</v>
      </c>
    </row>
    <row r="17" spans="1:9">
      <c r="A17" s="61"/>
      <c r="B17" s="128"/>
      <c r="C17" s="62"/>
      <c r="D17" s="330"/>
      <c r="E17" s="328" t="s">
        <v>71</v>
      </c>
      <c r="F17" s="329">
        <f>5128.21+5132.66</f>
        <v>10260.869999999999</v>
      </c>
      <c r="G17" s="74">
        <f>F17/F14</f>
        <v>23.862488372093022</v>
      </c>
      <c r="H17" s="71">
        <f>F17</f>
        <v>10260.869999999999</v>
      </c>
    </row>
    <row r="18" spans="1:9">
      <c r="A18" s="61"/>
      <c r="B18" s="128"/>
      <c r="C18" s="62"/>
      <c r="D18" s="330"/>
      <c r="E18" s="330"/>
      <c r="F18" s="330"/>
    </row>
    <row r="19" spans="1:9" s="199" customFormat="1">
      <c r="A19" s="196"/>
      <c r="B19" s="197"/>
      <c r="C19" s="198"/>
      <c r="D19" s="331"/>
      <c r="E19" s="331"/>
      <c r="F19" s="331"/>
      <c r="G19" s="291"/>
      <c r="H19" s="238"/>
      <c r="I19" s="200"/>
    </row>
    <row r="20" spans="1:9">
      <c r="A20" s="28"/>
      <c r="B20" s="108"/>
      <c r="C20" s="27"/>
      <c r="D20" s="332"/>
      <c r="E20" s="332"/>
      <c r="F20" s="333"/>
      <c r="G20" s="292"/>
    </row>
    <row r="21" spans="1:9">
      <c r="A21" s="20" t="s">
        <v>219</v>
      </c>
      <c r="B21" s="105" t="s">
        <v>45</v>
      </c>
      <c r="C21" s="6" t="s">
        <v>5</v>
      </c>
      <c r="D21" s="322" t="s">
        <v>344</v>
      </c>
      <c r="E21" s="322" t="s">
        <v>345</v>
      </c>
      <c r="F21" s="322" t="s">
        <v>346</v>
      </c>
      <c r="G21" s="52" t="s">
        <v>9</v>
      </c>
    </row>
    <row r="22" spans="1:9">
      <c r="A22" s="30" t="s">
        <v>21</v>
      </c>
      <c r="B22" s="127"/>
      <c r="C22" s="31"/>
      <c r="D22" s="334"/>
      <c r="E22" s="334"/>
      <c r="F22" s="334"/>
      <c r="G22" s="293"/>
    </row>
    <row r="23" spans="1:9">
      <c r="A23" s="56" t="s">
        <v>59</v>
      </c>
      <c r="B23" s="127"/>
      <c r="C23" s="31"/>
      <c r="D23" s="334"/>
      <c r="E23" s="334"/>
      <c r="F23" s="334"/>
      <c r="G23" s="293"/>
    </row>
    <row r="24" spans="1:9">
      <c r="A24" s="56" t="s">
        <v>201</v>
      </c>
      <c r="B24" s="127"/>
      <c r="C24" s="31"/>
      <c r="D24" s="334"/>
      <c r="E24" s="334"/>
      <c r="F24" s="334"/>
      <c r="G24" s="293"/>
    </row>
    <row r="25" spans="1:9">
      <c r="A25" s="56" t="s">
        <v>58</v>
      </c>
      <c r="B25" s="127"/>
      <c r="C25" s="14"/>
      <c r="D25" s="334"/>
      <c r="E25" s="334"/>
      <c r="F25" s="334"/>
      <c r="G25" s="293"/>
    </row>
    <row r="26" spans="1:9">
      <c r="A26" s="30" t="s">
        <v>22</v>
      </c>
      <c r="B26" s="127"/>
      <c r="C26" s="14"/>
      <c r="D26" s="334"/>
      <c r="E26" s="334"/>
      <c r="F26" s="334"/>
      <c r="G26" s="293"/>
    </row>
    <row r="27" spans="1:9">
      <c r="A27" s="30" t="s">
        <v>23</v>
      </c>
      <c r="B27" s="109"/>
      <c r="C27" s="31"/>
      <c r="D27" s="334"/>
      <c r="E27" s="334"/>
      <c r="F27" s="334"/>
      <c r="G27" s="293"/>
    </row>
    <row r="28" spans="1:9">
      <c r="A28" s="30" t="s">
        <v>24</v>
      </c>
      <c r="B28" s="127"/>
      <c r="C28" s="31"/>
      <c r="D28" s="334"/>
      <c r="E28" s="334"/>
      <c r="F28" s="334"/>
      <c r="G28" s="293"/>
    </row>
    <row r="29" spans="1:9">
      <c r="A29" s="30" t="s">
        <v>25</v>
      </c>
      <c r="B29" s="109"/>
      <c r="C29" s="31"/>
      <c r="D29" s="334"/>
      <c r="E29" s="334"/>
      <c r="F29" s="334"/>
      <c r="G29" s="293"/>
    </row>
    <row r="30" spans="1:9">
      <c r="A30" s="30" t="s">
        <v>26</v>
      </c>
      <c r="B30" s="109"/>
      <c r="C30" s="31"/>
      <c r="D30" s="334"/>
      <c r="E30" s="334"/>
      <c r="F30" s="334"/>
      <c r="G30" s="293"/>
    </row>
    <row r="31" spans="1:9">
      <c r="A31" s="23" t="s">
        <v>199</v>
      </c>
      <c r="B31" s="109"/>
      <c r="C31" s="14"/>
      <c r="D31" s="334"/>
      <c r="E31" s="334"/>
      <c r="F31" s="334"/>
      <c r="G31" s="293"/>
    </row>
    <row r="32" spans="1:9">
      <c r="A32" s="56" t="s">
        <v>320</v>
      </c>
      <c r="B32" s="109"/>
      <c r="C32" s="14"/>
      <c r="D32" s="335">
        <v>53042.13</v>
      </c>
      <c r="E32" s="335">
        <v>0</v>
      </c>
      <c r="F32" s="335">
        <v>545245.94000000006</v>
      </c>
      <c r="G32" s="294">
        <f>SUM(D32:F32)</f>
        <v>598288.07000000007</v>
      </c>
    </row>
    <row r="33" spans="1:10">
      <c r="A33" s="56" t="s">
        <v>202</v>
      </c>
      <c r="B33" s="109"/>
      <c r="C33" s="14"/>
      <c r="D33" s="334"/>
      <c r="E33" s="334"/>
      <c r="F33" s="334"/>
      <c r="G33" s="293"/>
      <c r="I33" s="74"/>
      <c r="J33" s="130"/>
    </row>
    <row r="34" spans="1:10">
      <c r="A34" s="20" t="s">
        <v>20</v>
      </c>
      <c r="B34" s="104"/>
      <c r="C34" s="25"/>
      <c r="D34" s="336">
        <v>0</v>
      </c>
      <c r="E34" s="336">
        <v>56538</v>
      </c>
      <c r="F34" s="336">
        <v>0</v>
      </c>
      <c r="G34" s="295">
        <f>SUM(D34:F34)</f>
        <v>56538</v>
      </c>
      <c r="I34" s="290"/>
    </row>
    <row r="35" spans="1:10">
      <c r="A35" s="101" t="s">
        <v>319</v>
      </c>
      <c r="B35" s="110"/>
      <c r="C35" s="27"/>
      <c r="D35" s="337"/>
      <c r="E35" s="328" t="s">
        <v>70</v>
      </c>
      <c r="F35" s="338">
        <f>281276.03</f>
        <v>281276.03000000003</v>
      </c>
      <c r="G35" s="297" t="e">
        <f>F35/F34</f>
        <v>#DIV/0!</v>
      </c>
      <c r="I35" s="74"/>
    </row>
    <row r="36" spans="1:10">
      <c r="A36" s="101"/>
      <c r="B36" s="110"/>
      <c r="C36" s="27"/>
      <c r="D36" s="337"/>
      <c r="E36" s="328" t="s">
        <v>72</v>
      </c>
      <c r="F36" s="338">
        <f>247351.28</f>
        <v>247351.28</v>
      </c>
      <c r="G36" s="297" t="e">
        <f>F36/F34</f>
        <v>#DIV/0!</v>
      </c>
      <c r="I36" s="74"/>
    </row>
    <row r="37" spans="1:10">
      <c r="A37" s="102"/>
      <c r="B37" s="110"/>
      <c r="C37" s="27"/>
      <c r="E37" s="328" t="s">
        <v>71</v>
      </c>
      <c r="F37" s="329">
        <f>4895.73+11722.9</f>
        <v>16618.629999999997</v>
      </c>
      <c r="G37" s="297" t="e">
        <f>F37/F34</f>
        <v>#DIV/0!</v>
      </c>
      <c r="I37" s="74"/>
    </row>
    <row r="38" spans="1:10">
      <c r="A38" s="43"/>
      <c r="B38" s="110"/>
      <c r="C38" s="27"/>
      <c r="D38" s="337"/>
      <c r="E38" s="328"/>
      <c r="G38" s="297"/>
    </row>
    <row r="39" spans="1:10" s="199" customFormat="1">
      <c r="A39" s="201"/>
      <c r="B39" s="202"/>
      <c r="C39" s="203"/>
      <c r="D39" s="339"/>
      <c r="E39" s="340"/>
      <c r="F39" s="341"/>
      <c r="G39" s="216"/>
      <c r="H39" s="238"/>
      <c r="I39" s="200"/>
    </row>
    <row r="40" spans="1:10">
      <c r="A40" s="26"/>
      <c r="B40" s="107"/>
      <c r="C40" s="33"/>
      <c r="D40" s="342"/>
      <c r="E40" s="342"/>
      <c r="F40" s="342"/>
      <c r="G40" s="289"/>
    </row>
    <row r="41" spans="1:10">
      <c r="A41" s="20" t="s">
        <v>220</v>
      </c>
      <c r="B41" s="105" t="s">
        <v>45</v>
      </c>
      <c r="C41" s="6" t="s">
        <v>5</v>
      </c>
      <c r="D41" s="322" t="s">
        <v>344</v>
      </c>
      <c r="E41" s="322" t="s">
        <v>345</v>
      </c>
      <c r="F41" s="322" t="s">
        <v>346</v>
      </c>
      <c r="G41" s="51" t="s">
        <v>16</v>
      </c>
    </row>
    <row r="42" spans="1:10">
      <c r="A42" s="23" t="s">
        <v>27</v>
      </c>
      <c r="B42" s="106"/>
      <c r="C42" s="34"/>
      <c r="D42" s="323"/>
      <c r="E42" s="323"/>
      <c r="F42" s="323"/>
      <c r="G42" s="90"/>
    </row>
    <row r="43" spans="1:10">
      <c r="A43" s="23" t="s">
        <v>28</v>
      </c>
      <c r="B43" s="127">
        <v>1091.835</v>
      </c>
      <c r="C43" s="34">
        <v>1440</v>
      </c>
      <c r="D43" s="324">
        <f>C43/C$57*D$57</f>
        <v>284.66165413533832</v>
      </c>
      <c r="E43" s="324">
        <f>C43/C$57*E$57</f>
        <v>31911.879699248118</v>
      </c>
      <c r="F43" s="324">
        <f>C43/C$57*F$57</f>
        <v>67.669172932330824</v>
      </c>
      <c r="G43" s="90">
        <f>SUM(D43:F43)</f>
        <v>32264.21052631579</v>
      </c>
    </row>
    <row r="44" spans="1:10">
      <c r="A44" s="23" t="s">
        <v>29</v>
      </c>
      <c r="B44" s="127">
        <v>489.63</v>
      </c>
      <c r="C44" s="34">
        <v>1440</v>
      </c>
      <c r="D44" s="324">
        <f t="shared" ref="D44:D49" si="0">C44/C$57*D$57</f>
        <v>284.66165413533832</v>
      </c>
      <c r="E44" s="324">
        <f t="shared" ref="E44:E49" si="1">C44/C$57*E$57</f>
        <v>31911.879699248118</v>
      </c>
      <c r="F44" s="324">
        <f t="shared" ref="F44:F49" si="2">C44/C$57*F$57</f>
        <v>67.669172932330824</v>
      </c>
      <c r="G44" s="90">
        <f t="shared" ref="G44:G49" si="3">SUM(D44:F44)</f>
        <v>32264.21052631579</v>
      </c>
    </row>
    <row r="45" spans="1:10">
      <c r="A45" s="23" t="s">
        <v>30</v>
      </c>
      <c r="B45" s="127"/>
      <c r="C45" s="34"/>
      <c r="D45" s="323">
        <f t="shared" si="0"/>
        <v>0</v>
      </c>
      <c r="E45" s="323">
        <f t="shared" si="1"/>
        <v>0</v>
      </c>
      <c r="F45" s="324">
        <f t="shared" si="2"/>
        <v>0</v>
      </c>
      <c r="G45" s="90">
        <f t="shared" si="3"/>
        <v>0</v>
      </c>
    </row>
    <row r="46" spans="1:10">
      <c r="A46" s="59" t="s">
        <v>200</v>
      </c>
      <c r="B46" s="127"/>
      <c r="C46" s="34"/>
      <c r="D46" s="323">
        <f t="shared" si="0"/>
        <v>0</v>
      </c>
      <c r="E46" s="323">
        <f t="shared" si="1"/>
        <v>0</v>
      </c>
      <c r="F46" s="324">
        <f t="shared" si="2"/>
        <v>0</v>
      </c>
      <c r="G46" s="90">
        <f t="shared" si="3"/>
        <v>0</v>
      </c>
    </row>
    <row r="47" spans="1:10">
      <c r="A47" s="23" t="s">
        <v>31</v>
      </c>
      <c r="B47" s="106">
        <v>77600</v>
      </c>
      <c r="C47" s="34">
        <v>216</v>
      </c>
      <c r="D47" s="324">
        <f t="shared" si="0"/>
        <v>42.699248120300751</v>
      </c>
      <c r="E47" s="324">
        <f t="shared" si="1"/>
        <v>4786.7819548872176</v>
      </c>
      <c r="F47" s="324">
        <f t="shared" si="2"/>
        <v>10.150375939849624</v>
      </c>
      <c r="G47" s="90">
        <f t="shared" si="3"/>
        <v>4839.6315789473674</v>
      </c>
    </row>
    <row r="48" spans="1:10">
      <c r="A48" s="23" t="s">
        <v>32</v>
      </c>
      <c r="B48" s="106">
        <v>23000</v>
      </c>
      <c r="C48" s="34">
        <v>60</v>
      </c>
      <c r="D48" s="324">
        <f t="shared" si="0"/>
        <v>11.860902255639097</v>
      </c>
      <c r="E48" s="324">
        <f t="shared" si="1"/>
        <v>1329.6616541353383</v>
      </c>
      <c r="F48" s="324">
        <f t="shared" si="2"/>
        <v>2.8195488721804511</v>
      </c>
      <c r="G48" s="90">
        <f t="shared" si="3"/>
        <v>1344.3421052631577</v>
      </c>
    </row>
    <row r="49" spans="1:9">
      <c r="A49" s="23" t="s">
        <v>33</v>
      </c>
      <c r="B49" s="106">
        <v>4300</v>
      </c>
      <c r="C49" s="34">
        <v>36</v>
      </c>
      <c r="D49" s="324">
        <f t="shared" si="0"/>
        <v>7.1165413533834583</v>
      </c>
      <c r="E49" s="324">
        <f t="shared" si="1"/>
        <v>797.79699248120301</v>
      </c>
      <c r="F49" s="324">
        <f t="shared" si="2"/>
        <v>1.6917293233082706</v>
      </c>
      <c r="G49" s="90">
        <f t="shared" si="3"/>
        <v>806.6052631578948</v>
      </c>
      <c r="H49" s="298"/>
    </row>
    <row r="50" spans="1:9">
      <c r="A50" s="23" t="s">
        <v>34</v>
      </c>
      <c r="B50" s="127"/>
      <c r="C50" s="2"/>
      <c r="D50" s="323"/>
      <c r="E50" s="323"/>
      <c r="F50" s="343"/>
      <c r="G50" s="90"/>
      <c r="H50" s="298"/>
    </row>
    <row r="51" spans="1:9">
      <c r="A51" s="23" t="s">
        <v>35</v>
      </c>
      <c r="B51" s="106"/>
      <c r="C51" s="34"/>
      <c r="D51" s="323"/>
      <c r="E51" s="323"/>
      <c r="F51" s="343"/>
      <c r="G51" s="90"/>
      <c r="H51" s="298"/>
    </row>
    <row r="52" spans="1:9">
      <c r="A52" s="23" t="s">
        <v>36</v>
      </c>
      <c r="B52" s="127"/>
      <c r="C52" s="34"/>
      <c r="D52" s="323"/>
      <c r="E52" s="323"/>
      <c r="F52" s="343"/>
      <c r="G52" s="90"/>
      <c r="H52" s="298"/>
    </row>
    <row r="53" spans="1:9">
      <c r="A53" s="23" t="s">
        <v>199</v>
      </c>
      <c r="B53" s="106"/>
      <c r="C53" s="34"/>
      <c r="D53" s="323"/>
      <c r="E53" s="323"/>
      <c r="F53" s="343"/>
      <c r="G53" s="90"/>
      <c r="H53" s="298"/>
    </row>
    <row r="54" spans="1:9">
      <c r="A54" s="59" t="s">
        <v>66</v>
      </c>
      <c r="B54" s="106"/>
      <c r="C54" s="34"/>
      <c r="D54" s="323"/>
      <c r="E54" s="323"/>
      <c r="F54" s="343"/>
      <c r="G54" s="90"/>
      <c r="H54" s="298"/>
    </row>
    <row r="55" spans="1:9">
      <c r="A55" s="58" t="s">
        <v>315</v>
      </c>
      <c r="B55" s="106"/>
      <c r="C55" s="34"/>
      <c r="D55" s="325">
        <v>0</v>
      </c>
      <c r="E55" s="325">
        <v>0</v>
      </c>
      <c r="F55" s="344">
        <f>8/31*F58</f>
        <v>13636.394838709677</v>
      </c>
      <c r="G55" s="299">
        <f>SUM(D55:F55)</f>
        <v>13636.394838709677</v>
      </c>
      <c r="H55" s="289" t="s">
        <v>335</v>
      </c>
    </row>
    <row r="56" spans="1:9">
      <c r="A56" s="58" t="s">
        <v>206</v>
      </c>
      <c r="B56" s="106"/>
      <c r="C56" s="34"/>
      <c r="D56" s="323"/>
      <c r="E56" s="323"/>
      <c r="F56" s="343"/>
      <c r="G56" s="98"/>
      <c r="H56" s="289"/>
    </row>
    <row r="57" spans="1:9">
      <c r="A57" s="20" t="s">
        <v>20</v>
      </c>
      <c r="B57" s="104"/>
      <c r="C57" s="36">
        <f>SUM(C43:C55)</f>
        <v>3192</v>
      </c>
      <c r="D57" s="336">
        <v>631</v>
      </c>
      <c r="E57" s="336">
        <f>50442+20296</f>
        <v>70738</v>
      </c>
      <c r="F57" s="345">
        <v>150</v>
      </c>
      <c r="G57" s="98">
        <f>SUM(D57:F57)</f>
        <v>71519</v>
      </c>
      <c r="H57" s="289">
        <f>F57-F55</f>
        <v>-13486.394838709677</v>
      </c>
      <c r="I57" s="290"/>
    </row>
    <row r="58" spans="1:9">
      <c r="A58" s="131" t="s">
        <v>317</v>
      </c>
      <c r="B58" s="110"/>
      <c r="C58" s="39"/>
      <c r="D58" s="346"/>
      <c r="E58" s="328" t="s">
        <v>70</v>
      </c>
      <c r="F58" s="347">
        <v>52841.03</v>
      </c>
      <c r="G58" s="300">
        <f>F58/F57</f>
        <v>352.27353333333332</v>
      </c>
      <c r="H58" s="71">
        <f>F58-F55</f>
        <v>39204.635161290324</v>
      </c>
    </row>
    <row r="59" spans="1:9" ht="25.2">
      <c r="A59" s="102" t="s">
        <v>318</v>
      </c>
      <c r="B59" s="110"/>
      <c r="C59" s="39"/>
      <c r="D59" s="346"/>
      <c r="E59" s="328" t="s">
        <v>72</v>
      </c>
      <c r="F59" s="346">
        <f>10094.34+1702.83+381.89</f>
        <v>12179.06</v>
      </c>
      <c r="G59" s="300">
        <f>F59/F57</f>
        <v>81.193733333333327</v>
      </c>
      <c r="H59" s="71">
        <f>F59</f>
        <v>12179.06</v>
      </c>
    </row>
    <row r="60" spans="1:9">
      <c r="A60" s="28"/>
      <c r="B60" s="108"/>
      <c r="C60" s="39"/>
      <c r="D60" s="346"/>
      <c r="E60" s="328" t="s">
        <v>71</v>
      </c>
      <c r="F60" s="346">
        <f>256.41+14383.16</f>
        <v>14639.57</v>
      </c>
      <c r="G60" s="300">
        <f>F60/F57</f>
        <v>97.597133333333332</v>
      </c>
      <c r="H60" s="71">
        <f>F60</f>
        <v>14639.57</v>
      </c>
    </row>
    <row r="61" spans="1:9">
      <c r="A61" s="28"/>
      <c r="B61" s="108"/>
      <c r="C61" s="39"/>
      <c r="D61" s="346"/>
      <c r="E61" s="328"/>
      <c r="F61" s="346"/>
      <c r="G61" s="300"/>
    </row>
    <row r="62" spans="1:9" s="199" customFormat="1">
      <c r="A62" s="209"/>
      <c r="B62" s="210"/>
      <c r="C62" s="211"/>
      <c r="D62" s="348"/>
      <c r="E62" s="348"/>
      <c r="F62" s="348"/>
      <c r="G62" s="301"/>
      <c r="H62" s="238"/>
      <c r="I62" s="200"/>
    </row>
    <row r="63" spans="1:9">
      <c r="A63" s="48"/>
      <c r="B63" s="112"/>
      <c r="C63" s="33"/>
      <c r="D63" s="342"/>
      <c r="E63" s="342"/>
      <c r="F63" s="342"/>
      <c r="G63" s="289"/>
    </row>
    <row r="64" spans="1:9">
      <c r="A64" s="20" t="s">
        <v>221</v>
      </c>
      <c r="B64" s="105" t="s">
        <v>45</v>
      </c>
      <c r="C64" s="6" t="s">
        <v>5</v>
      </c>
      <c r="D64" s="322" t="s">
        <v>344</v>
      </c>
      <c r="E64" s="322" t="s">
        <v>345</v>
      </c>
      <c r="F64" s="322" t="s">
        <v>346</v>
      </c>
      <c r="G64" s="51" t="s">
        <v>16</v>
      </c>
    </row>
    <row r="65" spans="1:9">
      <c r="A65" s="56" t="s">
        <v>74</v>
      </c>
      <c r="B65" s="105"/>
      <c r="C65" s="6"/>
      <c r="D65" s="321"/>
      <c r="E65" s="321"/>
      <c r="F65" s="321"/>
      <c r="G65" s="51"/>
    </row>
    <row r="66" spans="1:9">
      <c r="A66" s="56" t="s">
        <v>77</v>
      </c>
      <c r="B66" s="105"/>
      <c r="C66" s="5"/>
      <c r="D66" s="323"/>
      <c r="E66" s="323"/>
      <c r="F66" s="323"/>
      <c r="G66" s="51"/>
    </row>
    <row r="67" spans="1:9">
      <c r="A67" s="23" t="s">
        <v>43</v>
      </c>
      <c r="B67" s="106"/>
      <c r="C67" s="34"/>
      <c r="D67" s="323"/>
      <c r="E67" s="323"/>
      <c r="F67" s="323"/>
      <c r="G67" s="51"/>
    </row>
    <row r="68" spans="1:9">
      <c r="A68" s="23" t="s">
        <v>3</v>
      </c>
      <c r="B68" s="106"/>
      <c r="C68" s="34"/>
      <c r="D68" s="349">
        <f>D70</f>
        <v>504</v>
      </c>
      <c r="E68" s="349">
        <f>E70</f>
        <v>20662</v>
      </c>
      <c r="F68" s="349">
        <f>F70-F69</f>
        <v>-18305.672258064515</v>
      </c>
      <c r="G68" s="99">
        <f>SUM(D68:F68)</f>
        <v>2860.3277419354854</v>
      </c>
    </row>
    <row r="69" spans="1:9">
      <c r="A69" s="59" t="s">
        <v>315</v>
      </c>
      <c r="B69" s="106"/>
      <c r="C69" s="34"/>
      <c r="D69" s="325">
        <v>0</v>
      </c>
      <c r="E69" s="325">
        <v>0</v>
      </c>
      <c r="F69" s="325">
        <f>8/31*F71</f>
        <v>18305.672258064515</v>
      </c>
      <c r="G69" s="217">
        <f>SUM(D69:F69)</f>
        <v>18305.672258064515</v>
      </c>
    </row>
    <row r="70" spans="1:9">
      <c r="A70" s="20" t="s">
        <v>20</v>
      </c>
      <c r="B70" s="104"/>
      <c r="C70" s="36"/>
      <c r="D70" s="336">
        <v>504</v>
      </c>
      <c r="E70" s="336">
        <v>20662</v>
      </c>
      <c r="F70" s="336">
        <v>0</v>
      </c>
      <c r="G70" s="98">
        <f>SUM(D70:F70)</f>
        <v>21166</v>
      </c>
      <c r="H70" s="53" t="s">
        <v>336</v>
      </c>
    </row>
    <row r="71" spans="1:9">
      <c r="A71" s="131" t="s">
        <v>317</v>
      </c>
      <c r="B71" s="110"/>
      <c r="C71" s="45"/>
      <c r="D71" s="337"/>
      <c r="E71" s="328" t="s">
        <v>70</v>
      </c>
      <c r="F71" s="346">
        <f>70934.48</f>
        <v>70934.48</v>
      </c>
      <c r="G71" s="300" t="e">
        <f>F71/F70</f>
        <v>#DIV/0!</v>
      </c>
      <c r="H71" s="53">
        <f>F71-F69</f>
        <v>52628.807741935481</v>
      </c>
    </row>
    <row r="72" spans="1:9" ht="25.2">
      <c r="A72" s="102" t="s">
        <v>318</v>
      </c>
      <c r="B72" s="110"/>
      <c r="C72" s="45"/>
      <c r="D72" s="337"/>
      <c r="E72" s="328" t="s">
        <v>72</v>
      </c>
      <c r="F72" s="346">
        <f>4888.25</f>
        <v>4888.25</v>
      </c>
      <c r="G72" s="300" t="e">
        <f>F72/F70</f>
        <v>#DIV/0!</v>
      </c>
      <c r="H72" s="53">
        <v>4888.25</v>
      </c>
    </row>
    <row r="73" spans="1:9">
      <c r="A73" s="101" t="s">
        <v>321</v>
      </c>
      <c r="B73" s="110"/>
      <c r="C73" s="45"/>
      <c r="D73" s="337"/>
      <c r="E73" s="328" t="s">
        <v>71</v>
      </c>
      <c r="F73" s="346">
        <f>7.94</f>
        <v>7.94</v>
      </c>
      <c r="G73" s="300" t="e">
        <f>F73/F70</f>
        <v>#DIV/0!</v>
      </c>
      <c r="H73" s="53">
        <v>7.94</v>
      </c>
    </row>
    <row r="74" spans="1:9">
      <c r="A74" s="43"/>
      <c r="B74" s="110"/>
      <c r="C74" s="45"/>
      <c r="D74" s="337"/>
      <c r="E74" s="328"/>
      <c r="F74" s="346"/>
      <c r="G74" s="300"/>
    </row>
    <row r="75" spans="1:9" s="199" customFormat="1">
      <c r="A75" s="201"/>
      <c r="B75" s="202"/>
      <c r="C75" s="213"/>
      <c r="D75" s="339"/>
      <c r="E75" s="340"/>
      <c r="F75" s="341"/>
      <c r="G75" s="216"/>
      <c r="H75" s="238"/>
      <c r="I75" s="200"/>
    </row>
    <row r="76" spans="1:9">
      <c r="A76" s="32"/>
      <c r="B76" s="111"/>
      <c r="C76" s="45"/>
      <c r="D76" s="337"/>
      <c r="E76" s="337"/>
      <c r="F76" s="337"/>
      <c r="G76" s="296"/>
    </row>
    <row r="77" spans="1:9">
      <c r="A77" s="453" t="s">
        <v>222</v>
      </c>
      <c r="B77" s="453"/>
      <c r="C77" s="453"/>
      <c r="D77" s="453"/>
      <c r="E77" s="453"/>
      <c r="F77" s="453"/>
      <c r="G77" s="453"/>
    </row>
    <row r="78" spans="1:9">
      <c r="A78" s="5" t="s">
        <v>4</v>
      </c>
      <c r="B78" s="105" t="s">
        <v>45</v>
      </c>
      <c r="C78" s="6" t="s">
        <v>5</v>
      </c>
      <c r="D78" s="322" t="s">
        <v>344</v>
      </c>
      <c r="E78" s="322" t="s">
        <v>345</v>
      </c>
      <c r="F78" s="322" t="s">
        <v>346</v>
      </c>
      <c r="G78" s="302" t="s">
        <v>9</v>
      </c>
    </row>
    <row r="79" spans="1:9">
      <c r="A79" s="6" t="s">
        <v>173</v>
      </c>
      <c r="B79" s="117"/>
      <c r="C79" s="6"/>
      <c r="D79" s="350"/>
      <c r="E79" s="350"/>
      <c r="F79" s="350"/>
      <c r="G79" s="302"/>
    </row>
    <row r="80" spans="1:9">
      <c r="A80" s="6" t="s">
        <v>113</v>
      </c>
      <c r="B80" s="117">
        <v>49.02</v>
      </c>
      <c r="C80" s="6">
        <v>0</v>
      </c>
      <c r="D80" s="351">
        <f>C80/C$132*D$132</f>
        <v>0</v>
      </c>
      <c r="E80" s="351">
        <f>C80/C$132*E$132</f>
        <v>0</v>
      </c>
      <c r="F80" s="351">
        <f t="shared" ref="F80:F93" si="4">C80/C$132*H$132</f>
        <v>0</v>
      </c>
      <c r="G80" s="304">
        <f>SUM(D80:F80)</f>
        <v>0</v>
      </c>
    </row>
    <row r="81" spans="1:7">
      <c r="A81" s="6" t="s">
        <v>113</v>
      </c>
      <c r="C81" s="6"/>
      <c r="D81" s="352">
        <f t="shared" ref="D81:D94" si="5">C81/C$132*D$132</f>
        <v>0</v>
      </c>
      <c r="E81" s="352">
        <f t="shared" ref="E81:E93" si="6">C81/C$132*E$132</f>
        <v>0</v>
      </c>
      <c r="F81" s="352">
        <f t="shared" si="4"/>
        <v>0</v>
      </c>
      <c r="G81" s="304">
        <f t="shared" ref="G81:G128" si="7">SUM(D81:F81)</f>
        <v>0</v>
      </c>
    </row>
    <row r="82" spans="1:7">
      <c r="A82" s="6" t="s">
        <v>114</v>
      </c>
      <c r="B82" s="117"/>
      <c r="C82" s="6"/>
      <c r="D82" s="352">
        <f t="shared" si="5"/>
        <v>0</v>
      </c>
      <c r="E82" s="352">
        <f t="shared" si="6"/>
        <v>0</v>
      </c>
      <c r="F82" s="352">
        <f t="shared" si="4"/>
        <v>0</v>
      </c>
      <c r="G82" s="304">
        <f t="shared" si="7"/>
        <v>0</v>
      </c>
    </row>
    <row r="83" spans="1:7">
      <c r="A83" s="6" t="s">
        <v>115</v>
      </c>
      <c r="B83" s="117"/>
      <c r="C83" s="6"/>
      <c r="D83" s="352">
        <f t="shared" si="5"/>
        <v>0</v>
      </c>
      <c r="E83" s="352">
        <f t="shared" si="6"/>
        <v>0</v>
      </c>
      <c r="F83" s="352">
        <f t="shared" si="4"/>
        <v>0</v>
      </c>
      <c r="G83" s="304">
        <f t="shared" si="7"/>
        <v>0</v>
      </c>
    </row>
    <row r="84" spans="1:7">
      <c r="A84" s="6" t="s">
        <v>186</v>
      </c>
      <c r="B84" s="117"/>
      <c r="C84" s="6"/>
      <c r="D84" s="352">
        <f t="shared" si="5"/>
        <v>0</v>
      </c>
      <c r="E84" s="352">
        <f t="shared" si="6"/>
        <v>0</v>
      </c>
      <c r="F84" s="352">
        <f t="shared" si="4"/>
        <v>0</v>
      </c>
      <c r="G84" s="304">
        <f t="shared" si="7"/>
        <v>0</v>
      </c>
    </row>
    <row r="85" spans="1:7">
      <c r="A85" s="6" t="s">
        <v>116</v>
      </c>
      <c r="B85" s="117"/>
      <c r="C85" s="6"/>
      <c r="D85" s="352">
        <f t="shared" si="5"/>
        <v>0</v>
      </c>
      <c r="E85" s="352">
        <f t="shared" si="6"/>
        <v>0</v>
      </c>
      <c r="F85" s="352">
        <f t="shared" si="4"/>
        <v>0</v>
      </c>
      <c r="G85" s="304">
        <f t="shared" si="7"/>
        <v>0</v>
      </c>
    </row>
    <row r="86" spans="1:7">
      <c r="A86" s="6" t="s">
        <v>181</v>
      </c>
      <c r="B86" s="117"/>
      <c r="C86" s="6"/>
      <c r="D86" s="352">
        <f t="shared" si="5"/>
        <v>0</v>
      </c>
      <c r="E86" s="352">
        <f t="shared" si="6"/>
        <v>0</v>
      </c>
      <c r="F86" s="352">
        <f t="shared" si="4"/>
        <v>0</v>
      </c>
      <c r="G86" s="304">
        <f t="shared" si="7"/>
        <v>0</v>
      </c>
    </row>
    <row r="87" spans="1:7">
      <c r="A87" s="6" t="s">
        <v>182</v>
      </c>
      <c r="B87" s="117"/>
      <c r="C87" s="6"/>
      <c r="D87" s="352">
        <f t="shared" si="5"/>
        <v>0</v>
      </c>
      <c r="E87" s="352">
        <f t="shared" si="6"/>
        <v>0</v>
      </c>
      <c r="F87" s="352">
        <f t="shared" si="4"/>
        <v>0</v>
      </c>
      <c r="G87" s="304">
        <f t="shared" si="7"/>
        <v>0</v>
      </c>
    </row>
    <row r="88" spans="1:7">
      <c r="A88" s="6" t="s">
        <v>183</v>
      </c>
      <c r="B88" s="117"/>
      <c r="C88" s="6"/>
      <c r="D88" s="352">
        <f t="shared" si="5"/>
        <v>0</v>
      </c>
      <c r="E88" s="352">
        <f t="shared" si="6"/>
        <v>0</v>
      </c>
      <c r="F88" s="352">
        <f t="shared" si="4"/>
        <v>0</v>
      </c>
      <c r="G88" s="304">
        <f t="shared" si="7"/>
        <v>0</v>
      </c>
    </row>
    <row r="89" spans="1:7">
      <c r="A89" s="6" t="s">
        <v>117</v>
      </c>
      <c r="B89" s="117"/>
      <c r="C89" s="6"/>
      <c r="D89" s="352">
        <f t="shared" si="5"/>
        <v>0</v>
      </c>
      <c r="E89" s="352">
        <f t="shared" si="6"/>
        <v>0</v>
      </c>
      <c r="F89" s="352">
        <f t="shared" si="4"/>
        <v>0</v>
      </c>
      <c r="G89" s="304">
        <f t="shared" si="7"/>
        <v>0</v>
      </c>
    </row>
    <row r="90" spans="1:7">
      <c r="A90" s="6" t="s">
        <v>118</v>
      </c>
      <c r="B90" s="117"/>
      <c r="C90" s="6"/>
      <c r="D90" s="352">
        <f t="shared" si="5"/>
        <v>0</v>
      </c>
      <c r="E90" s="352">
        <f t="shared" si="6"/>
        <v>0</v>
      </c>
      <c r="F90" s="352">
        <f t="shared" si="4"/>
        <v>0</v>
      </c>
      <c r="G90" s="304">
        <f t="shared" si="7"/>
        <v>0</v>
      </c>
    </row>
    <row r="91" spans="1:7">
      <c r="A91" s="6" t="s">
        <v>118</v>
      </c>
      <c r="B91" s="117"/>
      <c r="C91" s="6"/>
      <c r="D91" s="352">
        <f t="shared" si="5"/>
        <v>0</v>
      </c>
      <c r="E91" s="352">
        <f t="shared" si="6"/>
        <v>0</v>
      </c>
      <c r="F91" s="352">
        <f t="shared" si="4"/>
        <v>0</v>
      </c>
      <c r="G91" s="304">
        <f t="shared" si="7"/>
        <v>0</v>
      </c>
    </row>
    <row r="92" spans="1:7">
      <c r="A92" s="6" t="s">
        <v>119</v>
      </c>
      <c r="B92" s="117"/>
      <c r="C92" s="6"/>
      <c r="D92" s="352">
        <f t="shared" si="5"/>
        <v>0</v>
      </c>
      <c r="E92" s="352">
        <f t="shared" si="6"/>
        <v>0</v>
      </c>
      <c r="F92" s="352">
        <f t="shared" si="4"/>
        <v>0</v>
      </c>
      <c r="G92" s="304">
        <f t="shared" si="7"/>
        <v>0</v>
      </c>
    </row>
    <row r="93" spans="1:7">
      <c r="A93" s="6" t="s">
        <v>152</v>
      </c>
      <c r="B93" s="117"/>
      <c r="C93" s="6"/>
      <c r="D93" s="352">
        <f t="shared" si="5"/>
        <v>0</v>
      </c>
      <c r="E93" s="352">
        <f t="shared" si="6"/>
        <v>0</v>
      </c>
      <c r="F93" s="352">
        <f t="shared" si="4"/>
        <v>0</v>
      </c>
      <c r="G93" s="304">
        <f t="shared" si="7"/>
        <v>0</v>
      </c>
    </row>
    <row r="94" spans="1:7">
      <c r="A94" s="88" t="s">
        <v>187</v>
      </c>
      <c r="B94" s="268"/>
      <c r="C94" s="88">
        <v>10</v>
      </c>
      <c r="D94" s="353">
        <f t="shared" si="5"/>
        <v>245.64356435643566</v>
      </c>
      <c r="E94" s="353">
        <f t="shared" ref="E94" si="8">D94/D$132*E$132</f>
        <v>8726.9306930693074</v>
      </c>
      <c r="F94" s="353">
        <f t="shared" ref="F94" si="9">E94/E$132*F$132</f>
        <v>18.96039603960396</v>
      </c>
      <c r="G94" s="305">
        <f t="shared" si="7"/>
        <v>8991.5346534653472</v>
      </c>
    </row>
    <row r="95" spans="1:7">
      <c r="A95" s="6" t="s">
        <v>153</v>
      </c>
      <c r="B95" s="268"/>
      <c r="C95" s="88"/>
      <c r="D95" s="353">
        <f t="shared" ref="D95:D128" si="10">C95/C$132*D$132</f>
        <v>0</v>
      </c>
      <c r="E95" s="353">
        <f t="shared" ref="E95:E128" si="11">D95/D$132*E$132</f>
        <v>0</v>
      </c>
      <c r="F95" s="353">
        <f t="shared" ref="F95:F128" si="12">E95/E$132*F$132</f>
        <v>0</v>
      </c>
      <c r="G95" s="305">
        <f t="shared" si="7"/>
        <v>0</v>
      </c>
    </row>
    <row r="96" spans="1:7">
      <c r="A96" s="88" t="s">
        <v>154</v>
      </c>
      <c r="B96" s="268"/>
      <c r="C96" s="88">
        <v>30</v>
      </c>
      <c r="D96" s="353">
        <f t="shared" si="10"/>
        <v>736.93069306930693</v>
      </c>
      <c r="E96" s="353">
        <f t="shared" si="11"/>
        <v>26180.79207920792</v>
      </c>
      <c r="F96" s="353">
        <f t="shared" si="12"/>
        <v>56.881188118811878</v>
      </c>
      <c r="G96" s="305">
        <f t="shared" si="7"/>
        <v>26974.603960396038</v>
      </c>
    </row>
    <row r="97" spans="1:10">
      <c r="A97" s="78" t="s">
        <v>155</v>
      </c>
      <c r="B97" s="127">
        <v>46.627000000000002</v>
      </c>
      <c r="C97" s="6">
        <v>10.5</v>
      </c>
      <c r="D97" s="353">
        <f t="shared" si="10"/>
        <v>257.92574257425741</v>
      </c>
      <c r="E97" s="353">
        <f t="shared" si="11"/>
        <v>9163.2772277227723</v>
      </c>
      <c r="F97" s="353">
        <f t="shared" si="12"/>
        <v>19.908415841584159</v>
      </c>
      <c r="G97" s="304">
        <f t="shared" si="7"/>
        <v>9441.1113861386148</v>
      </c>
    </row>
    <row r="98" spans="1:10">
      <c r="A98" s="78" t="s">
        <v>155</v>
      </c>
      <c r="B98" s="127"/>
      <c r="C98" s="52"/>
      <c r="D98" s="353">
        <f t="shared" si="10"/>
        <v>0</v>
      </c>
      <c r="E98" s="353">
        <f t="shared" si="11"/>
        <v>0</v>
      </c>
      <c r="F98" s="353">
        <f t="shared" si="12"/>
        <v>0</v>
      </c>
      <c r="G98" s="304">
        <f t="shared" si="7"/>
        <v>0</v>
      </c>
    </row>
    <row r="99" spans="1:10">
      <c r="A99" s="78" t="s">
        <v>156</v>
      </c>
      <c r="B99" s="127">
        <v>326.654</v>
      </c>
      <c r="C99" s="52">
        <v>71.5</v>
      </c>
      <c r="D99" s="353">
        <f t="shared" si="10"/>
        <v>1756.3514851485147</v>
      </c>
      <c r="E99" s="353">
        <f t="shared" si="11"/>
        <v>62397.554455445541</v>
      </c>
      <c r="F99" s="353">
        <f t="shared" si="12"/>
        <v>135.56683168316832</v>
      </c>
      <c r="G99" s="304">
        <f t="shared" si="7"/>
        <v>64289.472772277222</v>
      </c>
      <c r="J99" s="95"/>
    </row>
    <row r="100" spans="1:10">
      <c r="A100" s="78" t="s">
        <v>156</v>
      </c>
      <c r="B100" s="109"/>
      <c r="C100" s="6"/>
      <c r="D100" s="353">
        <f t="shared" si="10"/>
        <v>0</v>
      </c>
      <c r="E100" s="353">
        <f t="shared" si="11"/>
        <v>0</v>
      </c>
      <c r="F100" s="353">
        <f t="shared" si="12"/>
        <v>0</v>
      </c>
      <c r="G100" s="304">
        <f t="shared" si="7"/>
        <v>0</v>
      </c>
    </row>
    <row r="101" spans="1:10">
      <c r="A101" s="78" t="s">
        <v>165</v>
      </c>
      <c r="B101" s="109"/>
      <c r="C101" s="6"/>
      <c r="D101" s="353">
        <f t="shared" si="10"/>
        <v>0</v>
      </c>
      <c r="E101" s="353">
        <f t="shared" si="11"/>
        <v>0</v>
      </c>
      <c r="F101" s="353">
        <f t="shared" si="12"/>
        <v>0</v>
      </c>
      <c r="G101" s="304">
        <f t="shared" si="7"/>
        <v>0</v>
      </c>
    </row>
    <row r="102" spans="1:10">
      <c r="A102" s="78" t="s">
        <v>210</v>
      </c>
      <c r="B102" s="109">
        <v>15.268000000000001</v>
      </c>
      <c r="C102" s="6">
        <v>0</v>
      </c>
      <c r="D102" s="353">
        <f t="shared" si="10"/>
        <v>0</v>
      </c>
      <c r="E102" s="353">
        <f t="shared" si="11"/>
        <v>0</v>
      </c>
      <c r="F102" s="353">
        <f t="shared" si="12"/>
        <v>0</v>
      </c>
      <c r="G102" s="304">
        <f t="shared" si="7"/>
        <v>0</v>
      </c>
    </row>
    <row r="103" spans="1:10">
      <c r="A103" s="78" t="s">
        <v>191</v>
      </c>
      <c r="B103" s="109"/>
      <c r="C103" s="6"/>
      <c r="D103" s="353">
        <f t="shared" si="10"/>
        <v>0</v>
      </c>
      <c r="E103" s="353">
        <f t="shared" si="11"/>
        <v>0</v>
      </c>
      <c r="F103" s="353">
        <f t="shared" si="12"/>
        <v>0</v>
      </c>
      <c r="G103" s="304">
        <f t="shared" si="7"/>
        <v>0</v>
      </c>
    </row>
    <row r="104" spans="1:10">
      <c r="A104" s="78" t="s">
        <v>157</v>
      </c>
      <c r="B104" s="109"/>
      <c r="C104" s="6"/>
      <c r="D104" s="353">
        <f t="shared" si="10"/>
        <v>0</v>
      </c>
      <c r="E104" s="353">
        <f t="shared" si="11"/>
        <v>0</v>
      </c>
      <c r="F104" s="353">
        <f t="shared" si="12"/>
        <v>0</v>
      </c>
      <c r="G104" s="304">
        <f t="shared" si="7"/>
        <v>0</v>
      </c>
    </row>
    <row r="105" spans="1:10">
      <c r="A105" s="78" t="s">
        <v>166</v>
      </c>
      <c r="B105" s="109"/>
      <c r="C105" s="6"/>
      <c r="D105" s="353">
        <f t="shared" si="10"/>
        <v>0</v>
      </c>
      <c r="E105" s="353">
        <f t="shared" si="11"/>
        <v>0</v>
      </c>
      <c r="F105" s="353">
        <f t="shared" si="12"/>
        <v>0</v>
      </c>
      <c r="G105" s="304">
        <f t="shared" si="7"/>
        <v>0</v>
      </c>
    </row>
    <row r="106" spans="1:10">
      <c r="A106" s="78" t="s">
        <v>120</v>
      </c>
      <c r="B106" s="109"/>
      <c r="C106" s="6"/>
      <c r="D106" s="353">
        <f t="shared" si="10"/>
        <v>0</v>
      </c>
      <c r="E106" s="353">
        <f t="shared" si="11"/>
        <v>0</v>
      </c>
      <c r="F106" s="353">
        <f t="shared" si="12"/>
        <v>0</v>
      </c>
      <c r="G106" s="304">
        <f t="shared" si="7"/>
        <v>0</v>
      </c>
    </row>
    <row r="107" spans="1:10">
      <c r="A107" s="78" t="s">
        <v>192</v>
      </c>
      <c r="B107" s="109"/>
      <c r="C107" s="6"/>
      <c r="D107" s="353">
        <f t="shared" si="10"/>
        <v>0</v>
      </c>
      <c r="E107" s="353">
        <f t="shared" si="11"/>
        <v>0</v>
      </c>
      <c r="F107" s="353">
        <f t="shared" si="12"/>
        <v>0</v>
      </c>
      <c r="G107" s="304">
        <f t="shared" si="7"/>
        <v>0</v>
      </c>
    </row>
    <row r="108" spans="1:10">
      <c r="A108" s="78" t="s">
        <v>193</v>
      </c>
      <c r="B108" s="109"/>
      <c r="C108" s="6"/>
      <c r="D108" s="353">
        <f t="shared" si="10"/>
        <v>0</v>
      </c>
      <c r="E108" s="353">
        <f t="shared" si="11"/>
        <v>0</v>
      </c>
      <c r="F108" s="353">
        <f t="shared" si="12"/>
        <v>0</v>
      </c>
      <c r="G108" s="304">
        <f t="shared" si="7"/>
        <v>0</v>
      </c>
    </row>
    <row r="109" spans="1:10">
      <c r="A109" s="78" t="s">
        <v>158</v>
      </c>
      <c r="B109" s="109"/>
      <c r="C109" s="6"/>
      <c r="D109" s="353">
        <f t="shared" si="10"/>
        <v>0</v>
      </c>
      <c r="E109" s="353">
        <f t="shared" si="11"/>
        <v>0</v>
      </c>
      <c r="F109" s="353">
        <f t="shared" si="12"/>
        <v>0</v>
      </c>
      <c r="G109" s="304">
        <f t="shared" si="7"/>
        <v>0</v>
      </c>
    </row>
    <row r="110" spans="1:10">
      <c r="A110" s="78" t="s">
        <v>159</v>
      </c>
      <c r="B110" s="109"/>
      <c r="C110" s="6"/>
      <c r="D110" s="353">
        <f t="shared" si="10"/>
        <v>0</v>
      </c>
      <c r="E110" s="353">
        <f t="shared" si="11"/>
        <v>0</v>
      </c>
      <c r="F110" s="353">
        <f t="shared" si="12"/>
        <v>0</v>
      </c>
      <c r="G110" s="304">
        <f t="shared" si="7"/>
        <v>0</v>
      </c>
    </row>
    <row r="111" spans="1:10">
      <c r="A111" s="78" t="s">
        <v>160</v>
      </c>
      <c r="B111" s="109"/>
      <c r="C111" s="6"/>
      <c r="D111" s="353">
        <f t="shared" si="10"/>
        <v>0</v>
      </c>
      <c r="E111" s="353">
        <f t="shared" si="11"/>
        <v>0</v>
      </c>
      <c r="F111" s="353">
        <f t="shared" si="12"/>
        <v>0</v>
      </c>
      <c r="G111" s="304">
        <f t="shared" si="7"/>
        <v>0</v>
      </c>
    </row>
    <row r="112" spans="1:10">
      <c r="A112" s="78" t="s">
        <v>174</v>
      </c>
      <c r="B112" s="109"/>
      <c r="C112" s="6"/>
      <c r="D112" s="353">
        <f t="shared" si="10"/>
        <v>0</v>
      </c>
      <c r="E112" s="353">
        <f t="shared" si="11"/>
        <v>0</v>
      </c>
      <c r="F112" s="353">
        <f t="shared" si="12"/>
        <v>0</v>
      </c>
      <c r="G112" s="304">
        <f t="shared" si="7"/>
        <v>0</v>
      </c>
    </row>
    <row r="113" spans="1:7">
      <c r="A113" s="78" t="s">
        <v>161</v>
      </c>
      <c r="B113" s="109"/>
      <c r="C113" s="6"/>
      <c r="D113" s="353">
        <f t="shared" si="10"/>
        <v>0</v>
      </c>
      <c r="E113" s="353">
        <f t="shared" si="11"/>
        <v>0</v>
      </c>
      <c r="F113" s="353">
        <f t="shared" si="12"/>
        <v>0</v>
      </c>
      <c r="G113" s="304">
        <f t="shared" si="7"/>
        <v>0</v>
      </c>
    </row>
    <row r="114" spans="1:7">
      <c r="A114" s="78" t="s">
        <v>162</v>
      </c>
      <c r="B114" s="109"/>
      <c r="C114" s="8"/>
      <c r="D114" s="353">
        <f t="shared" si="10"/>
        <v>0</v>
      </c>
      <c r="E114" s="353">
        <f t="shared" si="11"/>
        <v>0</v>
      </c>
      <c r="F114" s="353">
        <f t="shared" si="12"/>
        <v>0</v>
      </c>
      <c r="G114" s="304">
        <f t="shared" si="7"/>
        <v>0</v>
      </c>
    </row>
    <row r="115" spans="1:7">
      <c r="A115" s="78" t="s">
        <v>194</v>
      </c>
      <c r="B115" s="109"/>
      <c r="C115" s="8"/>
      <c r="D115" s="353">
        <f t="shared" si="10"/>
        <v>0</v>
      </c>
      <c r="E115" s="353">
        <f t="shared" si="11"/>
        <v>0</v>
      </c>
      <c r="F115" s="353">
        <f t="shared" si="12"/>
        <v>0</v>
      </c>
      <c r="G115" s="304">
        <f t="shared" si="7"/>
        <v>0</v>
      </c>
    </row>
    <row r="116" spans="1:7">
      <c r="A116" s="78" t="s">
        <v>208</v>
      </c>
      <c r="B116" s="109"/>
      <c r="C116" s="8"/>
      <c r="D116" s="353">
        <f t="shared" si="10"/>
        <v>0</v>
      </c>
      <c r="E116" s="353">
        <f t="shared" si="11"/>
        <v>0</v>
      </c>
      <c r="F116" s="353">
        <f t="shared" si="12"/>
        <v>0</v>
      </c>
      <c r="G116" s="304">
        <f t="shared" si="7"/>
        <v>0</v>
      </c>
    </row>
    <row r="117" spans="1:7">
      <c r="A117" s="78" t="s">
        <v>175</v>
      </c>
      <c r="B117" s="109"/>
      <c r="C117" s="8"/>
      <c r="D117" s="353">
        <f t="shared" si="10"/>
        <v>0</v>
      </c>
      <c r="E117" s="353">
        <f t="shared" si="11"/>
        <v>0</v>
      </c>
      <c r="F117" s="353">
        <f t="shared" si="12"/>
        <v>0</v>
      </c>
      <c r="G117" s="304">
        <f t="shared" si="7"/>
        <v>0</v>
      </c>
    </row>
    <row r="118" spans="1:7">
      <c r="A118" s="78" t="s">
        <v>176</v>
      </c>
      <c r="B118" s="109">
        <v>84.36</v>
      </c>
      <c r="C118" s="8">
        <v>20.5</v>
      </c>
      <c r="D118" s="353">
        <f t="shared" si="10"/>
        <v>503.56930693069313</v>
      </c>
      <c r="E118" s="353">
        <f t="shared" si="11"/>
        <v>17890.20792079208</v>
      </c>
      <c r="F118" s="353">
        <f t="shared" si="12"/>
        <v>38.868811881188122</v>
      </c>
      <c r="G118" s="304">
        <f t="shared" si="7"/>
        <v>18432.646039603962</v>
      </c>
    </row>
    <row r="119" spans="1:7">
      <c r="A119" s="78" t="s">
        <v>195</v>
      </c>
      <c r="B119" s="109"/>
      <c r="C119" s="8"/>
      <c r="D119" s="353">
        <f t="shared" si="10"/>
        <v>0</v>
      </c>
      <c r="E119" s="353">
        <f t="shared" si="11"/>
        <v>0</v>
      </c>
      <c r="F119" s="353">
        <f t="shared" si="12"/>
        <v>0</v>
      </c>
      <c r="G119" s="304">
        <f t="shared" si="7"/>
        <v>0</v>
      </c>
    </row>
    <row r="120" spans="1:7">
      <c r="A120" s="78" t="s">
        <v>121</v>
      </c>
      <c r="B120" s="100"/>
      <c r="C120" s="8"/>
      <c r="D120" s="353">
        <f t="shared" si="10"/>
        <v>0</v>
      </c>
      <c r="E120" s="353">
        <f t="shared" si="11"/>
        <v>0</v>
      </c>
      <c r="F120" s="353">
        <f t="shared" si="12"/>
        <v>0</v>
      </c>
      <c r="G120" s="304">
        <f t="shared" si="7"/>
        <v>0</v>
      </c>
    </row>
    <row r="121" spans="1:7">
      <c r="A121" s="78" t="s">
        <v>196</v>
      </c>
      <c r="B121" s="100"/>
      <c r="C121" s="8"/>
      <c r="D121" s="353">
        <f t="shared" si="10"/>
        <v>0</v>
      </c>
      <c r="E121" s="353">
        <f t="shared" si="11"/>
        <v>0</v>
      </c>
      <c r="F121" s="353">
        <f t="shared" si="12"/>
        <v>0</v>
      </c>
      <c r="G121" s="304">
        <f t="shared" si="7"/>
        <v>0</v>
      </c>
    </row>
    <row r="122" spans="1:7">
      <c r="A122" s="78" t="s">
        <v>122</v>
      </c>
      <c r="B122" s="109"/>
      <c r="C122" s="8"/>
      <c r="D122" s="353">
        <f t="shared" si="10"/>
        <v>0</v>
      </c>
      <c r="E122" s="353">
        <f t="shared" si="11"/>
        <v>0</v>
      </c>
      <c r="F122" s="353">
        <f t="shared" si="12"/>
        <v>0</v>
      </c>
      <c r="G122" s="304">
        <f t="shared" si="7"/>
        <v>0</v>
      </c>
    </row>
    <row r="123" spans="1:7">
      <c r="A123" s="78" t="s">
        <v>164</v>
      </c>
      <c r="B123" s="127">
        <v>92.025000000000006</v>
      </c>
      <c r="C123" s="52">
        <v>28</v>
      </c>
      <c r="D123" s="353">
        <f t="shared" si="10"/>
        <v>687.80198019801981</v>
      </c>
      <c r="E123" s="353">
        <f t="shared" si="11"/>
        <v>24435.405940594061</v>
      </c>
      <c r="F123" s="353">
        <f t="shared" si="12"/>
        <v>53.089108910891092</v>
      </c>
      <c r="G123" s="304">
        <f t="shared" si="7"/>
        <v>25176.297029702971</v>
      </c>
    </row>
    <row r="124" spans="1:7">
      <c r="A124" s="78" t="s">
        <v>76</v>
      </c>
      <c r="B124" s="109"/>
      <c r="C124" s="8"/>
      <c r="D124" s="353">
        <f t="shared" si="10"/>
        <v>0</v>
      </c>
      <c r="E124" s="353">
        <f t="shared" si="11"/>
        <v>0</v>
      </c>
      <c r="F124" s="353">
        <f t="shared" si="12"/>
        <v>0</v>
      </c>
      <c r="G124" s="304">
        <f t="shared" si="7"/>
        <v>0</v>
      </c>
    </row>
    <row r="125" spans="1:7">
      <c r="A125" s="78" t="s">
        <v>163</v>
      </c>
      <c r="B125" s="109"/>
      <c r="C125" s="8"/>
      <c r="D125" s="353">
        <f t="shared" si="10"/>
        <v>0</v>
      </c>
      <c r="E125" s="353">
        <f t="shared" si="11"/>
        <v>0</v>
      </c>
      <c r="F125" s="353">
        <f t="shared" si="12"/>
        <v>0</v>
      </c>
      <c r="G125" s="304">
        <f t="shared" si="7"/>
        <v>0</v>
      </c>
    </row>
    <row r="126" spans="1:7">
      <c r="A126" s="78" t="s">
        <v>163</v>
      </c>
      <c r="B126" s="109"/>
      <c r="C126" s="8"/>
      <c r="D126" s="353">
        <f t="shared" si="10"/>
        <v>0</v>
      </c>
      <c r="E126" s="353">
        <f t="shared" si="11"/>
        <v>0</v>
      </c>
      <c r="F126" s="353">
        <f t="shared" si="12"/>
        <v>0</v>
      </c>
      <c r="G126" s="304">
        <f t="shared" si="7"/>
        <v>0</v>
      </c>
    </row>
    <row r="127" spans="1:7">
      <c r="A127" s="78" t="s">
        <v>177</v>
      </c>
      <c r="B127" s="109">
        <v>171.179</v>
      </c>
      <c r="C127" s="8">
        <v>20</v>
      </c>
      <c r="D127" s="353">
        <f t="shared" si="10"/>
        <v>491.28712871287132</v>
      </c>
      <c r="E127" s="353">
        <f t="shared" si="11"/>
        <v>17453.861386138615</v>
      </c>
      <c r="F127" s="353">
        <f t="shared" si="12"/>
        <v>37.920792079207921</v>
      </c>
      <c r="G127" s="304">
        <f t="shared" si="7"/>
        <v>17983.069306930694</v>
      </c>
    </row>
    <row r="128" spans="1:7">
      <c r="A128" s="78" t="s">
        <v>209</v>
      </c>
      <c r="B128" s="109">
        <v>46.773000000000003</v>
      </c>
      <c r="C128" s="8">
        <v>11.5</v>
      </c>
      <c r="D128" s="353">
        <f t="shared" si="10"/>
        <v>282.49009900990097</v>
      </c>
      <c r="E128" s="353">
        <f t="shared" si="11"/>
        <v>10035.970297029702</v>
      </c>
      <c r="F128" s="353">
        <f t="shared" si="12"/>
        <v>21.804455445544551</v>
      </c>
      <c r="G128" s="304">
        <f t="shared" si="7"/>
        <v>10340.264851485148</v>
      </c>
    </row>
    <row r="129" spans="1:9">
      <c r="A129" s="78" t="s">
        <v>178</v>
      </c>
      <c r="B129" s="127"/>
      <c r="C129" s="52"/>
      <c r="D129" s="350"/>
      <c r="E129" s="350"/>
      <c r="F129" s="350"/>
      <c r="G129" s="302"/>
    </row>
    <row r="130" spans="1:9">
      <c r="A130" s="78" t="s">
        <v>42</v>
      </c>
      <c r="B130" s="127"/>
      <c r="C130" s="52"/>
      <c r="D130" s="350"/>
      <c r="E130" s="350"/>
      <c r="F130" s="350"/>
      <c r="G130" s="302"/>
    </row>
    <row r="131" spans="1:9">
      <c r="A131" s="218" t="s">
        <v>316</v>
      </c>
      <c r="B131" s="127"/>
      <c r="C131" s="52"/>
      <c r="D131" s="354">
        <v>0</v>
      </c>
      <c r="E131" s="354">
        <v>0</v>
      </c>
      <c r="F131" s="354">
        <f>8/31*F133</f>
        <v>43040.44903225806</v>
      </c>
      <c r="G131" s="306">
        <f>SUM(D131:F131)</f>
        <v>43040.44903225806</v>
      </c>
      <c r="H131" s="289" t="s">
        <v>335</v>
      </c>
      <c r="I131" s="270" t="s">
        <v>340</v>
      </c>
    </row>
    <row r="132" spans="1:9">
      <c r="A132" s="10" t="s">
        <v>10</v>
      </c>
      <c r="B132" s="113"/>
      <c r="C132" s="10">
        <f>SUM(C79:C131)</f>
        <v>202</v>
      </c>
      <c r="D132" s="355">
        <v>4962</v>
      </c>
      <c r="E132" s="356">
        <f>136498+39786</f>
        <v>176284</v>
      </c>
      <c r="F132" s="356">
        <v>383</v>
      </c>
      <c r="G132" s="307">
        <f>SUM(D132:F132)</f>
        <v>181629</v>
      </c>
      <c r="H132" s="71">
        <f>SUM(H133:H135)</f>
        <v>226626.79096774192</v>
      </c>
      <c r="I132" s="71">
        <f>F97+F99+F102+F118+F123+F127+F128+[1]三项费用分配!$F$2746+[1]三项费用分配!$F$2767+[1]三项费用分配!$F$2792</f>
        <v>46176.28259884812</v>
      </c>
    </row>
    <row r="133" spans="1:9">
      <c r="A133" s="131" t="s">
        <v>317</v>
      </c>
      <c r="B133" s="122"/>
      <c r="C133" s="55"/>
      <c r="E133" s="328" t="s">
        <v>70</v>
      </c>
      <c r="F133" s="357">
        <f>166781.74</f>
        <v>166781.74</v>
      </c>
      <c r="G133" s="308">
        <f>F133/F132</f>
        <v>435.46146214099213</v>
      </c>
      <c r="H133" s="71">
        <f>F133-F131</f>
        <v>123741.29096774192</v>
      </c>
      <c r="I133" s="71">
        <f>G133*I132</f>
        <v>20107991.536730055</v>
      </c>
    </row>
    <row r="134" spans="1:9" ht="24">
      <c r="A134" s="102" t="s">
        <v>318</v>
      </c>
      <c r="B134" s="123"/>
      <c r="C134" s="66"/>
      <c r="D134" s="358"/>
      <c r="E134" s="328" t="s">
        <v>72</v>
      </c>
      <c r="F134" s="359">
        <f>33393.19</f>
        <v>33393.19</v>
      </c>
      <c r="G134" s="91">
        <f>F134/F132</f>
        <v>87.188485639686689</v>
      </c>
      <c r="H134" s="71">
        <f>F134</f>
        <v>33393.19</v>
      </c>
      <c r="I134" s="71">
        <f>G134*I132</f>
        <v>4026040.1522637838</v>
      </c>
    </row>
    <row r="135" spans="1:9">
      <c r="A135" s="66"/>
      <c r="B135" s="123"/>
      <c r="C135" s="66"/>
      <c r="D135" s="358"/>
      <c r="E135" s="328" t="s">
        <v>71</v>
      </c>
      <c r="F135" s="359">
        <f>5008.55+807.69+786.32+62889.75</f>
        <v>69492.31</v>
      </c>
      <c r="G135" s="91">
        <f>F135/F132</f>
        <v>181.44206266318537</v>
      </c>
      <c r="H135" s="71">
        <f>F135</f>
        <v>69492.31</v>
      </c>
      <c r="I135" s="71">
        <f>I132*G135</f>
        <v>8378319.9608531566</v>
      </c>
    </row>
    <row r="136" spans="1:9">
      <c r="A136" s="66"/>
      <c r="B136" s="123"/>
      <c r="C136" s="66"/>
      <c r="D136" s="358"/>
      <c r="E136" s="328"/>
      <c r="F136" s="359"/>
      <c r="G136" s="91"/>
    </row>
    <row r="137" spans="1:9" s="199" customFormat="1">
      <c r="A137" s="219"/>
      <c r="B137" s="220"/>
      <c r="C137" s="219"/>
      <c r="D137" s="360"/>
      <c r="E137" s="340"/>
      <c r="F137" s="361"/>
      <c r="G137" s="309"/>
      <c r="H137" s="238"/>
      <c r="I137" s="200"/>
    </row>
    <row r="138" spans="1:9">
      <c r="A138" s="66"/>
      <c r="B138" s="123"/>
      <c r="C138" s="66"/>
      <c r="D138" s="358"/>
      <c r="E138" s="362"/>
      <c r="F138" s="359"/>
      <c r="G138" s="91"/>
    </row>
    <row r="139" spans="1:9">
      <c r="A139" s="454" t="s">
        <v>223</v>
      </c>
      <c r="B139" s="455"/>
      <c r="C139" s="455"/>
      <c r="D139" s="455"/>
      <c r="E139" s="455"/>
      <c r="F139" s="455"/>
      <c r="G139" s="456"/>
    </row>
    <row r="140" spans="1:9">
      <c r="A140" s="5" t="s">
        <v>4</v>
      </c>
      <c r="B140" s="115" t="s">
        <v>45</v>
      </c>
      <c r="C140" s="50" t="s">
        <v>46</v>
      </c>
      <c r="D140" s="322" t="s">
        <v>344</v>
      </c>
      <c r="E140" s="322" t="s">
        <v>345</v>
      </c>
      <c r="F140" s="322" t="s">
        <v>346</v>
      </c>
      <c r="G140" s="302" t="s">
        <v>50</v>
      </c>
    </row>
    <row r="141" spans="1:9">
      <c r="A141" s="9" t="s">
        <v>60</v>
      </c>
      <c r="B141" s="109"/>
      <c r="C141" s="52"/>
      <c r="D141" s="352"/>
      <c r="E141" s="352"/>
      <c r="F141" s="352"/>
      <c r="G141" s="304"/>
    </row>
    <row r="142" spans="1:9">
      <c r="A142" s="9" t="s">
        <v>151</v>
      </c>
      <c r="B142" s="109"/>
      <c r="C142" s="52"/>
      <c r="D142" s="352"/>
      <c r="E142" s="352"/>
      <c r="F142" s="352"/>
      <c r="G142" s="304"/>
    </row>
    <row r="143" spans="1:9">
      <c r="A143" s="9" t="s">
        <v>123</v>
      </c>
      <c r="B143" s="109">
        <v>86.835999999999999</v>
      </c>
      <c r="C143" s="52">
        <v>0</v>
      </c>
      <c r="D143" s="351">
        <f>C143/C$193*D$193</f>
        <v>0</v>
      </c>
      <c r="E143" s="351">
        <f>C143/C$193*E$193</f>
        <v>0</v>
      </c>
      <c r="F143" s="351">
        <f>C143/C$193*H$193</f>
        <v>0</v>
      </c>
      <c r="G143" s="304">
        <f>SUM(D143:F143)</f>
        <v>0</v>
      </c>
    </row>
    <row r="144" spans="1:9">
      <c r="A144" s="9" t="s">
        <v>138</v>
      </c>
      <c r="B144" s="109"/>
      <c r="C144" s="52"/>
      <c r="D144" s="352">
        <f t="shared" ref="D144:D184" si="13">C144/C$193*D$193</f>
        <v>0</v>
      </c>
      <c r="E144" s="352">
        <f t="shared" ref="E144:E184" si="14">C144/C$193*E$193</f>
        <v>0</v>
      </c>
      <c r="F144" s="352">
        <f t="shared" ref="F144:F184" si="15">C144/C$193*H$193</f>
        <v>0</v>
      </c>
      <c r="G144" s="304">
        <f t="shared" ref="G144:G184" si="16">SUM(D144:F144)</f>
        <v>0</v>
      </c>
    </row>
    <row r="145" spans="1:7">
      <c r="A145" s="9" t="s">
        <v>197</v>
      </c>
      <c r="B145" s="109"/>
      <c r="C145" s="52"/>
      <c r="D145" s="352">
        <f t="shared" si="13"/>
        <v>0</v>
      </c>
      <c r="E145" s="352">
        <f t="shared" si="14"/>
        <v>0</v>
      </c>
      <c r="F145" s="352">
        <f t="shared" si="15"/>
        <v>0</v>
      </c>
      <c r="G145" s="304">
        <f t="shared" si="16"/>
        <v>0</v>
      </c>
    </row>
    <row r="146" spans="1:7">
      <c r="A146" s="9" t="s">
        <v>61</v>
      </c>
      <c r="B146" s="109"/>
      <c r="C146" s="52"/>
      <c r="D146" s="352">
        <f t="shared" si="13"/>
        <v>0</v>
      </c>
      <c r="E146" s="352">
        <f t="shared" si="14"/>
        <v>0</v>
      </c>
      <c r="F146" s="352">
        <f t="shared" si="15"/>
        <v>0</v>
      </c>
      <c r="G146" s="304">
        <f t="shared" si="16"/>
        <v>0</v>
      </c>
    </row>
    <row r="147" spans="1:7">
      <c r="A147" s="9" t="s">
        <v>124</v>
      </c>
      <c r="B147" s="109"/>
      <c r="C147" s="52"/>
      <c r="D147" s="352">
        <f t="shared" si="13"/>
        <v>0</v>
      </c>
      <c r="E147" s="352">
        <f t="shared" si="14"/>
        <v>0</v>
      </c>
      <c r="F147" s="352">
        <f t="shared" si="15"/>
        <v>0</v>
      </c>
      <c r="G147" s="304">
        <f t="shared" si="16"/>
        <v>0</v>
      </c>
    </row>
    <row r="148" spans="1:7">
      <c r="A148" s="96" t="s">
        <v>124</v>
      </c>
      <c r="B148" s="271"/>
      <c r="C148" s="272">
        <v>18</v>
      </c>
      <c r="D148" s="353">
        <f t="shared" si="13"/>
        <v>518.86153846153854</v>
      </c>
      <c r="E148" s="353">
        <f t="shared" si="14"/>
        <v>18551.907692307694</v>
      </c>
      <c r="F148" s="353">
        <f t="shared" si="15"/>
        <v>12772.317022332509</v>
      </c>
      <c r="G148" s="305">
        <f t="shared" si="16"/>
        <v>31843.086253101741</v>
      </c>
    </row>
    <row r="149" spans="1:7">
      <c r="A149" s="9" t="s">
        <v>139</v>
      </c>
      <c r="B149" s="109"/>
      <c r="C149" s="52"/>
      <c r="D149" s="352">
        <f t="shared" si="13"/>
        <v>0</v>
      </c>
      <c r="E149" s="352">
        <f t="shared" si="14"/>
        <v>0</v>
      </c>
      <c r="F149" s="352">
        <f t="shared" si="15"/>
        <v>0</v>
      </c>
      <c r="G149" s="304">
        <f t="shared" si="16"/>
        <v>0</v>
      </c>
    </row>
    <row r="150" spans="1:7">
      <c r="A150" s="9" t="s">
        <v>171</v>
      </c>
      <c r="B150" s="109"/>
      <c r="C150" s="52"/>
      <c r="D150" s="352">
        <f t="shared" si="13"/>
        <v>0</v>
      </c>
      <c r="E150" s="352">
        <f t="shared" si="14"/>
        <v>0</v>
      </c>
      <c r="F150" s="352">
        <f t="shared" si="15"/>
        <v>0</v>
      </c>
      <c r="G150" s="304">
        <f t="shared" si="16"/>
        <v>0</v>
      </c>
    </row>
    <row r="151" spans="1:7">
      <c r="A151" s="9" t="s">
        <v>184</v>
      </c>
      <c r="B151" s="109"/>
      <c r="C151" s="52"/>
      <c r="D151" s="352">
        <f t="shared" si="13"/>
        <v>0</v>
      </c>
      <c r="E151" s="352">
        <f t="shared" si="14"/>
        <v>0</v>
      </c>
      <c r="F151" s="352">
        <f t="shared" si="15"/>
        <v>0</v>
      </c>
      <c r="G151" s="304">
        <f t="shared" si="16"/>
        <v>0</v>
      </c>
    </row>
    <row r="152" spans="1:7">
      <c r="A152" s="9" t="s">
        <v>125</v>
      </c>
      <c r="B152" s="109"/>
      <c r="C152" s="52"/>
      <c r="D152" s="352">
        <f t="shared" si="13"/>
        <v>0</v>
      </c>
      <c r="E152" s="352">
        <f t="shared" si="14"/>
        <v>0</v>
      </c>
      <c r="F152" s="352">
        <f t="shared" si="15"/>
        <v>0</v>
      </c>
      <c r="G152" s="304">
        <f t="shared" si="16"/>
        <v>0</v>
      </c>
    </row>
    <row r="153" spans="1:7">
      <c r="A153" s="9" t="s">
        <v>140</v>
      </c>
      <c r="B153" s="109"/>
      <c r="C153" s="52"/>
      <c r="D153" s="352">
        <f t="shared" si="13"/>
        <v>0</v>
      </c>
      <c r="E153" s="352">
        <f t="shared" si="14"/>
        <v>0</v>
      </c>
      <c r="F153" s="352">
        <f t="shared" si="15"/>
        <v>0</v>
      </c>
      <c r="G153" s="304">
        <f t="shared" si="16"/>
        <v>0</v>
      </c>
    </row>
    <row r="154" spans="1:7">
      <c r="A154" s="9" t="s">
        <v>141</v>
      </c>
      <c r="B154" s="109"/>
      <c r="C154" s="52"/>
      <c r="D154" s="352">
        <f t="shared" si="13"/>
        <v>0</v>
      </c>
      <c r="E154" s="352">
        <f t="shared" si="14"/>
        <v>0</v>
      </c>
      <c r="F154" s="352">
        <f t="shared" si="15"/>
        <v>0</v>
      </c>
      <c r="G154" s="304">
        <f t="shared" si="16"/>
        <v>0</v>
      </c>
    </row>
    <row r="155" spans="1:7">
      <c r="A155" s="9" t="s">
        <v>211</v>
      </c>
      <c r="B155" s="109"/>
      <c r="C155" s="52"/>
      <c r="D155" s="352">
        <f t="shared" si="13"/>
        <v>0</v>
      </c>
      <c r="E155" s="352">
        <f t="shared" si="14"/>
        <v>0</v>
      </c>
      <c r="F155" s="352">
        <f t="shared" si="15"/>
        <v>0</v>
      </c>
      <c r="G155" s="304">
        <f t="shared" si="16"/>
        <v>0</v>
      </c>
    </row>
    <row r="156" spans="1:7">
      <c r="A156" s="9" t="s">
        <v>142</v>
      </c>
      <c r="B156" s="127"/>
      <c r="C156" s="8"/>
      <c r="D156" s="352">
        <f t="shared" si="13"/>
        <v>0</v>
      </c>
      <c r="E156" s="352">
        <f t="shared" si="14"/>
        <v>0</v>
      </c>
      <c r="F156" s="352">
        <f t="shared" si="15"/>
        <v>0</v>
      </c>
      <c r="G156" s="304">
        <f t="shared" si="16"/>
        <v>0</v>
      </c>
    </row>
    <row r="157" spans="1:7">
      <c r="A157" s="9" t="s">
        <v>126</v>
      </c>
      <c r="B157" s="109">
        <v>12.916</v>
      </c>
      <c r="C157" s="52">
        <v>4.5</v>
      </c>
      <c r="D157" s="351">
        <f t="shared" si="13"/>
        <v>129.71538461538464</v>
      </c>
      <c r="E157" s="351">
        <f t="shared" si="14"/>
        <v>4637.9769230769234</v>
      </c>
      <c r="F157" s="351">
        <f t="shared" si="15"/>
        <v>3193.0792555831272</v>
      </c>
      <c r="G157" s="304">
        <f t="shared" si="16"/>
        <v>7960.7715632754353</v>
      </c>
    </row>
    <row r="158" spans="1:7">
      <c r="A158" s="9" t="s">
        <v>172</v>
      </c>
      <c r="B158" s="109"/>
      <c r="C158" s="52"/>
      <c r="D158" s="352">
        <f t="shared" si="13"/>
        <v>0</v>
      </c>
      <c r="E158" s="352">
        <f t="shared" si="14"/>
        <v>0</v>
      </c>
      <c r="F158" s="352">
        <f t="shared" si="15"/>
        <v>0</v>
      </c>
      <c r="G158" s="304">
        <f t="shared" si="16"/>
        <v>0</v>
      </c>
    </row>
    <row r="159" spans="1:7">
      <c r="A159" s="9" t="s">
        <v>127</v>
      </c>
      <c r="B159" s="109">
        <v>137.57</v>
      </c>
      <c r="C159" s="52">
        <v>30.5</v>
      </c>
      <c r="D159" s="351">
        <f t="shared" si="13"/>
        <v>879.18205128205125</v>
      </c>
      <c r="E159" s="351">
        <f t="shared" si="14"/>
        <v>31435.176923076924</v>
      </c>
      <c r="F159" s="351">
        <f t="shared" si="15"/>
        <v>21641.981621174527</v>
      </c>
      <c r="G159" s="304">
        <f t="shared" si="16"/>
        <v>53956.340595533504</v>
      </c>
    </row>
    <row r="160" spans="1:7">
      <c r="A160" s="96" t="s">
        <v>127</v>
      </c>
      <c r="B160" s="271"/>
      <c r="C160" s="272">
        <v>31.5</v>
      </c>
      <c r="D160" s="353">
        <f t="shared" si="13"/>
        <v>908.00769230769231</v>
      </c>
      <c r="E160" s="353">
        <f t="shared" si="14"/>
        <v>32465.838461538464</v>
      </c>
      <c r="F160" s="353">
        <f t="shared" si="15"/>
        <v>22351.554789081889</v>
      </c>
      <c r="G160" s="305">
        <f t="shared" si="16"/>
        <v>55725.400942928041</v>
      </c>
    </row>
    <row r="161" spans="1:7">
      <c r="A161" s="9" t="s">
        <v>212</v>
      </c>
      <c r="B161" s="109">
        <v>28.515999999999998</v>
      </c>
      <c r="C161" s="52">
        <v>7</v>
      </c>
      <c r="D161" s="351">
        <f t="shared" si="13"/>
        <v>201.77948717948718</v>
      </c>
      <c r="E161" s="351">
        <f t="shared" si="14"/>
        <v>7214.6307692307691</v>
      </c>
      <c r="F161" s="351">
        <f t="shared" si="15"/>
        <v>4967.0121753515305</v>
      </c>
      <c r="G161" s="304">
        <f t="shared" si="16"/>
        <v>12383.422431761786</v>
      </c>
    </row>
    <row r="162" spans="1:7">
      <c r="A162" s="9" t="s">
        <v>143</v>
      </c>
      <c r="B162" s="127"/>
      <c r="C162" s="8"/>
      <c r="D162" s="352">
        <f t="shared" si="13"/>
        <v>0</v>
      </c>
      <c r="E162" s="352">
        <f t="shared" si="14"/>
        <v>0</v>
      </c>
      <c r="F162" s="352">
        <f t="shared" si="15"/>
        <v>0</v>
      </c>
      <c r="G162" s="304">
        <f t="shared" si="16"/>
        <v>0</v>
      </c>
    </row>
    <row r="163" spans="1:7">
      <c r="A163" s="9" t="s">
        <v>62</v>
      </c>
      <c r="B163" s="109"/>
      <c r="C163" s="52"/>
      <c r="D163" s="352">
        <f t="shared" si="13"/>
        <v>0</v>
      </c>
      <c r="E163" s="352">
        <f t="shared" si="14"/>
        <v>0</v>
      </c>
      <c r="F163" s="352">
        <f t="shared" si="15"/>
        <v>0</v>
      </c>
      <c r="G163" s="304">
        <f t="shared" si="16"/>
        <v>0</v>
      </c>
    </row>
    <row r="164" spans="1:7">
      <c r="A164" s="9" t="s">
        <v>185</v>
      </c>
      <c r="B164" s="109"/>
      <c r="C164" s="52"/>
      <c r="D164" s="352">
        <f t="shared" si="13"/>
        <v>0</v>
      </c>
      <c r="E164" s="352">
        <f t="shared" si="14"/>
        <v>0</v>
      </c>
      <c r="F164" s="352">
        <f t="shared" si="15"/>
        <v>0</v>
      </c>
      <c r="G164" s="304">
        <f t="shared" si="16"/>
        <v>0</v>
      </c>
    </row>
    <row r="165" spans="1:7">
      <c r="A165" s="9" t="s">
        <v>128</v>
      </c>
      <c r="B165" s="109">
        <v>45.557000000000002</v>
      </c>
      <c r="C165" s="52">
        <v>10.5</v>
      </c>
      <c r="D165" s="351">
        <f t="shared" si="13"/>
        <v>302.66923076923081</v>
      </c>
      <c r="E165" s="351">
        <f t="shared" si="14"/>
        <v>10821.946153846155</v>
      </c>
      <c r="F165" s="351">
        <f t="shared" si="15"/>
        <v>7450.5182630272966</v>
      </c>
      <c r="G165" s="304">
        <f t="shared" si="16"/>
        <v>18575.13364764268</v>
      </c>
    </row>
    <row r="166" spans="1:7">
      <c r="A166" s="9" t="s">
        <v>128</v>
      </c>
      <c r="B166" s="109"/>
      <c r="C166" s="52"/>
      <c r="D166" s="352">
        <f t="shared" si="13"/>
        <v>0</v>
      </c>
      <c r="E166" s="352">
        <f t="shared" si="14"/>
        <v>0</v>
      </c>
      <c r="F166" s="352">
        <f t="shared" si="15"/>
        <v>0</v>
      </c>
      <c r="G166" s="304">
        <f t="shared" si="16"/>
        <v>0</v>
      </c>
    </row>
    <row r="167" spans="1:7">
      <c r="A167" s="9" t="s">
        <v>144</v>
      </c>
      <c r="B167" s="109">
        <v>42.854999999999997</v>
      </c>
      <c r="C167" s="52">
        <v>10.5</v>
      </c>
      <c r="D167" s="351">
        <f t="shared" si="13"/>
        <v>302.66923076923081</v>
      </c>
      <c r="E167" s="351">
        <f t="shared" si="14"/>
        <v>10821.946153846155</v>
      </c>
      <c r="F167" s="351">
        <f t="shared" si="15"/>
        <v>7450.5182630272966</v>
      </c>
      <c r="G167" s="304">
        <f t="shared" si="16"/>
        <v>18575.13364764268</v>
      </c>
    </row>
    <row r="168" spans="1:7">
      <c r="A168" s="9" t="s">
        <v>145</v>
      </c>
      <c r="B168" s="127">
        <v>135.797</v>
      </c>
      <c r="C168" s="8">
        <v>30.5</v>
      </c>
      <c r="D168" s="351">
        <f t="shared" si="13"/>
        <v>879.18205128205125</v>
      </c>
      <c r="E168" s="351">
        <f t="shared" si="14"/>
        <v>31435.176923076924</v>
      </c>
      <c r="F168" s="351">
        <f t="shared" si="15"/>
        <v>21641.981621174527</v>
      </c>
      <c r="G168" s="304">
        <f t="shared" si="16"/>
        <v>53956.340595533504</v>
      </c>
    </row>
    <row r="169" spans="1:7">
      <c r="A169" s="9" t="s">
        <v>129</v>
      </c>
      <c r="B169" s="109"/>
      <c r="C169" s="52"/>
      <c r="D169" s="352">
        <f t="shared" si="13"/>
        <v>0</v>
      </c>
      <c r="E169" s="352">
        <f t="shared" si="14"/>
        <v>0</v>
      </c>
      <c r="F169" s="352">
        <f t="shared" si="15"/>
        <v>0</v>
      </c>
      <c r="G169" s="304">
        <f t="shared" si="16"/>
        <v>0</v>
      </c>
    </row>
    <row r="170" spans="1:7">
      <c r="A170" s="9" t="s">
        <v>130</v>
      </c>
      <c r="B170" s="109">
        <v>114.374</v>
      </c>
      <c r="C170" s="52">
        <v>9</v>
      </c>
      <c r="D170" s="351">
        <f t="shared" si="13"/>
        <v>259.43076923076927</v>
      </c>
      <c r="E170" s="351">
        <f t="shared" si="14"/>
        <v>9275.9538461538468</v>
      </c>
      <c r="F170" s="351">
        <f t="shared" si="15"/>
        <v>6386.1585111662544</v>
      </c>
      <c r="G170" s="304">
        <f t="shared" si="16"/>
        <v>15921.543126550871</v>
      </c>
    </row>
    <row r="171" spans="1:7">
      <c r="A171" s="9" t="s">
        <v>198</v>
      </c>
      <c r="B171" s="109"/>
      <c r="C171" s="52"/>
      <c r="D171" s="352">
        <f t="shared" si="13"/>
        <v>0</v>
      </c>
      <c r="E171" s="352">
        <f t="shared" si="14"/>
        <v>0</v>
      </c>
      <c r="F171" s="352">
        <f t="shared" si="15"/>
        <v>0</v>
      </c>
      <c r="G171" s="304">
        <f t="shared" si="16"/>
        <v>0</v>
      </c>
    </row>
    <row r="172" spans="1:7">
      <c r="A172" s="9" t="s">
        <v>63</v>
      </c>
      <c r="B172" s="109">
        <v>9.6477000000000004</v>
      </c>
      <c r="C172" s="52">
        <v>0</v>
      </c>
      <c r="D172" s="351">
        <f t="shared" si="13"/>
        <v>0</v>
      </c>
      <c r="E172" s="351">
        <f t="shared" si="14"/>
        <v>0</v>
      </c>
      <c r="F172" s="351">
        <f t="shared" si="15"/>
        <v>0</v>
      </c>
      <c r="G172" s="304">
        <f t="shared" si="16"/>
        <v>0</v>
      </c>
    </row>
    <row r="173" spans="1:7">
      <c r="A173" s="9" t="s">
        <v>63</v>
      </c>
      <c r="B173" s="109"/>
      <c r="C173" s="52"/>
      <c r="D173" s="352">
        <f t="shared" si="13"/>
        <v>0</v>
      </c>
      <c r="E173" s="352">
        <f t="shared" si="14"/>
        <v>0</v>
      </c>
      <c r="F173" s="352">
        <f t="shared" si="15"/>
        <v>0</v>
      </c>
      <c r="G173" s="304">
        <f t="shared" si="16"/>
        <v>0</v>
      </c>
    </row>
    <row r="174" spans="1:7">
      <c r="A174" s="9" t="s">
        <v>131</v>
      </c>
      <c r="B174" s="109">
        <v>39.700000000000003</v>
      </c>
      <c r="C174" s="52">
        <v>8.5</v>
      </c>
      <c r="D174" s="351">
        <f t="shared" si="13"/>
        <v>245.01794871794871</v>
      </c>
      <c r="E174" s="351">
        <f t="shared" si="14"/>
        <v>8760.623076923077</v>
      </c>
      <c r="F174" s="351">
        <f t="shared" si="15"/>
        <v>6031.3719272125727</v>
      </c>
      <c r="G174" s="304">
        <f t="shared" si="16"/>
        <v>15037.012952853598</v>
      </c>
    </row>
    <row r="175" spans="1:7">
      <c r="A175" s="9" t="s">
        <v>131</v>
      </c>
      <c r="B175" s="109"/>
      <c r="C175" s="52"/>
      <c r="D175" s="352">
        <f t="shared" si="13"/>
        <v>0</v>
      </c>
      <c r="E175" s="352">
        <f t="shared" si="14"/>
        <v>0</v>
      </c>
      <c r="F175" s="352">
        <f t="shared" si="15"/>
        <v>0</v>
      </c>
      <c r="G175" s="304">
        <f t="shared" si="16"/>
        <v>0</v>
      </c>
    </row>
    <row r="176" spans="1:7">
      <c r="A176" s="9" t="s">
        <v>213</v>
      </c>
      <c r="B176" s="109"/>
      <c r="C176" s="52"/>
      <c r="D176" s="352">
        <f t="shared" si="13"/>
        <v>0</v>
      </c>
      <c r="E176" s="352">
        <f t="shared" si="14"/>
        <v>0</v>
      </c>
      <c r="F176" s="352">
        <f t="shared" si="15"/>
        <v>0</v>
      </c>
      <c r="G176" s="304">
        <f t="shared" si="16"/>
        <v>0</v>
      </c>
    </row>
    <row r="177" spans="1:10">
      <c r="A177" s="9" t="s">
        <v>132</v>
      </c>
      <c r="B177" s="109">
        <v>94.052000000000007</v>
      </c>
      <c r="C177" s="52">
        <v>20</v>
      </c>
      <c r="D177" s="351">
        <f t="shared" si="13"/>
        <v>576.51282051282044</v>
      </c>
      <c r="E177" s="351">
        <f t="shared" si="14"/>
        <v>20613.23076923077</v>
      </c>
      <c r="F177" s="351">
        <f t="shared" si="15"/>
        <v>14191.46335814723</v>
      </c>
      <c r="G177" s="304">
        <f t="shared" si="16"/>
        <v>35381.206947890823</v>
      </c>
    </row>
    <row r="178" spans="1:10">
      <c r="A178" s="9" t="s">
        <v>132</v>
      </c>
      <c r="B178" s="109"/>
      <c r="C178" s="52"/>
      <c r="D178" s="352">
        <f t="shared" si="13"/>
        <v>0</v>
      </c>
      <c r="E178" s="352">
        <f t="shared" si="14"/>
        <v>0</v>
      </c>
      <c r="F178" s="352">
        <f t="shared" si="15"/>
        <v>0</v>
      </c>
      <c r="G178" s="304">
        <f t="shared" si="16"/>
        <v>0</v>
      </c>
    </row>
    <row r="179" spans="1:10">
      <c r="A179" s="9" t="s">
        <v>134</v>
      </c>
      <c r="B179" s="109">
        <v>46.426000000000002</v>
      </c>
      <c r="C179" s="52">
        <v>10.5</v>
      </c>
      <c r="D179" s="351">
        <f t="shared" si="13"/>
        <v>302.66923076923081</v>
      </c>
      <c r="E179" s="351">
        <f t="shared" si="14"/>
        <v>10821.946153846155</v>
      </c>
      <c r="F179" s="351">
        <f t="shared" si="15"/>
        <v>7450.5182630272966</v>
      </c>
      <c r="G179" s="304">
        <f t="shared" si="16"/>
        <v>18575.13364764268</v>
      </c>
      <c r="J179" s="95"/>
    </row>
    <row r="180" spans="1:10">
      <c r="A180" s="9" t="s">
        <v>64</v>
      </c>
      <c r="B180" s="109"/>
      <c r="C180" s="52"/>
      <c r="D180" s="352">
        <f t="shared" si="13"/>
        <v>0</v>
      </c>
      <c r="E180" s="352">
        <f t="shared" si="14"/>
        <v>0</v>
      </c>
      <c r="F180" s="352">
        <f t="shared" si="15"/>
        <v>0</v>
      </c>
      <c r="G180" s="304">
        <f t="shared" si="16"/>
        <v>0</v>
      </c>
    </row>
    <row r="181" spans="1:10">
      <c r="A181" s="9" t="s">
        <v>65</v>
      </c>
      <c r="B181" s="109">
        <v>13.283799999999999</v>
      </c>
      <c r="C181" s="52">
        <v>0</v>
      </c>
      <c r="D181" s="351">
        <f t="shared" si="13"/>
        <v>0</v>
      </c>
      <c r="E181" s="351">
        <f t="shared" si="14"/>
        <v>0</v>
      </c>
      <c r="F181" s="351">
        <f t="shared" si="15"/>
        <v>0</v>
      </c>
      <c r="G181" s="304">
        <f t="shared" si="16"/>
        <v>0</v>
      </c>
    </row>
    <row r="182" spans="1:10">
      <c r="A182" s="9" t="s">
        <v>65</v>
      </c>
      <c r="B182" s="109"/>
      <c r="C182" s="52"/>
      <c r="D182" s="352">
        <f t="shared" si="13"/>
        <v>0</v>
      </c>
      <c r="E182" s="352">
        <f t="shared" si="14"/>
        <v>0</v>
      </c>
      <c r="F182" s="352">
        <f t="shared" si="15"/>
        <v>0</v>
      </c>
      <c r="G182" s="304">
        <f t="shared" si="16"/>
        <v>0</v>
      </c>
    </row>
    <row r="183" spans="1:10">
      <c r="A183" s="9" t="s">
        <v>133</v>
      </c>
      <c r="B183" s="109"/>
      <c r="C183" s="52"/>
      <c r="D183" s="352">
        <f t="shared" si="13"/>
        <v>0</v>
      </c>
      <c r="E183" s="352">
        <f t="shared" si="14"/>
        <v>0</v>
      </c>
      <c r="F183" s="352">
        <f t="shared" si="15"/>
        <v>0</v>
      </c>
      <c r="G183" s="304">
        <f t="shared" si="16"/>
        <v>0</v>
      </c>
    </row>
    <row r="184" spans="1:10">
      <c r="A184" s="9" t="s">
        <v>214</v>
      </c>
      <c r="B184" s="109">
        <v>16.494</v>
      </c>
      <c r="C184" s="52">
        <v>4</v>
      </c>
      <c r="D184" s="351">
        <f t="shared" si="13"/>
        <v>115.30256410256411</v>
      </c>
      <c r="E184" s="351">
        <f t="shared" si="14"/>
        <v>4122.6461538461535</v>
      </c>
      <c r="F184" s="351">
        <f t="shared" si="15"/>
        <v>2838.292671629446</v>
      </c>
      <c r="G184" s="304">
        <f t="shared" si="16"/>
        <v>7076.2413895781638</v>
      </c>
    </row>
    <row r="185" spans="1:10">
      <c r="A185" s="9" t="s">
        <v>146</v>
      </c>
      <c r="B185" s="127"/>
      <c r="C185" s="8"/>
      <c r="D185" s="352"/>
      <c r="E185" s="352"/>
      <c r="F185" s="352"/>
      <c r="G185" s="304"/>
    </row>
    <row r="186" spans="1:10">
      <c r="A186" s="9" t="s">
        <v>147</v>
      </c>
      <c r="B186" s="127"/>
      <c r="C186" s="8"/>
      <c r="D186" s="352"/>
      <c r="E186" s="352"/>
      <c r="F186" s="352"/>
      <c r="G186" s="304"/>
    </row>
    <row r="187" spans="1:10">
      <c r="A187" s="9" t="s">
        <v>148</v>
      </c>
      <c r="B187" s="127"/>
      <c r="C187" s="8"/>
      <c r="D187" s="352"/>
      <c r="E187" s="352"/>
      <c r="F187" s="352"/>
      <c r="G187" s="304"/>
    </row>
    <row r="188" spans="1:10">
      <c r="A188" s="9" t="s">
        <v>149</v>
      </c>
      <c r="B188" s="127"/>
      <c r="C188" s="8"/>
      <c r="D188" s="352"/>
      <c r="E188" s="352"/>
      <c r="F188" s="352"/>
      <c r="G188" s="304"/>
    </row>
    <row r="189" spans="1:10">
      <c r="A189" s="9" t="s">
        <v>150</v>
      </c>
      <c r="B189" s="127"/>
      <c r="C189" s="8"/>
      <c r="D189" s="352"/>
      <c r="E189" s="352"/>
      <c r="F189" s="352"/>
      <c r="G189" s="304"/>
    </row>
    <row r="190" spans="1:10">
      <c r="A190" s="92" t="s">
        <v>68</v>
      </c>
      <c r="B190" s="109"/>
      <c r="C190" s="52"/>
      <c r="D190" s="352"/>
      <c r="E190" s="352"/>
      <c r="F190" s="352"/>
      <c r="G190" s="304"/>
    </row>
    <row r="191" spans="1:10">
      <c r="A191" s="92" t="s">
        <v>69</v>
      </c>
      <c r="B191" s="109"/>
      <c r="C191" s="52"/>
      <c r="D191" s="352"/>
      <c r="E191" s="352"/>
      <c r="F191" s="352"/>
      <c r="G191" s="304"/>
    </row>
    <row r="192" spans="1:10">
      <c r="A192" s="92" t="s">
        <v>316</v>
      </c>
      <c r="B192" s="109"/>
      <c r="C192" s="52"/>
      <c r="D192" s="354">
        <v>0</v>
      </c>
      <c r="E192" s="354">
        <v>0</v>
      </c>
      <c r="F192" s="354">
        <f>8/31*F194</f>
        <v>38565.59225806452</v>
      </c>
      <c r="G192" s="306">
        <f>SUM(D192:F192)</f>
        <v>38565.59225806452</v>
      </c>
      <c r="H192" s="289" t="s">
        <v>335</v>
      </c>
      <c r="I192" s="270" t="s">
        <v>340</v>
      </c>
    </row>
    <row r="193" spans="1:9">
      <c r="A193" s="10" t="s">
        <v>51</v>
      </c>
      <c r="B193" s="104"/>
      <c r="C193" s="49">
        <f>SUM(C143:C192)</f>
        <v>195</v>
      </c>
      <c r="D193" s="356">
        <v>5621</v>
      </c>
      <c r="E193" s="356">
        <f>159099+41880</f>
        <v>200979</v>
      </c>
      <c r="F193" s="356">
        <v>360</v>
      </c>
      <c r="G193" s="307">
        <f>SUM(D193:F193)</f>
        <v>206960</v>
      </c>
      <c r="H193" s="71">
        <f>SUM(H194:H196)</f>
        <v>138366.7677419355</v>
      </c>
      <c r="I193" s="71">
        <f>F143+F157+F159+F161+F165+F167+F168+F170+F172+F174+F177+F179+F181+F184+[1]三项费用分配!$F$2810+[1]三项费用分配!$F$2837+[1]三项费用分配!$F$2840+[1]三项费用分配!$F$2849</f>
        <v>161607.78536283551</v>
      </c>
    </row>
    <row r="194" spans="1:9">
      <c r="A194" s="131" t="s">
        <v>317</v>
      </c>
      <c r="B194" s="116"/>
      <c r="C194" s="132"/>
      <c r="D194" s="363"/>
      <c r="E194" s="328" t="s">
        <v>70</v>
      </c>
      <c r="F194" s="364">
        <f>149441.67</f>
        <v>149441.67000000001</v>
      </c>
      <c r="G194" s="74">
        <f>F194/F193</f>
        <v>415.11575000000005</v>
      </c>
      <c r="H194" s="71">
        <f>F194-F192</f>
        <v>110876.0777419355</v>
      </c>
      <c r="I194" s="71">
        <f>I193*G194</f>
        <v>67085937.026732489</v>
      </c>
    </row>
    <row r="195" spans="1:9" ht="25.2">
      <c r="A195" s="102" t="s">
        <v>318</v>
      </c>
      <c r="B195" s="116"/>
      <c r="C195" s="132"/>
      <c r="D195" s="363"/>
      <c r="E195" s="328" t="s">
        <v>72</v>
      </c>
      <c r="F195" s="364">
        <f>0</f>
        <v>0</v>
      </c>
      <c r="G195" s="74">
        <f>F195/F193</f>
        <v>0</v>
      </c>
      <c r="H195" s="71">
        <f>F195</f>
        <v>0</v>
      </c>
      <c r="I195" s="71">
        <f>0</f>
        <v>0</v>
      </c>
    </row>
    <row r="196" spans="1:9">
      <c r="A196" s="16"/>
      <c r="B196" s="116"/>
      <c r="C196" s="132"/>
      <c r="D196" s="363"/>
      <c r="E196" s="328" t="s">
        <v>71</v>
      </c>
      <c r="F196" s="364">
        <f>1230.77+2967.43+1282.05+8393.17+13617.27</f>
        <v>27490.690000000002</v>
      </c>
      <c r="G196" s="74">
        <f>F196/F193</f>
        <v>76.363027777777788</v>
      </c>
      <c r="H196" s="71">
        <f>F196</f>
        <v>27490.690000000002</v>
      </c>
      <c r="I196" s="71">
        <f>I193*G196</f>
        <v>12340859.802767359</v>
      </c>
    </row>
    <row r="197" spans="1:9">
      <c r="A197" s="16"/>
      <c r="B197" s="116"/>
      <c r="C197" s="132"/>
      <c r="D197" s="363"/>
      <c r="E197" s="363"/>
      <c r="F197" s="363"/>
      <c r="G197" s="75"/>
    </row>
    <row r="198" spans="1:9" s="199" customFormat="1">
      <c r="A198" s="224"/>
      <c r="B198" s="225"/>
      <c r="C198" s="226"/>
      <c r="D198" s="365"/>
      <c r="E198" s="365"/>
      <c r="F198" s="365"/>
      <c r="G198" s="310"/>
      <c r="H198" s="238"/>
      <c r="I198" s="200"/>
    </row>
    <row r="199" spans="1:9">
      <c r="A199" s="13"/>
      <c r="B199" s="114"/>
      <c r="C199" s="132"/>
      <c r="D199" s="363"/>
      <c r="E199" s="363"/>
      <c r="F199" s="366"/>
      <c r="G199" s="75"/>
    </row>
    <row r="200" spans="1:9">
      <c r="A200" s="453" t="s">
        <v>224</v>
      </c>
      <c r="B200" s="453"/>
      <c r="C200" s="453"/>
      <c r="D200" s="453"/>
      <c r="E200" s="453"/>
      <c r="F200" s="453"/>
      <c r="G200" s="453"/>
    </row>
    <row r="201" spans="1:9">
      <c r="A201" s="5" t="s">
        <v>52</v>
      </c>
      <c r="B201" s="105" t="s">
        <v>45</v>
      </c>
      <c r="C201" s="6" t="s">
        <v>53</v>
      </c>
      <c r="D201" s="350" t="s">
        <v>54</v>
      </c>
      <c r="E201" s="322" t="s">
        <v>344</v>
      </c>
      <c r="F201" s="322" t="s">
        <v>345</v>
      </c>
      <c r="G201" s="288" t="s">
        <v>346</v>
      </c>
      <c r="H201" s="311" t="s">
        <v>337</v>
      </c>
    </row>
    <row r="202" spans="1:9">
      <c r="A202" s="80" t="s">
        <v>91</v>
      </c>
      <c r="B202" s="117"/>
      <c r="C202" s="6"/>
      <c r="D202" s="350"/>
      <c r="E202" s="352"/>
      <c r="F202" s="352"/>
      <c r="G202" s="304"/>
      <c r="H202" s="311"/>
    </row>
    <row r="203" spans="1:9">
      <c r="A203" s="80" t="s">
        <v>92</v>
      </c>
      <c r="B203" s="117"/>
      <c r="C203" s="6"/>
      <c r="D203" s="350"/>
      <c r="E203" s="352"/>
      <c r="F203" s="352"/>
      <c r="G203" s="304"/>
      <c r="H203" s="311"/>
    </row>
    <row r="204" spans="1:9">
      <c r="A204" s="80" t="s">
        <v>93</v>
      </c>
      <c r="B204" s="117">
        <v>76.991</v>
      </c>
      <c r="C204" s="6">
        <v>144</v>
      </c>
      <c r="D204" s="350">
        <v>384</v>
      </c>
      <c r="E204" s="351">
        <f>D204/D$221*E$221</f>
        <v>990.31578947368416</v>
      </c>
      <c r="F204" s="351">
        <f>C204/C$221*F$221</f>
        <v>54121.573770491799</v>
      </c>
      <c r="G204" s="303">
        <f>D204/D$221*I$221</f>
        <v>205.26315789473682</v>
      </c>
      <c r="H204" s="312">
        <f>SUM(E204:G204)</f>
        <v>55317.152717860226</v>
      </c>
    </row>
    <row r="205" spans="1:9">
      <c r="A205" s="80" t="s">
        <v>215</v>
      </c>
      <c r="B205" s="117"/>
      <c r="C205" s="6"/>
      <c r="D205" s="350"/>
      <c r="E205" s="352">
        <f t="shared" ref="E205:E212" si="17">D205/D$221*E$221</f>
        <v>0</v>
      </c>
      <c r="F205" s="352">
        <f t="shared" ref="F205:F212" si="18">C205/C$221*F$221</f>
        <v>0</v>
      </c>
      <c r="G205" s="304">
        <f t="shared" ref="G205:G212" si="19">D205/D$221*I$221</f>
        <v>0</v>
      </c>
      <c r="H205" s="312">
        <f t="shared" ref="H205:H212" si="20">SUM(E205:G205)</f>
        <v>0</v>
      </c>
    </row>
    <row r="206" spans="1:9">
      <c r="A206" s="80" t="s">
        <v>94</v>
      </c>
      <c r="B206" s="117"/>
      <c r="C206" s="6"/>
      <c r="D206" s="350"/>
      <c r="E206" s="352">
        <f t="shared" si="17"/>
        <v>0</v>
      </c>
      <c r="F206" s="352">
        <f t="shared" si="18"/>
        <v>0</v>
      </c>
      <c r="G206" s="304">
        <f t="shared" si="19"/>
        <v>0</v>
      </c>
      <c r="H206" s="312">
        <f t="shared" si="20"/>
        <v>0</v>
      </c>
    </row>
    <row r="207" spans="1:9">
      <c r="A207" s="80" t="s">
        <v>95</v>
      </c>
      <c r="B207" s="117">
        <v>88.015000000000001</v>
      </c>
      <c r="C207" s="6">
        <v>272</v>
      </c>
      <c r="D207" s="350">
        <v>640</v>
      </c>
      <c r="E207" s="351">
        <f t="shared" si="17"/>
        <v>1650.5263157894735</v>
      </c>
      <c r="F207" s="351">
        <f t="shared" si="18"/>
        <v>102229.63934426228</v>
      </c>
      <c r="G207" s="303">
        <f t="shared" si="19"/>
        <v>342.10526315789474</v>
      </c>
      <c r="H207" s="312">
        <f t="shared" si="20"/>
        <v>104222.27092320965</v>
      </c>
    </row>
    <row r="208" spans="1:9">
      <c r="A208" s="80" t="s">
        <v>95</v>
      </c>
      <c r="B208" s="117"/>
      <c r="C208" s="6"/>
      <c r="D208" s="350"/>
      <c r="E208" s="352">
        <f t="shared" si="17"/>
        <v>0</v>
      </c>
      <c r="F208" s="352">
        <f t="shared" si="18"/>
        <v>0</v>
      </c>
      <c r="G208" s="304">
        <f t="shared" si="19"/>
        <v>0</v>
      </c>
      <c r="H208" s="312">
        <f t="shared" si="20"/>
        <v>0</v>
      </c>
    </row>
    <row r="209" spans="1:10">
      <c r="A209" s="80" t="s">
        <v>96</v>
      </c>
      <c r="B209" s="117"/>
      <c r="C209" s="6"/>
      <c r="D209" s="350"/>
      <c r="E209" s="352">
        <f t="shared" si="17"/>
        <v>0</v>
      </c>
      <c r="F209" s="352">
        <f t="shared" si="18"/>
        <v>0</v>
      </c>
      <c r="G209" s="304">
        <f t="shared" si="19"/>
        <v>0</v>
      </c>
      <c r="H209" s="312">
        <f t="shared" si="20"/>
        <v>0</v>
      </c>
    </row>
    <row r="210" spans="1:10">
      <c r="A210" s="80" t="s">
        <v>96</v>
      </c>
      <c r="B210" s="117"/>
      <c r="C210" s="6"/>
      <c r="D210" s="350"/>
      <c r="E210" s="352">
        <f t="shared" si="17"/>
        <v>0</v>
      </c>
      <c r="F210" s="352">
        <f t="shared" si="18"/>
        <v>0</v>
      </c>
      <c r="G210" s="304">
        <f t="shared" si="19"/>
        <v>0</v>
      </c>
      <c r="H210" s="312">
        <f t="shared" si="20"/>
        <v>0</v>
      </c>
    </row>
    <row r="211" spans="1:10">
      <c r="A211" s="80" t="s">
        <v>135</v>
      </c>
      <c r="B211" s="117">
        <v>23.471</v>
      </c>
      <c r="C211" s="6">
        <v>48</v>
      </c>
      <c r="D211" s="350">
        <v>128</v>
      </c>
      <c r="E211" s="351">
        <f t="shared" si="17"/>
        <v>330.10526315789474</v>
      </c>
      <c r="F211" s="351">
        <f t="shared" si="18"/>
        <v>18040.524590163935</v>
      </c>
      <c r="G211" s="303">
        <f t="shared" si="19"/>
        <v>68.421052631578945</v>
      </c>
      <c r="H211" s="312">
        <f t="shared" si="20"/>
        <v>18439.050905953409</v>
      </c>
    </row>
    <row r="212" spans="1:10">
      <c r="A212" s="274" t="s">
        <v>135</v>
      </c>
      <c r="B212" s="268"/>
      <c r="C212" s="88">
        <v>24</v>
      </c>
      <c r="D212" s="367">
        <v>64</v>
      </c>
      <c r="E212" s="353">
        <f t="shared" si="17"/>
        <v>165.05263157894737</v>
      </c>
      <c r="F212" s="353">
        <f t="shared" si="18"/>
        <v>9020.2622950819677</v>
      </c>
      <c r="G212" s="305">
        <f t="shared" si="19"/>
        <v>34.210526315789473</v>
      </c>
      <c r="H212" s="313">
        <f t="shared" si="20"/>
        <v>9219.5254529767044</v>
      </c>
    </row>
    <row r="213" spans="1:10">
      <c r="A213" s="80" t="s">
        <v>97</v>
      </c>
      <c r="B213" s="117"/>
      <c r="C213" s="6"/>
      <c r="D213" s="350"/>
      <c r="E213" s="352"/>
      <c r="F213" s="352"/>
      <c r="G213" s="304"/>
      <c r="H213" s="311"/>
    </row>
    <row r="214" spans="1:10">
      <c r="A214" s="80" t="s">
        <v>136</v>
      </c>
      <c r="B214" s="117"/>
      <c r="C214" s="6"/>
      <c r="D214" s="350"/>
      <c r="E214" s="352"/>
      <c r="F214" s="352"/>
      <c r="G214" s="304"/>
      <c r="H214" s="311"/>
    </row>
    <row r="215" spans="1:10">
      <c r="A215" s="80" t="s">
        <v>170</v>
      </c>
      <c r="B215" s="117"/>
      <c r="C215" s="6"/>
      <c r="D215" s="350"/>
      <c r="E215" s="352"/>
      <c r="F215" s="352"/>
      <c r="G215" s="304"/>
      <c r="H215" s="311"/>
    </row>
    <row r="216" spans="1:10">
      <c r="A216" s="80" t="s">
        <v>216</v>
      </c>
      <c r="B216" s="117"/>
      <c r="C216" s="6"/>
      <c r="D216" s="350"/>
      <c r="E216" s="352"/>
      <c r="F216" s="352"/>
      <c r="G216" s="304"/>
      <c r="H216" s="311"/>
    </row>
    <row r="217" spans="1:10">
      <c r="A217" s="80" t="s">
        <v>98</v>
      </c>
      <c r="B217" s="117"/>
      <c r="C217" s="6"/>
      <c r="D217" s="350"/>
      <c r="E217" s="352"/>
      <c r="F217" s="352"/>
      <c r="G217" s="304"/>
      <c r="H217" s="311"/>
    </row>
    <row r="218" spans="1:10">
      <c r="A218" s="80" t="s">
        <v>99</v>
      </c>
      <c r="B218" s="117"/>
      <c r="C218" s="6"/>
      <c r="D218" s="350"/>
      <c r="E218" s="352"/>
      <c r="F218" s="352"/>
      <c r="G218" s="304"/>
      <c r="H218" s="311"/>
    </row>
    <row r="219" spans="1:10">
      <c r="A219" s="80" t="s">
        <v>179</v>
      </c>
      <c r="B219" s="117"/>
      <c r="C219" s="6"/>
      <c r="D219" s="350"/>
      <c r="E219" s="352"/>
      <c r="F219" s="352"/>
      <c r="G219" s="304"/>
      <c r="H219" s="311"/>
    </row>
    <row r="220" spans="1:10">
      <c r="A220" s="229" t="s">
        <v>316</v>
      </c>
      <c r="B220" s="117"/>
      <c r="C220" s="6"/>
      <c r="D220" s="350"/>
      <c r="E220" s="354">
        <v>0</v>
      </c>
      <c r="F220" s="368">
        <v>0</v>
      </c>
      <c r="G220" s="314">
        <v>0</v>
      </c>
      <c r="H220" s="315">
        <f>SUM(E220:G220)</f>
        <v>0</v>
      </c>
      <c r="I220" s="289" t="s">
        <v>335</v>
      </c>
      <c r="J220" s="270" t="s">
        <v>342</v>
      </c>
    </row>
    <row r="221" spans="1:10">
      <c r="A221" s="44" t="s">
        <v>44</v>
      </c>
      <c r="B221" s="113"/>
      <c r="C221" s="15">
        <f>SUM(C202:C220)</f>
        <v>488</v>
      </c>
      <c r="D221" s="369">
        <f>SUM(D202:D220)</f>
        <v>1216</v>
      </c>
      <c r="E221" s="356">
        <v>3136</v>
      </c>
      <c r="F221" s="356">
        <f>154418+28994</f>
        <v>183412</v>
      </c>
      <c r="G221" s="316">
        <v>650</v>
      </c>
      <c r="H221" s="317">
        <f>SUM(E221:G221)</f>
        <v>187198</v>
      </c>
      <c r="I221" s="318">
        <f>G221-G220</f>
        <v>650</v>
      </c>
      <c r="J221" s="280">
        <f>G204+G207+G211</f>
        <v>615.78947368421052</v>
      </c>
    </row>
    <row r="222" spans="1:10">
      <c r="A222" s="131" t="s">
        <v>317</v>
      </c>
      <c r="B222" s="129"/>
      <c r="C222" s="81"/>
      <c r="D222" s="370"/>
      <c r="E222" s="370"/>
      <c r="F222" s="328" t="s">
        <v>70</v>
      </c>
      <c r="G222" s="319">
        <f>220925.8</f>
        <v>220925.8</v>
      </c>
      <c r="H222" s="318">
        <f>G222/G221</f>
        <v>339.88584615384616</v>
      </c>
      <c r="I222" s="318">
        <f>I221*H222</f>
        <v>220925.80000000002</v>
      </c>
      <c r="J222" s="280">
        <f>H222*J221</f>
        <v>209298.12631578947</v>
      </c>
    </row>
    <row r="223" spans="1:10" ht="25.2">
      <c r="A223" s="102" t="s">
        <v>318</v>
      </c>
      <c r="B223" s="124"/>
      <c r="C223" s="57"/>
      <c r="D223" s="371"/>
      <c r="E223" s="371"/>
      <c r="F223" s="328" t="s">
        <v>72</v>
      </c>
      <c r="G223" s="75">
        <f>123676.07</f>
        <v>123676.07</v>
      </c>
      <c r="H223" s="318">
        <f>G223/G221</f>
        <v>190.27087692307694</v>
      </c>
      <c r="I223" s="318">
        <f>I221*H223</f>
        <v>123676.07</v>
      </c>
      <c r="J223" s="280">
        <f>H223*J221</f>
        <v>117166.80315789474</v>
      </c>
    </row>
    <row r="224" spans="1:10">
      <c r="A224" s="273" t="s">
        <v>341</v>
      </c>
      <c r="B224" s="118"/>
      <c r="C224" s="17"/>
      <c r="D224" s="364"/>
      <c r="E224" s="371"/>
      <c r="F224" s="328" t="s">
        <v>71</v>
      </c>
      <c r="G224" s="75">
        <f>6495.72+35736.49</f>
        <v>42232.21</v>
      </c>
      <c r="H224" s="318">
        <f>G224/G221</f>
        <v>64.972630769230761</v>
      </c>
      <c r="I224" s="318">
        <f>I221*H224</f>
        <v>42232.209999999992</v>
      </c>
      <c r="J224" s="280">
        <f>H224*J221</f>
        <v>40009.462105263156</v>
      </c>
    </row>
    <row r="225" spans="1:9">
      <c r="A225" s="18"/>
      <c r="B225" s="118"/>
      <c r="C225" s="17"/>
      <c r="D225" s="364"/>
      <c r="E225" s="371"/>
      <c r="F225" s="328"/>
      <c r="G225" s="75"/>
    </row>
    <row r="226" spans="1:9" s="199" customFormat="1">
      <c r="A226" s="228"/>
      <c r="B226" s="230"/>
      <c r="C226" s="231"/>
      <c r="D226" s="372"/>
      <c r="E226" s="373"/>
      <c r="F226" s="340"/>
      <c r="G226" s="310"/>
      <c r="H226" s="238"/>
      <c r="I226" s="200"/>
    </row>
    <row r="227" spans="1:9">
      <c r="A227" s="18"/>
      <c r="B227" s="118"/>
      <c r="C227" s="17"/>
      <c r="D227" s="364"/>
      <c r="E227" s="371"/>
      <c r="F227" s="328"/>
      <c r="G227" s="75"/>
    </row>
    <row r="228" spans="1:9">
      <c r="A228" s="453" t="s">
        <v>225</v>
      </c>
      <c r="B228" s="453"/>
      <c r="C228" s="453"/>
      <c r="D228" s="453"/>
      <c r="E228" s="453"/>
      <c r="F228" s="453"/>
      <c r="G228" s="453"/>
    </row>
    <row r="229" spans="1:9">
      <c r="A229" s="5" t="s">
        <v>4</v>
      </c>
      <c r="B229" s="105" t="s">
        <v>45</v>
      </c>
      <c r="C229" s="6" t="s">
        <v>11</v>
      </c>
      <c r="D229" s="322" t="s">
        <v>344</v>
      </c>
      <c r="E229" s="322" t="s">
        <v>345</v>
      </c>
      <c r="F229" s="322" t="s">
        <v>346</v>
      </c>
      <c r="G229" s="302" t="s">
        <v>9</v>
      </c>
    </row>
    <row r="230" spans="1:9">
      <c r="A230" s="83" t="s">
        <v>100</v>
      </c>
      <c r="B230" s="119"/>
      <c r="C230" s="6"/>
      <c r="D230" s="350"/>
      <c r="E230" s="350"/>
      <c r="F230" s="350"/>
      <c r="G230" s="302"/>
    </row>
    <row r="231" spans="1:9">
      <c r="A231" s="83" t="s">
        <v>100</v>
      </c>
      <c r="B231" s="119"/>
      <c r="C231" s="6"/>
      <c r="D231" s="350"/>
      <c r="E231" s="350"/>
      <c r="F231" s="350"/>
      <c r="G231" s="302"/>
    </row>
    <row r="232" spans="1:9">
      <c r="A232" s="94" t="s">
        <v>168</v>
      </c>
      <c r="B232" s="119">
        <v>1.8720000000000001</v>
      </c>
      <c r="C232" s="6">
        <v>6</v>
      </c>
      <c r="D232" s="351">
        <f>C232/C$251*D$251</f>
        <v>22.875</v>
      </c>
      <c r="E232" s="351">
        <f>C232/C$251*E$251</f>
        <v>1101.84375</v>
      </c>
      <c r="F232" s="351">
        <f>C232/C$251*H$251</f>
        <v>8.4375</v>
      </c>
      <c r="G232" s="304">
        <f>SUM(D232:F232)</f>
        <v>1133.15625</v>
      </c>
    </row>
    <row r="233" spans="1:9">
      <c r="A233" s="83" t="s">
        <v>101</v>
      </c>
      <c r="B233" s="119">
        <v>3.0750000000000002</v>
      </c>
      <c r="C233" s="6">
        <v>10</v>
      </c>
      <c r="D233" s="351">
        <f t="shared" ref="D233:D247" si="21">C233/C$251*D$251</f>
        <v>38.125</v>
      </c>
      <c r="E233" s="351">
        <f t="shared" ref="E233:E249" si="22">C233/C$251*E$251</f>
        <v>1836.40625</v>
      </c>
      <c r="F233" s="351">
        <f t="shared" ref="F233:F247" si="23">C233/C$251*H$251</f>
        <v>14.0625</v>
      </c>
      <c r="G233" s="304">
        <f t="shared" ref="G233:G249" si="24">SUM(D233:F233)</f>
        <v>1888.59375</v>
      </c>
    </row>
    <row r="234" spans="1:9">
      <c r="A234" s="83" t="s">
        <v>101</v>
      </c>
      <c r="B234" s="119"/>
      <c r="C234" s="6"/>
      <c r="D234" s="352">
        <f t="shared" si="21"/>
        <v>0</v>
      </c>
      <c r="E234" s="352">
        <f t="shared" si="22"/>
        <v>0</v>
      </c>
      <c r="F234" s="352">
        <f t="shared" si="23"/>
        <v>0</v>
      </c>
      <c r="G234" s="304">
        <f t="shared" si="24"/>
        <v>0</v>
      </c>
    </row>
    <row r="235" spans="1:9">
      <c r="A235" s="83" t="s">
        <v>110</v>
      </c>
      <c r="B235" s="119"/>
      <c r="C235" s="6"/>
      <c r="D235" s="352">
        <f t="shared" si="21"/>
        <v>0</v>
      </c>
      <c r="E235" s="352">
        <f t="shared" si="22"/>
        <v>0</v>
      </c>
      <c r="F235" s="352">
        <f t="shared" si="23"/>
        <v>0</v>
      </c>
      <c r="G235" s="304">
        <f t="shared" si="24"/>
        <v>0</v>
      </c>
    </row>
    <row r="236" spans="1:9">
      <c r="A236" s="83" t="s">
        <v>102</v>
      </c>
      <c r="B236" s="119">
        <v>10.757999999999999</v>
      </c>
      <c r="C236" s="6">
        <v>24</v>
      </c>
      <c r="D236" s="351">
        <f t="shared" si="21"/>
        <v>91.5</v>
      </c>
      <c r="E236" s="351">
        <f t="shared" si="22"/>
        <v>4407.375</v>
      </c>
      <c r="F236" s="351">
        <f t="shared" si="23"/>
        <v>33.75</v>
      </c>
      <c r="G236" s="304">
        <f t="shared" si="24"/>
        <v>4532.625</v>
      </c>
    </row>
    <row r="237" spans="1:9">
      <c r="A237" s="83" t="s">
        <v>102</v>
      </c>
      <c r="B237" s="119"/>
      <c r="C237" s="6"/>
      <c r="D237" s="352">
        <f t="shared" si="21"/>
        <v>0</v>
      </c>
      <c r="E237" s="352">
        <f t="shared" si="22"/>
        <v>0</v>
      </c>
      <c r="F237" s="352">
        <f t="shared" si="23"/>
        <v>0</v>
      </c>
      <c r="G237" s="304">
        <f t="shared" si="24"/>
        <v>0</v>
      </c>
    </row>
    <row r="238" spans="1:9">
      <c r="A238" s="85" t="s">
        <v>103</v>
      </c>
      <c r="B238" s="119"/>
      <c r="C238" s="6"/>
      <c r="D238" s="352">
        <f t="shared" si="21"/>
        <v>0</v>
      </c>
      <c r="E238" s="352">
        <f t="shared" si="22"/>
        <v>0</v>
      </c>
      <c r="F238" s="352">
        <f t="shared" si="23"/>
        <v>0</v>
      </c>
      <c r="G238" s="304">
        <f t="shared" si="24"/>
        <v>0</v>
      </c>
    </row>
    <row r="239" spans="1:9">
      <c r="A239" s="85" t="s">
        <v>103</v>
      </c>
      <c r="B239" s="119"/>
      <c r="C239" s="6"/>
      <c r="D239" s="352">
        <f t="shared" si="21"/>
        <v>0</v>
      </c>
      <c r="E239" s="352">
        <f t="shared" si="22"/>
        <v>0</v>
      </c>
      <c r="F239" s="352">
        <f t="shared" si="23"/>
        <v>0</v>
      </c>
      <c r="G239" s="304">
        <f t="shared" si="24"/>
        <v>0</v>
      </c>
    </row>
    <row r="240" spans="1:9">
      <c r="A240" s="89" t="s">
        <v>104</v>
      </c>
      <c r="B240" s="119">
        <v>0.72499999999999998</v>
      </c>
      <c r="C240" s="6">
        <v>14</v>
      </c>
      <c r="D240" s="351">
        <f t="shared" si="21"/>
        <v>53.375</v>
      </c>
      <c r="E240" s="351">
        <f t="shared" si="22"/>
        <v>2570.96875</v>
      </c>
      <c r="F240" s="351">
        <f t="shared" si="23"/>
        <v>19.6875</v>
      </c>
      <c r="G240" s="304">
        <f t="shared" si="24"/>
        <v>2644.03125</v>
      </c>
    </row>
    <row r="241" spans="1:9">
      <c r="A241" s="89" t="s">
        <v>112</v>
      </c>
      <c r="B241" s="119"/>
      <c r="C241" s="6"/>
      <c r="D241" s="352">
        <f t="shared" si="21"/>
        <v>0</v>
      </c>
      <c r="E241" s="352">
        <f t="shared" si="22"/>
        <v>0</v>
      </c>
      <c r="F241" s="352">
        <f t="shared" si="23"/>
        <v>0</v>
      </c>
      <c r="G241" s="304">
        <f t="shared" si="24"/>
        <v>0</v>
      </c>
    </row>
    <row r="242" spans="1:9">
      <c r="A242" s="83" t="s">
        <v>109</v>
      </c>
      <c r="B242" s="119"/>
      <c r="C242" s="8"/>
      <c r="D242" s="352">
        <f t="shared" si="21"/>
        <v>0</v>
      </c>
      <c r="E242" s="352">
        <f t="shared" si="22"/>
        <v>0</v>
      </c>
      <c r="F242" s="352">
        <f t="shared" si="23"/>
        <v>0</v>
      </c>
      <c r="G242" s="304">
        <f t="shared" si="24"/>
        <v>0</v>
      </c>
    </row>
    <row r="243" spans="1:9">
      <c r="A243" s="83" t="s">
        <v>105</v>
      </c>
      <c r="B243" s="119"/>
      <c r="C243" s="8"/>
      <c r="D243" s="352">
        <f t="shared" si="21"/>
        <v>0</v>
      </c>
      <c r="E243" s="352">
        <f t="shared" si="22"/>
        <v>0</v>
      </c>
      <c r="F243" s="352">
        <f t="shared" si="23"/>
        <v>0</v>
      </c>
      <c r="G243" s="304">
        <f t="shared" si="24"/>
        <v>0</v>
      </c>
    </row>
    <row r="244" spans="1:9">
      <c r="A244" s="83" t="s">
        <v>106</v>
      </c>
      <c r="B244" s="119"/>
      <c r="C244" s="6"/>
      <c r="D244" s="352">
        <f t="shared" si="21"/>
        <v>0</v>
      </c>
      <c r="E244" s="352">
        <f t="shared" si="22"/>
        <v>0</v>
      </c>
      <c r="F244" s="352">
        <f t="shared" si="23"/>
        <v>0</v>
      </c>
      <c r="G244" s="304">
        <f t="shared" si="24"/>
        <v>0</v>
      </c>
    </row>
    <row r="245" spans="1:9">
      <c r="A245" s="83" t="s">
        <v>169</v>
      </c>
      <c r="B245" s="119"/>
      <c r="C245" s="6"/>
      <c r="D245" s="352">
        <f t="shared" si="21"/>
        <v>0</v>
      </c>
      <c r="E245" s="352">
        <f t="shared" si="22"/>
        <v>0</v>
      </c>
      <c r="F245" s="352">
        <f t="shared" si="23"/>
        <v>0</v>
      </c>
      <c r="G245" s="304">
        <f t="shared" si="24"/>
        <v>0</v>
      </c>
    </row>
    <row r="246" spans="1:9">
      <c r="A246" s="83" t="s">
        <v>107</v>
      </c>
      <c r="B246" s="119">
        <v>10.237</v>
      </c>
      <c r="C246" s="6">
        <v>4</v>
      </c>
      <c r="D246" s="351">
        <f t="shared" si="21"/>
        <v>15.25</v>
      </c>
      <c r="E246" s="351">
        <f t="shared" si="22"/>
        <v>734.5625</v>
      </c>
      <c r="F246" s="351">
        <f t="shared" si="23"/>
        <v>5.625</v>
      </c>
      <c r="G246" s="304">
        <f t="shared" si="24"/>
        <v>755.4375</v>
      </c>
    </row>
    <row r="247" spans="1:9">
      <c r="A247" s="83" t="s">
        <v>108</v>
      </c>
      <c r="B247" s="119">
        <v>21.518999999999998</v>
      </c>
      <c r="C247" s="6">
        <v>70</v>
      </c>
      <c r="D247" s="351">
        <f t="shared" si="21"/>
        <v>266.875</v>
      </c>
      <c r="E247" s="351">
        <f t="shared" si="22"/>
        <v>12854.84375</v>
      </c>
      <c r="F247" s="351">
        <f t="shared" si="23"/>
        <v>98.4375</v>
      </c>
      <c r="G247" s="304">
        <f t="shared" si="24"/>
        <v>13220.15625</v>
      </c>
    </row>
    <row r="248" spans="1:9">
      <c r="A248" s="83" t="s">
        <v>137</v>
      </c>
      <c r="B248" s="119"/>
      <c r="C248" s="6"/>
      <c r="D248" s="350"/>
      <c r="E248" s="350">
        <f t="shared" si="22"/>
        <v>0</v>
      </c>
      <c r="F248" s="350"/>
      <c r="G248" s="302">
        <f t="shared" si="24"/>
        <v>0</v>
      </c>
    </row>
    <row r="249" spans="1:9">
      <c r="A249" s="94" t="s">
        <v>207</v>
      </c>
      <c r="B249" s="119"/>
      <c r="C249" s="6"/>
      <c r="D249" s="350"/>
      <c r="E249" s="350">
        <f t="shared" si="22"/>
        <v>0</v>
      </c>
      <c r="F249" s="350"/>
      <c r="G249" s="302">
        <f t="shared" si="24"/>
        <v>0</v>
      </c>
    </row>
    <row r="250" spans="1:9">
      <c r="A250" s="94" t="s">
        <v>316</v>
      </c>
      <c r="B250" s="119"/>
      <c r="C250" s="6"/>
      <c r="D250" s="354">
        <v>0</v>
      </c>
      <c r="E250" s="354">
        <v>0</v>
      </c>
      <c r="F250" s="354">
        <v>0</v>
      </c>
      <c r="G250" s="306">
        <f>SUM(D250:F250)</f>
        <v>0</v>
      </c>
      <c r="H250" s="289" t="s">
        <v>335</v>
      </c>
      <c r="I250" s="270" t="s">
        <v>340</v>
      </c>
    </row>
    <row r="251" spans="1:9">
      <c r="A251" s="87" t="s">
        <v>111</v>
      </c>
      <c r="B251" s="119"/>
      <c r="C251" s="6">
        <f>SUM(C230:C250)</f>
        <v>128</v>
      </c>
      <c r="D251" s="374">
        <v>488</v>
      </c>
      <c r="E251" s="374">
        <f>13036+10470</f>
        <v>23506</v>
      </c>
      <c r="F251" s="356">
        <v>180</v>
      </c>
      <c r="G251" s="307">
        <f>SUM(D251:F251)</f>
        <v>24174</v>
      </c>
      <c r="H251" s="71">
        <f>F251-F250</f>
        <v>180</v>
      </c>
      <c r="I251" s="71">
        <v>54542.552999434047</v>
      </c>
    </row>
    <row r="252" spans="1:9">
      <c r="A252" s="131" t="s">
        <v>338</v>
      </c>
      <c r="B252" s="126"/>
      <c r="C252" s="4"/>
      <c r="D252" s="332"/>
      <c r="E252" s="328" t="s">
        <v>70</v>
      </c>
      <c r="F252" s="375">
        <f>78048.03</f>
        <v>78048.03</v>
      </c>
      <c r="G252" s="292">
        <f>F252/F251</f>
        <v>433.60016666666667</v>
      </c>
      <c r="H252" s="71">
        <f>G252*H251</f>
        <v>78048.03</v>
      </c>
      <c r="I252" s="71">
        <f>G252*I251</f>
        <v>23649660.070980102</v>
      </c>
    </row>
    <row r="253" spans="1:9" ht="25.2">
      <c r="A253" s="102" t="s">
        <v>339</v>
      </c>
      <c r="B253" s="126"/>
      <c r="C253" s="4"/>
      <c r="D253" s="332"/>
      <c r="E253" s="328" t="s">
        <v>72</v>
      </c>
      <c r="F253" s="375">
        <f>0</f>
        <v>0</v>
      </c>
      <c r="G253" s="292">
        <f>F253/F251</f>
        <v>0</v>
      </c>
      <c r="H253" s="71">
        <f>F253*H251</f>
        <v>0</v>
      </c>
      <c r="I253" s="71">
        <f>G253*I251</f>
        <v>0</v>
      </c>
    </row>
    <row r="254" spans="1:9">
      <c r="A254" s="3"/>
      <c r="B254" s="126"/>
      <c r="C254" s="4"/>
      <c r="D254" s="332"/>
      <c r="E254" s="328" t="s">
        <v>71</v>
      </c>
      <c r="F254" s="375">
        <f>658.34</f>
        <v>658.34</v>
      </c>
      <c r="G254" s="292">
        <f>F254/F251</f>
        <v>3.6574444444444447</v>
      </c>
      <c r="H254" s="71">
        <f>G254*H251+0.01</f>
        <v>658.35</v>
      </c>
      <c r="I254" s="71">
        <f>G254*I251</f>
        <v>199486.35745359675</v>
      </c>
    </row>
    <row r="255" spans="1:9">
      <c r="A255" s="3"/>
      <c r="B255" s="126"/>
      <c r="C255" s="4"/>
      <c r="D255" s="332"/>
      <c r="E255" s="328"/>
      <c r="F255" s="375"/>
      <c r="G255" s="292"/>
    </row>
    <row r="256" spans="1:9" s="199" customFormat="1">
      <c r="A256" s="233"/>
      <c r="B256" s="234"/>
      <c r="C256" s="235"/>
      <c r="D256" s="376"/>
      <c r="E256" s="340"/>
      <c r="F256" s="377"/>
      <c r="G256" s="320"/>
      <c r="H256" s="238"/>
      <c r="I256" s="200"/>
    </row>
    <row r="257" spans="1:9">
      <c r="A257" s="19"/>
      <c r="B257" s="120"/>
      <c r="C257" s="4"/>
      <c r="D257" s="378"/>
      <c r="E257" s="379"/>
      <c r="F257" s="375"/>
      <c r="G257" s="292"/>
    </row>
    <row r="258" spans="1:9">
      <c r="A258" s="453" t="s">
        <v>226</v>
      </c>
      <c r="B258" s="453"/>
      <c r="C258" s="453"/>
      <c r="D258" s="453"/>
      <c r="E258" s="453"/>
      <c r="F258" s="453"/>
      <c r="G258" s="453"/>
    </row>
    <row r="259" spans="1:9">
      <c r="A259" s="5" t="s">
        <v>4</v>
      </c>
      <c r="B259" s="105" t="s">
        <v>45</v>
      </c>
      <c r="C259" s="6" t="s">
        <v>5</v>
      </c>
      <c r="D259" s="322" t="s">
        <v>344</v>
      </c>
      <c r="E259" s="322" t="s">
        <v>345</v>
      </c>
      <c r="F259" s="322" t="s">
        <v>346</v>
      </c>
      <c r="G259" s="302" t="s">
        <v>9</v>
      </c>
    </row>
    <row r="260" spans="1:9">
      <c r="A260" s="6" t="s">
        <v>180</v>
      </c>
      <c r="B260" s="105"/>
      <c r="C260" s="6"/>
      <c r="D260" s="352">
        <v>7601.97</v>
      </c>
      <c r="E260" s="352">
        <v>0</v>
      </c>
      <c r="F260" s="352">
        <v>0</v>
      </c>
      <c r="G260" s="304">
        <f>SUM(D260:F260)</f>
        <v>7601.97</v>
      </c>
    </row>
    <row r="261" spans="1:9">
      <c r="A261" s="10" t="s">
        <v>10</v>
      </c>
      <c r="B261" s="105"/>
      <c r="C261" s="6"/>
      <c r="D261" s="356">
        <v>7601.97</v>
      </c>
      <c r="E261" s="356">
        <v>0</v>
      </c>
      <c r="F261" s="356">
        <f>SUM(F262:F264)</f>
        <v>0</v>
      </c>
      <c r="G261" s="307">
        <f>SUM(D261:F261)</f>
        <v>7601.97</v>
      </c>
    </row>
    <row r="262" spans="1:9">
      <c r="A262" s="239" t="s">
        <v>322</v>
      </c>
      <c r="B262" s="120"/>
      <c r="C262" s="4"/>
      <c r="D262" s="332"/>
      <c r="E262" s="328" t="s">
        <v>70</v>
      </c>
      <c r="F262" s="332">
        <v>0</v>
      </c>
      <c r="G262" s="292" t="e">
        <f>F262/F261</f>
        <v>#DIV/0!</v>
      </c>
    </row>
    <row r="263" spans="1:9">
      <c r="A263" s="19"/>
      <c r="B263" s="120"/>
      <c r="C263" s="4"/>
      <c r="D263" s="332"/>
      <c r="E263" s="328" t="s">
        <v>72</v>
      </c>
      <c r="F263" s="332">
        <v>0</v>
      </c>
      <c r="G263" s="292" t="e">
        <f>F263/F261</f>
        <v>#DIV/0!</v>
      </c>
    </row>
    <row r="264" spans="1:9">
      <c r="A264" s="19"/>
      <c r="B264" s="120"/>
      <c r="C264" s="4"/>
      <c r="D264" s="332"/>
      <c r="E264" s="328" t="s">
        <v>71</v>
      </c>
      <c r="F264" s="332">
        <v>0</v>
      </c>
      <c r="G264" s="292" t="e">
        <f>F264/F261</f>
        <v>#DIV/0!</v>
      </c>
    </row>
    <row r="265" spans="1:9">
      <c r="A265" s="19"/>
      <c r="B265" s="120"/>
      <c r="C265" s="4"/>
      <c r="D265" s="332"/>
      <c r="E265" s="328"/>
      <c r="F265" s="332"/>
      <c r="G265" s="292"/>
    </row>
    <row r="266" spans="1:9" s="199" customFormat="1">
      <c r="A266" s="240"/>
      <c r="B266" s="241"/>
      <c r="C266" s="235"/>
      <c r="D266" s="376"/>
      <c r="E266" s="340"/>
      <c r="F266" s="376"/>
      <c r="G266" s="320"/>
      <c r="H266" s="238"/>
      <c r="I266" s="200"/>
    </row>
    <row r="267" spans="1:9">
      <c r="A267" s="19"/>
      <c r="B267" s="120"/>
      <c r="C267" s="4"/>
      <c r="D267" s="332"/>
      <c r="E267" s="328"/>
      <c r="F267" s="332"/>
      <c r="G267" s="292"/>
    </row>
    <row r="268" spans="1:9">
      <c r="A268" s="452" t="s">
        <v>227</v>
      </c>
      <c r="B268" s="453"/>
      <c r="C268" s="453"/>
      <c r="D268" s="453"/>
      <c r="E268" s="453"/>
      <c r="F268" s="453"/>
      <c r="G268" s="453"/>
    </row>
    <row r="269" spans="1:9">
      <c r="A269" s="5" t="s">
        <v>4</v>
      </c>
      <c r="B269" s="133" t="s">
        <v>45</v>
      </c>
      <c r="C269" s="6" t="s">
        <v>5</v>
      </c>
      <c r="D269" s="322" t="s">
        <v>344</v>
      </c>
      <c r="E269" s="322" t="s">
        <v>345</v>
      </c>
      <c r="F269" s="322" t="s">
        <v>346</v>
      </c>
      <c r="G269" s="302" t="s">
        <v>9</v>
      </c>
    </row>
    <row r="270" spans="1:9">
      <c r="A270" s="6" t="s">
        <v>188</v>
      </c>
      <c r="B270" s="134"/>
      <c r="C270" s="6"/>
      <c r="D270" s="350"/>
      <c r="E270" s="350"/>
      <c r="F270" s="350"/>
      <c r="G270" s="302"/>
    </row>
    <row r="271" spans="1:9">
      <c r="A271" s="6" t="s">
        <v>189</v>
      </c>
      <c r="B271" s="134"/>
      <c r="C271" s="6"/>
      <c r="D271" s="350"/>
      <c r="E271" s="350"/>
      <c r="F271" s="350"/>
      <c r="G271" s="302"/>
    </row>
    <row r="272" spans="1:9">
      <c r="A272" s="6" t="s">
        <v>189</v>
      </c>
      <c r="B272" s="134"/>
      <c r="C272" s="6"/>
      <c r="D272" s="350"/>
      <c r="E272" s="350"/>
      <c r="F272" s="350"/>
      <c r="G272" s="302"/>
    </row>
    <row r="273" spans="1:7">
      <c r="A273" s="6" t="s">
        <v>78</v>
      </c>
      <c r="B273" s="134"/>
      <c r="C273" s="6"/>
      <c r="D273" s="350"/>
      <c r="E273" s="350"/>
      <c r="F273" s="350"/>
      <c r="G273" s="302"/>
    </row>
    <row r="274" spans="1:7">
      <c r="A274" s="6" t="s">
        <v>122</v>
      </c>
      <c r="B274" s="134"/>
      <c r="C274" s="6"/>
      <c r="D274" s="350"/>
      <c r="E274" s="350"/>
      <c r="F274" s="350"/>
      <c r="G274" s="302"/>
    </row>
    <row r="275" spans="1:7">
      <c r="A275" s="6" t="s">
        <v>75</v>
      </c>
      <c r="B275" s="134"/>
      <c r="C275" s="6"/>
      <c r="D275" s="350"/>
      <c r="E275" s="350"/>
      <c r="F275" s="350"/>
      <c r="G275" s="302"/>
    </row>
    <row r="276" spans="1:7">
      <c r="A276" s="6" t="s">
        <v>79</v>
      </c>
      <c r="B276" s="134"/>
      <c r="C276" s="6"/>
      <c r="D276" s="350"/>
      <c r="E276" s="350"/>
      <c r="F276" s="350"/>
      <c r="G276" s="302"/>
    </row>
    <row r="277" spans="1:7">
      <c r="A277" s="6" t="s">
        <v>80</v>
      </c>
      <c r="B277" s="134"/>
      <c r="C277" s="6"/>
      <c r="D277" s="350"/>
      <c r="E277" s="350"/>
      <c r="F277" s="350"/>
      <c r="G277" s="302"/>
    </row>
    <row r="278" spans="1:7">
      <c r="A278" s="6" t="s">
        <v>81</v>
      </c>
      <c r="B278" s="134"/>
      <c r="C278" s="6"/>
      <c r="D278" s="350"/>
      <c r="E278" s="350"/>
      <c r="F278" s="350"/>
      <c r="G278" s="302"/>
    </row>
    <row r="279" spans="1:7">
      <c r="A279" s="6" t="s">
        <v>82</v>
      </c>
      <c r="B279" s="134"/>
      <c r="C279" s="6"/>
      <c r="D279" s="350"/>
      <c r="E279" s="350"/>
      <c r="F279" s="350"/>
      <c r="G279" s="302"/>
    </row>
    <row r="280" spans="1:7">
      <c r="A280" s="6" t="s">
        <v>83</v>
      </c>
      <c r="B280" s="134"/>
      <c r="C280" s="6"/>
      <c r="D280" s="350"/>
      <c r="E280" s="350"/>
      <c r="F280" s="350"/>
      <c r="G280" s="302"/>
    </row>
    <row r="281" spans="1:7">
      <c r="A281" s="6" t="s">
        <v>122</v>
      </c>
      <c r="B281" s="134"/>
      <c r="C281" s="6"/>
      <c r="D281" s="350"/>
      <c r="E281" s="350"/>
      <c r="F281" s="350"/>
      <c r="G281" s="302"/>
    </row>
    <row r="282" spans="1:7">
      <c r="A282" s="6" t="s">
        <v>190</v>
      </c>
      <c r="B282" s="134"/>
      <c r="C282" s="6"/>
      <c r="D282" s="350"/>
      <c r="E282" s="350"/>
      <c r="F282" s="350"/>
      <c r="G282" s="302"/>
    </row>
    <row r="283" spans="1:7">
      <c r="A283" s="6" t="s">
        <v>84</v>
      </c>
      <c r="B283" s="134"/>
      <c r="C283" s="6"/>
      <c r="D283" s="350"/>
      <c r="E283" s="350"/>
      <c r="F283" s="350"/>
      <c r="G283" s="302"/>
    </row>
    <row r="284" spans="1:7">
      <c r="A284" s="6" t="s">
        <v>85</v>
      </c>
      <c r="B284" s="134"/>
      <c r="C284" s="6"/>
      <c r="D284" s="350"/>
      <c r="E284" s="350"/>
      <c r="F284" s="350"/>
      <c r="G284" s="302"/>
    </row>
    <row r="285" spans="1:7">
      <c r="A285" s="6" t="s">
        <v>89</v>
      </c>
      <c r="B285" s="134"/>
      <c r="C285" s="10"/>
      <c r="D285" s="350"/>
      <c r="E285" s="350"/>
      <c r="F285" s="350"/>
      <c r="G285" s="302"/>
    </row>
    <row r="286" spans="1:7">
      <c r="A286" s="6" t="s">
        <v>86</v>
      </c>
      <c r="B286" s="134"/>
      <c r="C286" s="10"/>
      <c r="D286" s="350"/>
      <c r="E286" s="350"/>
      <c r="F286" s="350"/>
      <c r="G286" s="302"/>
    </row>
    <row r="287" spans="1:7">
      <c r="A287" s="6" t="s">
        <v>87</v>
      </c>
      <c r="B287" s="134"/>
      <c r="C287" s="10"/>
      <c r="D287" s="350"/>
      <c r="E287" s="350"/>
      <c r="F287" s="350"/>
      <c r="G287" s="302"/>
    </row>
    <row r="288" spans="1:7">
      <c r="A288" s="6" t="s">
        <v>88</v>
      </c>
      <c r="B288" s="134"/>
      <c r="C288" s="10"/>
      <c r="D288" s="350"/>
      <c r="E288" s="350"/>
      <c r="F288" s="350"/>
      <c r="G288" s="302"/>
    </row>
    <row r="289" spans="1:9">
      <c r="A289" s="6" t="s">
        <v>90</v>
      </c>
      <c r="B289" s="134"/>
      <c r="C289" s="10"/>
      <c r="D289" s="350"/>
      <c r="E289" s="350"/>
      <c r="F289" s="350"/>
      <c r="G289" s="302"/>
    </row>
    <row r="290" spans="1:9">
      <c r="A290" s="6" t="s">
        <v>204</v>
      </c>
      <c r="B290" s="134"/>
      <c r="C290" s="6"/>
      <c r="D290" s="352"/>
      <c r="E290" s="352"/>
      <c r="F290" s="352"/>
      <c r="G290" s="304"/>
    </row>
    <row r="291" spans="1:9">
      <c r="A291" s="6" t="s">
        <v>57</v>
      </c>
      <c r="B291" s="134"/>
      <c r="C291" s="6"/>
      <c r="D291" s="350"/>
      <c r="E291" s="350"/>
      <c r="F291" s="350"/>
      <c r="G291" s="302"/>
    </row>
    <row r="292" spans="1:9">
      <c r="A292" s="54" t="s">
        <v>323</v>
      </c>
      <c r="B292" s="134"/>
      <c r="C292" s="6"/>
      <c r="D292" s="354">
        <v>905.33</v>
      </c>
      <c r="E292" s="354">
        <v>0</v>
      </c>
      <c r="F292" s="354">
        <v>135208.51999999999</v>
      </c>
      <c r="G292" s="306">
        <v>136113.84999999998</v>
      </c>
    </row>
    <row r="293" spans="1:9">
      <c r="A293" s="10" t="s">
        <v>10</v>
      </c>
      <c r="B293" s="135"/>
      <c r="C293" s="10"/>
      <c r="D293" s="356">
        <v>0</v>
      </c>
      <c r="E293" s="356">
        <v>965</v>
      </c>
      <c r="F293" s="356">
        <v>0</v>
      </c>
      <c r="G293" s="307">
        <f>SUM(D293:F293)</f>
        <v>965</v>
      </c>
    </row>
    <row r="294" spans="1:9">
      <c r="A294" s="101" t="s">
        <v>319</v>
      </c>
      <c r="B294" s="121"/>
      <c r="C294" s="47"/>
      <c r="D294" s="380"/>
      <c r="E294" s="328" t="s">
        <v>70</v>
      </c>
      <c r="F294" s="329">
        <f>135204.9</f>
        <v>135204.9</v>
      </c>
      <c r="G294" s="74" t="e">
        <f>F294/F293</f>
        <v>#DIV/0!</v>
      </c>
    </row>
    <row r="295" spans="1:9">
      <c r="E295" s="328" t="s">
        <v>72</v>
      </c>
      <c r="F295" s="329">
        <f>0</f>
        <v>0</v>
      </c>
      <c r="G295" s="74" t="e">
        <f>F295/F293</f>
        <v>#DIV/0!</v>
      </c>
    </row>
    <row r="296" spans="1:9">
      <c r="E296" s="328" t="s">
        <v>71</v>
      </c>
      <c r="F296" s="329">
        <f>3.62</f>
        <v>3.62</v>
      </c>
      <c r="G296" s="74" t="e">
        <f>F296/F293</f>
        <v>#DIV/0!</v>
      </c>
    </row>
    <row r="298" spans="1:9" s="408" customFormat="1">
      <c r="B298" s="409"/>
      <c r="D298" s="410"/>
      <c r="E298" s="410"/>
      <c r="F298" s="410"/>
      <c r="G298" s="411"/>
      <c r="H298" s="412"/>
      <c r="I298" s="413"/>
    </row>
    <row r="301" spans="1:9">
      <c r="A301" s="20" t="s">
        <v>347</v>
      </c>
      <c r="B301" s="104"/>
      <c r="C301" s="2"/>
      <c r="D301" s="21"/>
      <c r="E301" s="21"/>
      <c r="F301" s="21"/>
      <c r="G301" s="21"/>
      <c r="H301" s="84"/>
    </row>
    <row r="302" spans="1:9">
      <c r="A302" s="23" t="s">
        <v>12</v>
      </c>
      <c r="B302" s="105" t="s">
        <v>45</v>
      </c>
      <c r="C302" s="6" t="s">
        <v>5</v>
      </c>
      <c r="D302" s="414" t="s">
        <v>344</v>
      </c>
      <c r="E302" s="414" t="s">
        <v>387</v>
      </c>
      <c r="F302" s="414" t="s">
        <v>388</v>
      </c>
      <c r="G302" s="21" t="s">
        <v>16</v>
      </c>
      <c r="H302" s="84"/>
    </row>
    <row r="303" spans="1:9">
      <c r="A303" s="23" t="s">
        <v>0</v>
      </c>
      <c r="B303" s="106">
        <v>6902.7619999999997</v>
      </c>
      <c r="C303" s="24">
        <v>840</v>
      </c>
      <c r="D303" s="415">
        <f>C303/C$314*D$314</f>
        <v>4856.88</v>
      </c>
      <c r="E303" s="415">
        <f t="shared" ref="E303:F303" si="25">D303/D$314*E$314</f>
        <v>97301.4</v>
      </c>
      <c r="F303" s="415">
        <f t="shared" si="25"/>
        <v>504</v>
      </c>
      <c r="G303" s="24"/>
      <c r="H303" s="84"/>
    </row>
    <row r="304" spans="1:9">
      <c r="A304" s="59" t="s">
        <v>217</v>
      </c>
      <c r="B304" s="106"/>
      <c r="C304" s="24"/>
      <c r="D304" s="416"/>
      <c r="E304" s="416"/>
      <c r="F304" s="416"/>
      <c r="G304" s="24"/>
      <c r="H304" s="84"/>
    </row>
    <row r="305" spans="1:8">
      <c r="A305" s="23" t="s">
        <v>17</v>
      </c>
      <c r="B305" s="106">
        <v>1360</v>
      </c>
      <c r="C305" s="24">
        <v>160</v>
      </c>
      <c r="D305" s="415">
        <f t="shared" ref="D305:F305" si="26">C305/C$314*D$314</f>
        <v>925.12</v>
      </c>
      <c r="E305" s="415">
        <f t="shared" si="26"/>
        <v>18533.600000000002</v>
      </c>
      <c r="F305" s="415">
        <f t="shared" si="26"/>
        <v>96.000000000000014</v>
      </c>
      <c r="G305" s="24"/>
      <c r="H305" s="84"/>
    </row>
    <row r="306" spans="1:8">
      <c r="A306" s="59" t="s">
        <v>203</v>
      </c>
      <c r="B306" s="106"/>
      <c r="C306" s="24"/>
      <c r="D306" s="24"/>
      <c r="E306" s="24"/>
      <c r="F306" s="24"/>
      <c r="G306" s="24"/>
      <c r="H306" s="84"/>
    </row>
    <row r="307" spans="1:8">
      <c r="A307" s="58" t="s">
        <v>67</v>
      </c>
      <c r="B307" s="22"/>
      <c r="C307" s="24"/>
      <c r="D307" s="24"/>
      <c r="E307" s="24"/>
      <c r="F307" s="24"/>
      <c r="G307" s="24"/>
      <c r="H307" s="84"/>
    </row>
    <row r="308" spans="1:8">
      <c r="A308" s="23" t="s">
        <v>18</v>
      </c>
      <c r="B308" s="106"/>
      <c r="C308" s="24"/>
      <c r="D308" s="24"/>
      <c r="E308" s="24"/>
      <c r="F308" s="24"/>
      <c r="G308" s="24"/>
      <c r="H308" s="84"/>
    </row>
    <row r="309" spans="1:8">
      <c r="A309" s="23" t="s">
        <v>19</v>
      </c>
      <c r="B309" s="106"/>
      <c r="C309" s="24"/>
      <c r="D309" s="24"/>
      <c r="E309" s="24"/>
      <c r="F309" s="24"/>
      <c r="G309" s="24"/>
      <c r="H309" s="84"/>
    </row>
    <row r="310" spans="1:8">
      <c r="A310" s="23" t="s">
        <v>73</v>
      </c>
      <c r="B310" s="106"/>
      <c r="C310" s="24"/>
      <c r="D310" s="24"/>
      <c r="E310" s="24"/>
      <c r="F310" s="24"/>
      <c r="G310" s="24"/>
      <c r="H310" s="84"/>
    </row>
    <row r="311" spans="1:8">
      <c r="A311" s="56" t="s">
        <v>202</v>
      </c>
      <c r="B311" s="106"/>
      <c r="C311" s="24"/>
      <c r="D311" s="24"/>
      <c r="E311" s="24"/>
      <c r="F311" s="24"/>
      <c r="G311" s="24"/>
      <c r="H311" s="252"/>
    </row>
    <row r="312" spans="1:8">
      <c r="A312" s="93" t="s">
        <v>167</v>
      </c>
      <c r="B312" s="106"/>
      <c r="C312" s="24"/>
      <c r="D312" s="24"/>
      <c r="E312" s="24"/>
      <c r="F312" s="24"/>
      <c r="G312" s="24"/>
      <c r="H312" s="252"/>
    </row>
    <row r="313" spans="1:8">
      <c r="A313" s="93" t="s">
        <v>315</v>
      </c>
      <c r="B313" s="106"/>
      <c r="C313" s="24"/>
      <c r="D313" s="24"/>
      <c r="E313" s="24"/>
      <c r="F313" s="24"/>
      <c r="G313" s="24"/>
      <c r="H313" s="252"/>
    </row>
    <row r="314" spans="1:8">
      <c r="A314" s="20" t="s">
        <v>20</v>
      </c>
      <c r="B314" s="104"/>
      <c r="C314" s="25">
        <f>SUM(C303:C313)</f>
        <v>1000</v>
      </c>
      <c r="D314" s="103">
        <v>5782</v>
      </c>
      <c r="E314" s="103">
        <f>104950+10885</f>
        <v>115835</v>
      </c>
      <c r="F314" s="103">
        <v>600</v>
      </c>
      <c r="G314" s="103"/>
      <c r="H314" s="261">
        <f>F303+F305</f>
        <v>600</v>
      </c>
    </row>
    <row r="315" spans="1:8">
      <c r="A315" s="397" t="s">
        <v>378</v>
      </c>
      <c r="B315" s="128"/>
      <c r="C315" s="65"/>
      <c r="D315" s="65"/>
      <c r="E315" s="77" t="s">
        <v>70</v>
      </c>
      <c r="F315" s="22"/>
      <c r="G315" s="73">
        <f>F315/F314</f>
        <v>0</v>
      </c>
      <c r="H315" s="71">
        <f>G315*H314-0.01</f>
        <v>-0.01</v>
      </c>
    </row>
    <row r="316" spans="1:8">
      <c r="A316" s="102"/>
      <c r="B316" s="128"/>
      <c r="C316" s="62"/>
      <c r="D316" s="62"/>
      <c r="E316" s="77" t="s">
        <v>72</v>
      </c>
      <c r="F316" s="22"/>
      <c r="G316" s="73">
        <f>F316/F314</f>
        <v>0</v>
      </c>
      <c r="H316" s="71">
        <f>G316*H314</f>
        <v>0</v>
      </c>
    </row>
    <row r="317" spans="1:8">
      <c r="A317" s="61"/>
      <c r="B317" s="128"/>
      <c r="C317" s="62"/>
      <c r="D317" s="62"/>
      <c r="E317" s="77" t="s">
        <v>71</v>
      </c>
      <c r="F317" s="22"/>
      <c r="G317" s="73">
        <f>F317/F314</f>
        <v>0</v>
      </c>
      <c r="H317" s="71">
        <f>H314*G317</f>
        <v>0</v>
      </c>
    </row>
    <row r="318" spans="1:8">
      <c r="A318" s="61"/>
      <c r="B318" s="128"/>
      <c r="C318" s="62"/>
      <c r="D318" s="62"/>
      <c r="E318" s="77"/>
      <c r="F318" s="22"/>
      <c r="G318" s="73"/>
      <c r="H318" s="71"/>
    </row>
    <row r="319" spans="1:8">
      <c r="D319" s="22"/>
      <c r="E319" s="22"/>
      <c r="F319" s="22"/>
      <c r="G319" s="22"/>
      <c r="H319" s="84"/>
    </row>
    <row r="320" spans="1:8">
      <c r="A320" s="20" t="s">
        <v>348</v>
      </c>
      <c r="B320" s="105" t="s">
        <v>45</v>
      </c>
      <c r="C320" s="6" t="s">
        <v>5</v>
      </c>
      <c r="D320" s="414" t="s">
        <v>344</v>
      </c>
      <c r="E320" s="414" t="s">
        <v>387</v>
      </c>
      <c r="F320" s="414" t="s">
        <v>388</v>
      </c>
      <c r="G320" s="29" t="s">
        <v>9</v>
      </c>
      <c r="H320" s="84"/>
    </row>
    <row r="321" spans="1:8">
      <c r="A321" s="30" t="s">
        <v>21</v>
      </c>
      <c r="B321" s="127"/>
      <c r="C321" s="31"/>
      <c r="D321" s="31"/>
      <c r="E321" s="31"/>
      <c r="F321" s="31"/>
      <c r="G321" s="31"/>
      <c r="H321" s="84"/>
    </row>
    <row r="322" spans="1:8">
      <c r="A322" s="56" t="s">
        <v>59</v>
      </c>
      <c r="B322" s="127"/>
      <c r="C322" s="31"/>
      <c r="D322" s="31"/>
      <c r="E322" s="31"/>
      <c r="F322" s="31"/>
      <c r="G322" s="31"/>
      <c r="H322" s="84"/>
    </row>
    <row r="323" spans="1:8">
      <c r="A323" s="56" t="s">
        <v>201</v>
      </c>
      <c r="B323" s="127"/>
      <c r="C323" s="31"/>
      <c r="D323" s="31"/>
      <c r="E323" s="31"/>
      <c r="F323" s="31"/>
      <c r="G323" s="31"/>
      <c r="H323" s="84"/>
    </row>
    <row r="324" spans="1:8">
      <c r="A324" s="56" t="s">
        <v>58</v>
      </c>
      <c r="B324" s="127"/>
      <c r="C324" s="14"/>
      <c r="D324" s="31"/>
      <c r="E324" s="31"/>
      <c r="F324" s="31"/>
      <c r="G324" s="31"/>
      <c r="H324" s="84"/>
    </row>
    <row r="325" spans="1:8">
      <c r="A325" s="30" t="s">
        <v>22</v>
      </c>
      <c r="B325" s="127"/>
      <c r="C325" s="14"/>
      <c r="D325" s="31"/>
      <c r="E325" s="31"/>
      <c r="F325" s="31"/>
      <c r="G325" s="31"/>
      <c r="H325" s="84"/>
    </row>
    <row r="326" spans="1:8">
      <c r="A326" s="30" t="s">
        <v>23</v>
      </c>
      <c r="B326" s="109"/>
      <c r="C326" s="31"/>
      <c r="D326" s="31"/>
      <c r="E326" s="31"/>
      <c r="F326" s="31"/>
      <c r="G326" s="31"/>
      <c r="H326" s="84"/>
    </row>
    <row r="327" spans="1:8">
      <c r="A327" s="30" t="s">
        <v>24</v>
      </c>
      <c r="B327" s="127"/>
      <c r="C327" s="31"/>
      <c r="D327" s="31"/>
      <c r="E327" s="31"/>
      <c r="F327" s="31"/>
      <c r="G327" s="31"/>
      <c r="H327" s="84"/>
    </row>
    <row r="328" spans="1:8">
      <c r="A328" s="30" t="s">
        <v>25</v>
      </c>
      <c r="B328" s="109"/>
      <c r="C328" s="31"/>
      <c r="D328" s="31"/>
      <c r="E328" s="31"/>
      <c r="F328" s="31"/>
      <c r="G328" s="31"/>
      <c r="H328" s="84"/>
    </row>
    <row r="329" spans="1:8">
      <c r="A329" s="30" t="s">
        <v>26</v>
      </c>
      <c r="B329" s="109"/>
      <c r="C329" s="31"/>
      <c r="D329" s="31"/>
      <c r="E329" s="31"/>
      <c r="F329" s="31"/>
      <c r="G329" s="31"/>
      <c r="H329" s="84"/>
    </row>
    <row r="330" spans="1:8">
      <c r="A330" s="23" t="s">
        <v>199</v>
      </c>
      <c r="B330" s="109"/>
      <c r="C330" s="14"/>
      <c r="D330" s="31"/>
      <c r="E330" s="31"/>
      <c r="F330" s="31"/>
      <c r="G330" s="31"/>
      <c r="H330" s="84"/>
    </row>
    <row r="331" spans="1:8">
      <c r="A331" s="56" t="s">
        <v>320</v>
      </c>
      <c r="B331" s="109"/>
      <c r="C331" s="14"/>
      <c r="D331" s="31"/>
      <c r="E331" s="31"/>
      <c r="F331" s="31"/>
      <c r="G331" s="31"/>
      <c r="H331" s="84"/>
    </row>
    <row r="332" spans="1:8">
      <c r="A332" s="56" t="s">
        <v>202</v>
      </c>
      <c r="B332" s="109"/>
      <c r="C332" s="14"/>
      <c r="D332" s="31"/>
      <c r="E332" s="31"/>
      <c r="F332" s="31"/>
      <c r="G332" s="31"/>
      <c r="H332" s="84"/>
    </row>
    <row r="333" spans="1:8">
      <c r="A333" s="20" t="s">
        <v>20</v>
      </c>
      <c r="B333" s="104"/>
      <c r="C333" s="25"/>
      <c r="D333" s="25">
        <v>0</v>
      </c>
      <c r="E333" s="25">
        <v>57264</v>
      </c>
      <c r="F333" s="25">
        <v>0</v>
      </c>
      <c r="G333" s="25"/>
      <c r="H333" s="84"/>
    </row>
    <row r="334" spans="1:8">
      <c r="A334" s="101" t="s">
        <v>379</v>
      </c>
      <c r="B334" s="110"/>
      <c r="C334" s="27"/>
      <c r="D334" s="27"/>
      <c r="E334" s="77" t="s">
        <v>70</v>
      </c>
      <c r="F334" s="63"/>
      <c r="G334" s="64" t="e">
        <f>F334/F333</f>
        <v>#DIV/0!</v>
      </c>
      <c r="H334" s="84"/>
    </row>
    <row r="335" spans="1:8">
      <c r="A335" s="101"/>
      <c r="B335" s="110"/>
      <c r="C335" s="27"/>
      <c r="D335" s="27"/>
      <c r="E335" s="77" t="s">
        <v>72</v>
      </c>
      <c r="F335" s="63"/>
      <c r="G335" s="64" t="e">
        <f>F335/F333</f>
        <v>#DIV/0!</v>
      </c>
      <c r="H335" s="84"/>
    </row>
    <row r="336" spans="1:8">
      <c r="A336" s="102"/>
      <c r="B336" s="110"/>
      <c r="C336" s="27"/>
      <c r="D336" s="22"/>
      <c r="E336" s="77" t="s">
        <v>71</v>
      </c>
      <c r="F336" s="22"/>
      <c r="G336" s="64" t="e">
        <f>F336/F333</f>
        <v>#DIV/0!</v>
      </c>
      <c r="H336" s="84"/>
    </row>
    <row r="337" spans="1:8">
      <c r="D337" s="22"/>
      <c r="E337" s="22"/>
      <c r="F337" s="22"/>
      <c r="G337" s="22"/>
      <c r="H337" s="84"/>
    </row>
    <row r="338" spans="1:8">
      <c r="D338" s="22"/>
      <c r="E338" s="22"/>
      <c r="F338" s="22"/>
      <c r="G338" s="22"/>
      <c r="H338" s="84"/>
    </row>
    <row r="339" spans="1:8">
      <c r="A339" s="20" t="s">
        <v>349</v>
      </c>
      <c r="B339" s="105" t="s">
        <v>45</v>
      </c>
      <c r="C339" s="6" t="s">
        <v>5</v>
      </c>
      <c r="D339" s="414" t="s">
        <v>344</v>
      </c>
      <c r="E339" s="414" t="s">
        <v>387</v>
      </c>
      <c r="F339" s="414" t="s">
        <v>388</v>
      </c>
      <c r="G339" s="21" t="s">
        <v>16</v>
      </c>
      <c r="H339" s="84"/>
    </row>
    <row r="340" spans="1:8">
      <c r="A340" s="23" t="s">
        <v>27</v>
      </c>
      <c r="B340" s="106"/>
      <c r="C340" s="34"/>
      <c r="D340" s="35"/>
      <c r="E340" s="35"/>
      <c r="F340" s="35"/>
      <c r="G340" s="35"/>
      <c r="H340" s="84"/>
    </row>
    <row r="341" spans="1:8">
      <c r="A341" s="23" t="s">
        <v>28</v>
      </c>
      <c r="B341" s="127">
        <v>1097.79</v>
      </c>
      <c r="C341" s="34">
        <f>48*28</f>
        <v>1344</v>
      </c>
      <c r="D341" s="415">
        <f>C341/C$356*D$356</f>
        <v>260.14285714285711</v>
      </c>
      <c r="E341" s="415">
        <f t="shared" ref="E341:F341" si="27">D341/D$356*E$356</f>
        <v>26413.714285714283</v>
      </c>
      <c r="F341" s="415">
        <f t="shared" si="27"/>
        <v>300</v>
      </c>
      <c r="G341" s="35"/>
      <c r="H341" s="84"/>
    </row>
    <row r="342" spans="1:8">
      <c r="A342" s="23" t="s">
        <v>29</v>
      </c>
      <c r="B342" s="127">
        <v>400.46</v>
      </c>
      <c r="C342" s="34">
        <f>28*48</f>
        <v>1344</v>
      </c>
      <c r="D342" s="415">
        <f t="shared" ref="D342:F342" si="28">C342/C$356*D$356</f>
        <v>260.14285714285711</v>
      </c>
      <c r="E342" s="415">
        <f t="shared" si="28"/>
        <v>26413.714285714283</v>
      </c>
      <c r="F342" s="415">
        <f t="shared" si="28"/>
        <v>300</v>
      </c>
      <c r="G342" s="35"/>
      <c r="H342" s="84"/>
    </row>
    <row r="343" spans="1:8">
      <c r="A343" s="23" t="s">
        <v>30</v>
      </c>
      <c r="B343" s="127"/>
      <c r="C343" s="34"/>
      <c r="D343" s="416"/>
      <c r="E343" s="416"/>
      <c r="F343" s="416"/>
      <c r="G343" s="35"/>
      <c r="H343" s="84"/>
    </row>
    <row r="344" spans="1:8">
      <c r="A344" s="59" t="s">
        <v>200</v>
      </c>
      <c r="B344" s="127"/>
      <c r="C344" s="34"/>
      <c r="D344" s="416"/>
      <c r="E344" s="416"/>
      <c r="F344" s="416"/>
      <c r="G344" s="35"/>
      <c r="H344" s="84"/>
    </row>
    <row r="345" spans="1:8">
      <c r="A345" s="23" t="s">
        <v>31</v>
      </c>
      <c r="B345" s="106">
        <v>90400</v>
      </c>
      <c r="C345" s="34">
        <f>18*12</f>
        <v>216</v>
      </c>
      <c r="D345" s="415">
        <f t="shared" ref="D345:F345" si="29">C345/C$356*D$356</f>
        <v>41.808673469387749</v>
      </c>
      <c r="E345" s="415">
        <f t="shared" si="29"/>
        <v>4245.0612244897957</v>
      </c>
      <c r="F345" s="415">
        <f t="shared" si="29"/>
        <v>48.214285714285708</v>
      </c>
      <c r="G345" s="35"/>
      <c r="H345" s="84"/>
    </row>
    <row r="346" spans="1:8">
      <c r="A346" s="23" t="s">
        <v>32</v>
      </c>
      <c r="B346" s="106">
        <v>36100</v>
      </c>
      <c r="C346" s="34">
        <f>20*8</f>
        <v>160</v>
      </c>
      <c r="D346" s="415">
        <f t="shared" ref="D346:F346" si="30">C346/C$356*D$356</f>
        <v>30.969387755102041</v>
      </c>
      <c r="E346" s="415">
        <f t="shared" si="30"/>
        <v>3144.4897959183672</v>
      </c>
      <c r="F346" s="415">
        <f t="shared" si="30"/>
        <v>35.714285714285715</v>
      </c>
      <c r="G346" s="35"/>
      <c r="H346" s="84"/>
    </row>
    <row r="347" spans="1:8">
      <c r="A347" s="23" t="s">
        <v>33</v>
      </c>
      <c r="B347" s="106">
        <v>4700</v>
      </c>
      <c r="C347" s="34">
        <f>3*24</f>
        <v>72</v>
      </c>
      <c r="D347" s="415">
        <f t="shared" ref="D347:F347" si="31">C347/C$356*D$356</f>
        <v>13.936224489795919</v>
      </c>
      <c r="E347" s="415">
        <f t="shared" si="31"/>
        <v>1415.0204081632653</v>
      </c>
      <c r="F347" s="415">
        <f t="shared" si="31"/>
        <v>16.071428571428573</v>
      </c>
      <c r="G347" s="35"/>
      <c r="H347" s="262"/>
    </row>
    <row r="348" spans="1:8">
      <c r="A348" s="23" t="s">
        <v>34</v>
      </c>
      <c r="B348" s="127"/>
      <c r="C348" s="2"/>
      <c r="D348" s="35"/>
      <c r="E348" s="35"/>
      <c r="F348" s="258"/>
      <c r="G348" s="35"/>
      <c r="H348" s="262"/>
    </row>
    <row r="349" spans="1:8">
      <c r="A349" s="23" t="s">
        <v>35</v>
      </c>
      <c r="B349" s="106"/>
      <c r="C349" s="34"/>
      <c r="D349" s="35"/>
      <c r="E349" s="35"/>
      <c r="F349" s="258"/>
      <c r="G349" s="35"/>
      <c r="H349" s="262"/>
    </row>
    <row r="350" spans="1:8">
      <c r="A350" s="23" t="s">
        <v>36</v>
      </c>
      <c r="B350" s="127"/>
      <c r="C350" s="34"/>
      <c r="D350" s="35"/>
      <c r="E350" s="35"/>
      <c r="F350" s="258"/>
      <c r="G350" s="35"/>
      <c r="H350" s="262"/>
    </row>
    <row r="351" spans="1:8">
      <c r="A351" s="23" t="s">
        <v>199</v>
      </c>
      <c r="B351" s="106"/>
      <c r="C351" s="34"/>
      <c r="D351" s="35"/>
      <c r="E351" s="35"/>
      <c r="F351" s="258"/>
      <c r="G351" s="35"/>
      <c r="H351" s="263"/>
    </row>
    <row r="352" spans="1:8">
      <c r="A352" s="59" t="s">
        <v>66</v>
      </c>
      <c r="B352" s="106"/>
      <c r="C352" s="34"/>
      <c r="D352" s="35"/>
      <c r="E352" s="35"/>
      <c r="F352" s="258"/>
      <c r="G352" s="35"/>
      <c r="H352" s="262"/>
    </row>
    <row r="353" spans="1:8">
      <c r="A353" s="58" t="s">
        <v>315</v>
      </c>
      <c r="B353" s="106"/>
      <c r="C353" s="34"/>
      <c r="D353" s="35"/>
      <c r="E353" s="35"/>
      <c r="F353" s="258"/>
      <c r="G353" s="38"/>
      <c r="H353" s="261" t="s">
        <v>335</v>
      </c>
    </row>
    <row r="354" spans="1:8">
      <c r="A354" s="58" t="s">
        <v>206</v>
      </c>
      <c r="B354" s="106"/>
      <c r="C354" s="34"/>
      <c r="D354" s="35"/>
      <c r="E354" s="35"/>
      <c r="F354" s="258"/>
      <c r="G354" s="38"/>
      <c r="H354" s="261"/>
    </row>
    <row r="355" spans="1:8">
      <c r="A355" s="58" t="s">
        <v>323</v>
      </c>
      <c r="B355" s="106"/>
      <c r="C355" s="34"/>
      <c r="D355" s="35"/>
      <c r="E355" s="35"/>
      <c r="F355" s="258"/>
      <c r="G355" s="38"/>
      <c r="H355" s="261"/>
    </row>
    <row r="356" spans="1:8">
      <c r="A356" s="20" t="s">
        <v>20</v>
      </c>
      <c r="B356" s="104"/>
      <c r="C356" s="36">
        <f>SUM(C340:C355)</f>
        <v>3136</v>
      </c>
      <c r="D356" s="37">
        <v>607</v>
      </c>
      <c r="E356" s="37">
        <f>47968+13664</f>
        <v>61632</v>
      </c>
      <c r="F356" s="260">
        <v>700</v>
      </c>
      <c r="G356" s="38"/>
      <c r="H356" s="261">
        <f>F356-F355</f>
        <v>700</v>
      </c>
    </row>
    <row r="357" spans="1:8">
      <c r="A357" s="397" t="s">
        <v>378</v>
      </c>
      <c r="B357" s="110"/>
      <c r="C357" s="39"/>
      <c r="D357" s="40"/>
      <c r="E357" s="76" t="s">
        <v>70</v>
      </c>
      <c r="F357" s="251"/>
      <c r="G357" s="60">
        <f>F357/F356</f>
        <v>0</v>
      </c>
      <c r="H357" s="71">
        <f>H356*G357</f>
        <v>0</v>
      </c>
    </row>
    <row r="358" spans="1:8">
      <c r="A358" s="102"/>
      <c r="B358" s="110"/>
      <c r="C358" s="39"/>
      <c r="D358" s="40"/>
      <c r="E358" s="76" t="s">
        <v>72</v>
      </c>
      <c r="F358" s="40"/>
      <c r="G358" s="60">
        <f>F358/F356</f>
        <v>0</v>
      </c>
      <c r="H358" s="71">
        <f>H356*G358</f>
        <v>0</v>
      </c>
    </row>
    <row r="359" spans="1:8">
      <c r="A359" s="28"/>
      <c r="B359" s="108"/>
      <c r="C359" s="39"/>
      <c r="D359" s="40"/>
      <c r="E359" s="76" t="s">
        <v>71</v>
      </c>
      <c r="F359" s="40"/>
      <c r="G359" s="60">
        <f>F359/F356</f>
        <v>0</v>
      </c>
      <c r="H359" s="71">
        <f>H356*G359</f>
        <v>0</v>
      </c>
    </row>
    <row r="360" spans="1:8">
      <c r="A360" s="28"/>
      <c r="B360" s="108"/>
      <c r="C360" s="39"/>
      <c r="D360" s="40"/>
      <c r="E360" s="76"/>
      <c r="F360" s="40"/>
      <c r="G360" s="60"/>
      <c r="H360" s="71"/>
    </row>
    <row r="361" spans="1:8">
      <c r="D361" s="22"/>
      <c r="E361" s="22"/>
      <c r="F361" s="22"/>
      <c r="G361" s="22"/>
      <c r="H361" s="84"/>
    </row>
    <row r="362" spans="1:8">
      <c r="A362" s="20" t="s">
        <v>350</v>
      </c>
      <c r="B362" s="105" t="s">
        <v>45</v>
      </c>
      <c r="C362" s="6" t="s">
        <v>5</v>
      </c>
      <c r="D362" s="414" t="s">
        <v>344</v>
      </c>
      <c r="E362" s="414" t="s">
        <v>387</v>
      </c>
      <c r="F362" s="414" t="s">
        <v>388</v>
      </c>
      <c r="G362" s="21" t="s">
        <v>16</v>
      </c>
      <c r="H362" s="84"/>
    </row>
    <row r="363" spans="1:8">
      <c r="A363" s="56" t="s">
        <v>74</v>
      </c>
      <c r="B363" s="105"/>
      <c r="C363" s="6"/>
      <c r="D363" s="51"/>
      <c r="E363" s="51"/>
      <c r="F363" s="51"/>
      <c r="G363" s="51"/>
      <c r="H363" s="84"/>
    </row>
    <row r="364" spans="1:8">
      <c r="A364" s="56" t="s">
        <v>77</v>
      </c>
      <c r="B364" s="105"/>
      <c r="C364" s="5"/>
      <c r="D364" s="90"/>
      <c r="E364" s="90"/>
      <c r="F364" s="90"/>
      <c r="G364" s="51"/>
      <c r="H364" s="84"/>
    </row>
    <row r="365" spans="1:8">
      <c r="A365" s="23" t="s">
        <v>43</v>
      </c>
      <c r="B365" s="106"/>
      <c r="C365" s="34"/>
      <c r="D365" s="99"/>
      <c r="E365" s="99"/>
      <c r="F365" s="99"/>
      <c r="G365" s="99"/>
      <c r="H365" s="84"/>
    </row>
    <row r="366" spans="1:8">
      <c r="A366" s="23" t="s">
        <v>3</v>
      </c>
      <c r="B366" s="106"/>
      <c r="C366" s="34"/>
      <c r="D366" s="99"/>
      <c r="E366" s="99"/>
      <c r="F366" s="99"/>
      <c r="G366" s="99"/>
      <c r="H366" s="84"/>
    </row>
    <row r="367" spans="1:8">
      <c r="A367" s="59" t="s">
        <v>315</v>
      </c>
      <c r="B367" s="106"/>
      <c r="C367" s="34"/>
      <c r="D367" s="90"/>
      <c r="E367" s="90"/>
      <c r="F367" s="90"/>
      <c r="G367" s="90"/>
      <c r="H367" s="84"/>
    </row>
    <row r="368" spans="1:8">
      <c r="A368" s="20" t="s">
        <v>20</v>
      </c>
      <c r="B368" s="104"/>
      <c r="C368" s="36"/>
      <c r="D368" s="37">
        <v>270</v>
      </c>
      <c r="E368" s="37">
        <f>25568+10885</f>
        <v>36453</v>
      </c>
      <c r="F368" s="37">
        <v>200</v>
      </c>
      <c r="G368" s="98"/>
      <c r="H368" s="84" t="s">
        <v>336</v>
      </c>
    </row>
    <row r="369" spans="1:8">
      <c r="A369" s="397" t="s">
        <v>383</v>
      </c>
      <c r="B369" s="110"/>
      <c r="C369" s="45"/>
      <c r="D369" s="46"/>
      <c r="E369" s="77" t="s">
        <v>70</v>
      </c>
      <c r="F369" s="40"/>
      <c r="G369" s="60">
        <f>F369/F368</f>
        <v>0</v>
      </c>
    </row>
    <row r="370" spans="1:8">
      <c r="A370" s="102"/>
      <c r="B370" s="110"/>
      <c r="C370" s="45"/>
      <c r="D370" s="46"/>
      <c r="E370" s="77" t="s">
        <v>72</v>
      </c>
      <c r="F370" s="40"/>
      <c r="G370" s="60">
        <f>F370/F368</f>
        <v>0</v>
      </c>
    </row>
    <row r="371" spans="1:8">
      <c r="A371" s="101"/>
      <c r="B371" s="110"/>
      <c r="C371" s="45"/>
      <c r="D371" s="46"/>
      <c r="E371" s="77" t="s">
        <v>71</v>
      </c>
      <c r="F371" s="40"/>
      <c r="G371" s="60">
        <f>F371/F368</f>
        <v>0</v>
      </c>
    </row>
    <row r="372" spans="1:8">
      <c r="D372" s="22"/>
      <c r="E372" s="22"/>
      <c r="F372" s="22"/>
      <c r="G372" s="22"/>
      <c r="H372" s="84"/>
    </row>
    <row r="373" spans="1:8">
      <c r="D373" s="22"/>
      <c r="E373" s="22"/>
      <c r="F373" s="22"/>
      <c r="G373" s="22"/>
      <c r="H373" s="84"/>
    </row>
    <row r="374" spans="1:8">
      <c r="A374" s="453" t="s">
        <v>351</v>
      </c>
      <c r="B374" s="453"/>
      <c r="C374" s="453"/>
      <c r="D374" s="453"/>
      <c r="E374" s="453"/>
      <c r="F374" s="453"/>
      <c r="G374" s="453"/>
      <c r="H374" s="84"/>
    </row>
    <row r="375" spans="1:8">
      <c r="A375" s="5" t="s">
        <v>4</v>
      </c>
      <c r="B375" s="105" t="s">
        <v>45</v>
      </c>
      <c r="C375" s="6" t="s">
        <v>5</v>
      </c>
      <c r="D375" s="414" t="s">
        <v>344</v>
      </c>
      <c r="E375" s="414" t="s">
        <v>387</v>
      </c>
      <c r="F375" s="414" t="s">
        <v>388</v>
      </c>
      <c r="G375" s="6" t="s">
        <v>9</v>
      </c>
      <c r="H375" s="84"/>
    </row>
    <row r="376" spans="1:8">
      <c r="A376" s="6" t="s">
        <v>173</v>
      </c>
      <c r="B376" s="117"/>
      <c r="C376" s="6"/>
      <c r="D376" s="6"/>
      <c r="E376" s="6"/>
      <c r="F376" s="6"/>
      <c r="G376" s="6"/>
      <c r="H376" s="84"/>
    </row>
    <row r="377" spans="1:8">
      <c r="A377" s="6" t="s">
        <v>113</v>
      </c>
      <c r="B377" s="117"/>
      <c r="C377" s="6"/>
      <c r="D377" s="7"/>
      <c r="E377" s="7"/>
      <c r="F377" s="7"/>
      <c r="G377" s="7"/>
      <c r="H377" s="84"/>
    </row>
    <row r="378" spans="1:8">
      <c r="A378" s="6" t="s">
        <v>113</v>
      </c>
      <c r="C378" s="6"/>
      <c r="D378" s="7"/>
      <c r="E378" s="7"/>
      <c r="F378" s="7"/>
      <c r="G378" s="7"/>
      <c r="H378" s="84"/>
    </row>
    <row r="379" spans="1:8">
      <c r="A379" s="88" t="s">
        <v>114</v>
      </c>
      <c r="B379" s="268"/>
      <c r="C379" s="88">
        <v>10.5</v>
      </c>
      <c r="D379" s="417">
        <f>C379/C$429*D$429</f>
        <v>324.64593301435406</v>
      </c>
      <c r="E379" s="417">
        <f t="shared" ref="E379:F379" si="32">D379/D$429*E$429</f>
        <v>7979.3971291866028</v>
      </c>
      <c r="F379" s="417">
        <f t="shared" si="32"/>
        <v>34.162679425837318</v>
      </c>
      <c r="G379" s="269"/>
      <c r="H379" s="84"/>
    </row>
    <row r="380" spans="1:8">
      <c r="A380" s="6" t="s">
        <v>115</v>
      </c>
      <c r="B380" s="117"/>
      <c r="C380" s="6"/>
      <c r="D380" s="418"/>
      <c r="E380" s="418"/>
      <c r="F380" s="418"/>
      <c r="G380" s="7"/>
      <c r="H380" s="84"/>
    </row>
    <row r="381" spans="1:8">
      <c r="A381" s="6" t="s">
        <v>186</v>
      </c>
      <c r="B381" s="117">
        <v>182.77699999999999</v>
      </c>
      <c r="C381" s="6">
        <v>47.5</v>
      </c>
      <c r="D381" s="417">
        <f t="shared" ref="D381:F381" si="33">C381/C$429*D$429</f>
        <v>1468.6363636363635</v>
      </c>
      <c r="E381" s="417">
        <f t="shared" si="33"/>
        <v>36097.272727272728</v>
      </c>
      <c r="F381" s="417">
        <f t="shared" si="33"/>
        <v>154.54545454545453</v>
      </c>
      <c r="G381" s="7"/>
      <c r="H381" s="84"/>
    </row>
    <row r="382" spans="1:8">
      <c r="A382" s="6" t="s">
        <v>116</v>
      </c>
      <c r="B382" s="117"/>
      <c r="C382" s="6"/>
      <c r="D382" s="418"/>
      <c r="E382" s="418"/>
      <c r="F382" s="418"/>
      <c r="G382" s="7"/>
      <c r="H382" s="84"/>
    </row>
    <row r="383" spans="1:8">
      <c r="A383" s="6" t="s">
        <v>181</v>
      </c>
      <c r="B383" s="117"/>
      <c r="C383" s="6"/>
      <c r="D383" s="418"/>
      <c r="E383" s="418"/>
      <c r="F383" s="418"/>
      <c r="G383" s="7"/>
      <c r="H383" s="84"/>
    </row>
    <row r="384" spans="1:8">
      <c r="A384" s="6" t="s">
        <v>182</v>
      </c>
      <c r="B384" s="117"/>
      <c r="C384" s="6"/>
      <c r="D384" s="418"/>
      <c r="E384" s="418"/>
      <c r="F384" s="418"/>
      <c r="G384" s="7"/>
      <c r="H384" s="84"/>
    </row>
    <row r="385" spans="1:8">
      <c r="A385" s="6" t="s">
        <v>183</v>
      </c>
      <c r="B385" s="117"/>
      <c r="C385" s="6"/>
      <c r="D385" s="418"/>
      <c r="E385" s="418"/>
      <c r="F385" s="418"/>
      <c r="G385" s="7"/>
      <c r="H385" s="84"/>
    </row>
    <row r="386" spans="1:8">
      <c r="A386" s="6" t="s">
        <v>117</v>
      </c>
      <c r="B386" s="117"/>
      <c r="C386" s="6"/>
      <c r="D386" s="418"/>
      <c r="E386" s="418"/>
      <c r="F386" s="418"/>
      <c r="G386" s="7"/>
      <c r="H386" s="84"/>
    </row>
    <row r="387" spans="1:8">
      <c r="A387" s="6" t="s">
        <v>118</v>
      </c>
      <c r="B387" s="117"/>
      <c r="C387" s="6"/>
      <c r="D387" s="418"/>
      <c r="E387" s="418"/>
      <c r="F387" s="418"/>
      <c r="G387" s="7"/>
      <c r="H387" s="84"/>
    </row>
    <row r="388" spans="1:8">
      <c r="A388" s="6" t="s">
        <v>118</v>
      </c>
      <c r="B388" s="117"/>
      <c r="C388" s="6"/>
      <c r="D388" s="418"/>
      <c r="E388" s="418"/>
      <c r="F388" s="418"/>
      <c r="G388" s="7"/>
      <c r="H388" s="84"/>
    </row>
    <row r="389" spans="1:8">
      <c r="A389" s="6" t="s">
        <v>119</v>
      </c>
      <c r="B389" s="117">
        <v>90.296999999999997</v>
      </c>
      <c r="C389" s="6">
        <v>19</v>
      </c>
      <c r="D389" s="417">
        <f t="shared" ref="D389:F389" si="34">C389/C$429*D$429</f>
        <v>587.4545454545455</v>
      </c>
      <c r="E389" s="417">
        <f t="shared" si="34"/>
        <v>14438.909090909092</v>
      </c>
      <c r="F389" s="417">
        <f t="shared" si="34"/>
        <v>61.81818181818182</v>
      </c>
      <c r="G389" s="7"/>
      <c r="H389" s="84"/>
    </row>
    <row r="390" spans="1:8">
      <c r="A390" s="6" t="s">
        <v>152</v>
      </c>
      <c r="B390" s="117"/>
      <c r="C390" s="6"/>
      <c r="D390" s="418"/>
      <c r="E390" s="418"/>
      <c r="F390" s="418"/>
      <c r="G390" s="7"/>
      <c r="H390" s="84"/>
    </row>
    <row r="391" spans="1:8">
      <c r="A391" s="6" t="s">
        <v>187</v>
      </c>
      <c r="B391" s="117">
        <v>43.344999999999999</v>
      </c>
      <c r="C391" s="6">
        <v>0</v>
      </c>
      <c r="D391" s="418"/>
      <c r="E391" s="418"/>
      <c r="F391" s="418"/>
      <c r="G391" s="7"/>
      <c r="H391" s="84"/>
    </row>
    <row r="392" spans="1:8">
      <c r="A392" s="6" t="s">
        <v>153</v>
      </c>
      <c r="B392" s="117"/>
      <c r="C392" s="6"/>
      <c r="D392" s="418"/>
      <c r="E392" s="418"/>
      <c r="F392" s="418"/>
      <c r="G392" s="7"/>
      <c r="H392" s="84"/>
    </row>
    <row r="393" spans="1:8">
      <c r="A393" s="6" t="s">
        <v>154</v>
      </c>
      <c r="B393" s="117">
        <v>131.303</v>
      </c>
      <c r="C393" s="6">
        <v>0</v>
      </c>
      <c r="D393" s="418"/>
      <c r="E393" s="418"/>
      <c r="F393" s="418"/>
      <c r="G393" s="7"/>
      <c r="H393" s="84"/>
    </row>
    <row r="394" spans="1:8">
      <c r="A394" s="78" t="s">
        <v>155</v>
      </c>
      <c r="B394" s="127">
        <v>46.372</v>
      </c>
      <c r="C394" s="6">
        <v>10.5</v>
      </c>
      <c r="D394" s="417">
        <f t="shared" ref="D394:F394" si="35">C394/C$429*D$429</f>
        <v>324.64593301435406</v>
      </c>
      <c r="E394" s="417">
        <f t="shared" si="35"/>
        <v>7979.3971291866028</v>
      </c>
      <c r="F394" s="417">
        <f t="shared" si="35"/>
        <v>34.162679425837318</v>
      </c>
      <c r="G394" s="7"/>
      <c r="H394" s="84"/>
    </row>
    <row r="395" spans="1:8">
      <c r="A395" s="405" t="s">
        <v>155</v>
      </c>
      <c r="B395" s="406"/>
      <c r="C395" s="272">
        <v>10.5</v>
      </c>
      <c r="D395" s="417">
        <f t="shared" ref="D395:F395" si="36">C395/C$429*D$429</f>
        <v>324.64593301435406</v>
      </c>
      <c r="E395" s="417">
        <f t="shared" si="36"/>
        <v>7979.3971291866028</v>
      </c>
      <c r="F395" s="417">
        <f t="shared" si="36"/>
        <v>34.162679425837318</v>
      </c>
      <c r="G395" s="269"/>
      <c r="H395" s="84"/>
    </row>
    <row r="396" spans="1:8">
      <c r="A396" s="78" t="s">
        <v>156</v>
      </c>
      <c r="B396" s="127">
        <v>139.803</v>
      </c>
      <c r="C396" s="52">
        <v>30.5</v>
      </c>
      <c r="D396" s="417">
        <f t="shared" ref="D396:F396" si="37">C396/C$429*D$429</f>
        <v>943.01913875598098</v>
      </c>
      <c r="E396" s="417">
        <f t="shared" si="37"/>
        <v>23178.248803827752</v>
      </c>
      <c r="F396" s="417">
        <f t="shared" si="37"/>
        <v>99.234449760765557</v>
      </c>
      <c r="G396" s="7"/>
      <c r="H396" s="84"/>
    </row>
    <row r="397" spans="1:8">
      <c r="A397" s="78" t="s">
        <v>156</v>
      </c>
      <c r="B397" s="109"/>
      <c r="C397" s="6"/>
      <c r="D397" s="418"/>
      <c r="E397" s="418"/>
      <c r="F397" s="418"/>
      <c r="G397" s="7"/>
      <c r="H397" s="84"/>
    </row>
    <row r="398" spans="1:8">
      <c r="A398" s="405" t="s">
        <v>165</v>
      </c>
      <c r="B398" s="271"/>
      <c r="C398" s="88">
        <v>10.5</v>
      </c>
      <c r="D398" s="417">
        <f t="shared" ref="D398:F398" si="38">C398/C$429*D$429</f>
        <v>324.64593301435406</v>
      </c>
      <c r="E398" s="417">
        <f t="shared" si="38"/>
        <v>7979.3971291866028</v>
      </c>
      <c r="F398" s="417">
        <f t="shared" si="38"/>
        <v>34.162679425837318</v>
      </c>
      <c r="G398" s="269"/>
      <c r="H398" s="84"/>
    </row>
    <row r="399" spans="1:8">
      <c r="A399" s="78" t="s">
        <v>210</v>
      </c>
      <c r="B399" s="109"/>
      <c r="C399" s="6"/>
      <c r="D399" s="418"/>
      <c r="E399" s="418"/>
      <c r="F399" s="418"/>
      <c r="G399" s="7"/>
      <c r="H399" s="84"/>
    </row>
    <row r="400" spans="1:8">
      <c r="A400" s="78" t="s">
        <v>191</v>
      </c>
      <c r="B400" s="109"/>
      <c r="C400" s="6"/>
      <c r="D400" s="418"/>
      <c r="E400" s="418"/>
      <c r="F400" s="418"/>
      <c r="G400" s="7"/>
      <c r="H400" s="84"/>
    </row>
    <row r="401" spans="1:8">
      <c r="A401" s="78" t="s">
        <v>157</v>
      </c>
      <c r="B401" s="109"/>
      <c r="C401" s="6"/>
      <c r="D401" s="418"/>
      <c r="E401" s="418"/>
      <c r="F401" s="418"/>
      <c r="G401" s="7"/>
      <c r="H401" s="84"/>
    </row>
    <row r="402" spans="1:8">
      <c r="A402" s="78" t="s">
        <v>166</v>
      </c>
      <c r="B402" s="109">
        <v>8.6829999999999998</v>
      </c>
      <c r="C402" s="6">
        <v>2.5</v>
      </c>
      <c r="D402" s="417">
        <f t="shared" ref="D402:F402" si="39">C402/C$429*D$429</f>
        <v>77.296650717703344</v>
      </c>
      <c r="E402" s="417">
        <f t="shared" si="39"/>
        <v>1899.8564593301435</v>
      </c>
      <c r="F402" s="417">
        <f t="shared" si="39"/>
        <v>8.133971291866029</v>
      </c>
      <c r="G402" s="7"/>
      <c r="H402" s="84"/>
    </row>
    <row r="403" spans="1:8">
      <c r="A403" s="78" t="s">
        <v>120</v>
      </c>
      <c r="B403" s="109">
        <v>37.442</v>
      </c>
      <c r="C403" s="6">
        <v>8</v>
      </c>
      <c r="D403" s="417">
        <f t="shared" ref="D403:F403" si="40">C403/C$429*D$429</f>
        <v>247.3492822966507</v>
      </c>
      <c r="E403" s="417">
        <f t="shared" si="40"/>
        <v>6079.5406698564593</v>
      </c>
      <c r="F403" s="417">
        <f t="shared" si="40"/>
        <v>26.028708133971289</v>
      </c>
      <c r="G403" s="7"/>
      <c r="H403" s="84"/>
    </row>
    <row r="404" spans="1:8">
      <c r="A404" s="78" t="s">
        <v>192</v>
      </c>
      <c r="B404" s="109"/>
      <c r="C404" s="6"/>
      <c r="D404" s="418"/>
      <c r="E404" s="418"/>
      <c r="F404" s="418"/>
      <c r="G404" s="7"/>
      <c r="H404" s="84"/>
    </row>
    <row r="405" spans="1:8">
      <c r="A405" s="78" t="s">
        <v>193</v>
      </c>
      <c r="B405" s="109"/>
      <c r="C405" s="6"/>
      <c r="D405" s="418"/>
      <c r="E405" s="418"/>
      <c r="F405" s="418"/>
      <c r="G405" s="7"/>
      <c r="H405" s="84"/>
    </row>
    <row r="406" spans="1:8">
      <c r="A406" s="78" t="s">
        <v>158</v>
      </c>
      <c r="B406" s="109"/>
      <c r="C406" s="6"/>
      <c r="D406" s="418"/>
      <c r="E406" s="418"/>
      <c r="F406" s="418"/>
      <c r="G406" s="7"/>
      <c r="H406" s="84"/>
    </row>
    <row r="407" spans="1:8">
      <c r="A407" s="78" t="s">
        <v>159</v>
      </c>
      <c r="B407" s="109"/>
      <c r="C407" s="6"/>
      <c r="D407" s="418"/>
      <c r="E407" s="418"/>
      <c r="F407" s="418"/>
      <c r="G407" s="7"/>
      <c r="H407" s="84"/>
    </row>
    <row r="408" spans="1:8">
      <c r="A408" s="78" t="s">
        <v>160</v>
      </c>
      <c r="B408" s="109"/>
      <c r="C408" s="6"/>
      <c r="D408" s="418"/>
      <c r="E408" s="418"/>
      <c r="F408" s="418"/>
      <c r="G408" s="7"/>
      <c r="H408" s="84"/>
    </row>
    <row r="409" spans="1:8">
      <c r="A409" s="78" t="s">
        <v>174</v>
      </c>
      <c r="B409" s="109"/>
      <c r="C409" s="6"/>
      <c r="D409" s="418"/>
      <c r="E409" s="418"/>
      <c r="F409" s="418"/>
      <c r="G409" s="7"/>
      <c r="H409" s="84"/>
    </row>
    <row r="410" spans="1:8">
      <c r="A410" s="78" t="s">
        <v>161</v>
      </c>
      <c r="B410" s="109"/>
      <c r="C410" s="6"/>
      <c r="D410" s="418"/>
      <c r="E410" s="418"/>
      <c r="F410" s="418"/>
      <c r="G410" s="7"/>
      <c r="H410" s="84"/>
    </row>
    <row r="411" spans="1:8">
      <c r="A411" s="78" t="s">
        <v>162</v>
      </c>
      <c r="B411" s="109"/>
      <c r="C411" s="8"/>
      <c r="D411" s="418"/>
      <c r="E411" s="418"/>
      <c r="F411" s="418"/>
      <c r="G411" s="7"/>
      <c r="H411" s="84"/>
    </row>
    <row r="412" spans="1:8">
      <c r="A412" s="78" t="s">
        <v>194</v>
      </c>
      <c r="B412" s="109"/>
      <c r="C412" s="8"/>
      <c r="D412" s="418"/>
      <c r="E412" s="418"/>
      <c r="F412" s="418"/>
      <c r="G412" s="7"/>
      <c r="H412" s="84"/>
    </row>
    <row r="413" spans="1:8">
      <c r="A413" s="78" t="s">
        <v>208</v>
      </c>
      <c r="B413" s="109">
        <v>134.04400000000001</v>
      </c>
      <c r="C413" s="8">
        <v>29</v>
      </c>
      <c r="D413" s="417">
        <f t="shared" ref="D413:F413" si="41">C413/C$429*D$429</f>
        <v>896.64114832535881</v>
      </c>
      <c r="E413" s="417">
        <f t="shared" si="41"/>
        <v>22038.334928229666</v>
      </c>
      <c r="F413" s="417">
        <f t="shared" si="41"/>
        <v>94.354066985645929</v>
      </c>
      <c r="G413" s="7"/>
      <c r="H413" s="84"/>
    </row>
    <row r="414" spans="1:8">
      <c r="A414" s="78" t="s">
        <v>175</v>
      </c>
      <c r="B414" s="109"/>
      <c r="C414" s="8"/>
      <c r="D414" s="418"/>
      <c r="E414" s="418"/>
      <c r="F414" s="418"/>
      <c r="G414" s="7"/>
      <c r="H414" s="84"/>
    </row>
    <row r="415" spans="1:8">
      <c r="A415" s="78" t="s">
        <v>176</v>
      </c>
      <c r="B415" s="109"/>
      <c r="C415" s="8"/>
      <c r="D415" s="418"/>
      <c r="E415" s="418"/>
      <c r="F415" s="418"/>
      <c r="G415" s="7"/>
      <c r="H415" s="84"/>
    </row>
    <row r="416" spans="1:8">
      <c r="A416" s="78" t="s">
        <v>195</v>
      </c>
      <c r="B416" s="109"/>
      <c r="C416" s="8"/>
      <c r="D416" s="418"/>
      <c r="E416" s="418"/>
      <c r="F416" s="418"/>
      <c r="G416" s="7"/>
      <c r="H416" s="84"/>
    </row>
    <row r="417" spans="1:8">
      <c r="A417" s="78" t="s">
        <v>121</v>
      </c>
      <c r="B417" s="100"/>
      <c r="C417" s="8"/>
      <c r="D417" s="418"/>
      <c r="E417" s="418"/>
      <c r="F417" s="418"/>
      <c r="G417" s="7"/>
      <c r="H417" s="84"/>
    </row>
    <row r="418" spans="1:8">
      <c r="A418" s="78" t="s">
        <v>196</v>
      </c>
      <c r="B418" s="100"/>
      <c r="C418" s="8"/>
      <c r="D418" s="418"/>
      <c r="E418" s="418"/>
      <c r="F418" s="418"/>
      <c r="G418" s="7"/>
      <c r="H418" s="84"/>
    </row>
    <row r="419" spans="1:8">
      <c r="A419" s="78" t="s">
        <v>122</v>
      </c>
      <c r="B419" s="109"/>
      <c r="C419" s="8"/>
      <c r="D419" s="418"/>
      <c r="E419" s="418"/>
      <c r="F419" s="418"/>
      <c r="G419" s="7"/>
      <c r="H419" s="84"/>
    </row>
    <row r="420" spans="1:8">
      <c r="A420" s="78" t="s">
        <v>164</v>
      </c>
      <c r="B420" s="127">
        <v>90.778000000000006</v>
      </c>
      <c r="C420" s="52">
        <v>20.5</v>
      </c>
      <c r="D420" s="417">
        <f t="shared" ref="D420:F420" si="42">C420/C$429*D$429</f>
        <v>633.83253588516743</v>
      </c>
      <c r="E420" s="417">
        <f t="shared" si="42"/>
        <v>15578.822966507178</v>
      </c>
      <c r="F420" s="417">
        <f t="shared" si="42"/>
        <v>66.698564593301441</v>
      </c>
      <c r="G420" s="7"/>
      <c r="H420" s="84"/>
    </row>
    <row r="421" spans="1:8">
      <c r="A421" s="78" t="s">
        <v>76</v>
      </c>
      <c r="B421" s="109"/>
      <c r="C421" s="8"/>
      <c r="D421" s="418"/>
      <c r="E421" s="418"/>
      <c r="F421" s="418"/>
      <c r="G421" s="7"/>
      <c r="H421" s="84"/>
    </row>
    <row r="422" spans="1:8">
      <c r="A422" s="78" t="s">
        <v>163</v>
      </c>
      <c r="B422" s="109"/>
      <c r="C422" s="8"/>
      <c r="D422" s="418"/>
      <c r="E422" s="418"/>
      <c r="F422" s="418"/>
      <c r="G422" s="7"/>
      <c r="H422" s="84"/>
    </row>
    <row r="423" spans="1:8">
      <c r="A423" s="78" t="s">
        <v>163</v>
      </c>
      <c r="B423" s="109"/>
      <c r="C423" s="8"/>
      <c r="D423" s="418"/>
      <c r="E423" s="418"/>
      <c r="F423" s="418"/>
      <c r="G423" s="7"/>
      <c r="H423" s="84"/>
    </row>
    <row r="424" spans="1:8">
      <c r="A424" s="78" t="s">
        <v>177</v>
      </c>
      <c r="B424" s="109"/>
      <c r="C424" s="8"/>
      <c r="D424" s="418"/>
      <c r="E424" s="418"/>
      <c r="F424" s="418"/>
      <c r="G424" s="7"/>
      <c r="H424" s="84"/>
    </row>
    <row r="425" spans="1:8">
      <c r="A425" s="405" t="s">
        <v>209</v>
      </c>
      <c r="B425" s="271"/>
      <c r="C425" s="407">
        <v>10</v>
      </c>
      <c r="D425" s="417">
        <f t="shared" ref="D425:F425" si="43">C425/C$429*D$429</f>
        <v>309.18660287081337</v>
      </c>
      <c r="E425" s="417">
        <f t="shared" si="43"/>
        <v>7599.4258373205739</v>
      </c>
      <c r="F425" s="417">
        <f t="shared" si="43"/>
        <v>32.535885167464116</v>
      </c>
      <c r="G425" s="269"/>
      <c r="H425" s="254"/>
    </row>
    <row r="426" spans="1:8">
      <c r="A426" s="78" t="s">
        <v>178</v>
      </c>
      <c r="B426" s="127"/>
      <c r="C426" s="52"/>
      <c r="D426" s="6"/>
      <c r="E426" s="6"/>
      <c r="F426" s="6"/>
      <c r="G426" s="6"/>
      <c r="H426" s="84"/>
    </row>
    <row r="427" spans="1:8">
      <c r="A427" s="78" t="s">
        <v>42</v>
      </c>
      <c r="B427" s="127"/>
      <c r="C427" s="52"/>
      <c r="D427" s="6"/>
      <c r="E427" s="6"/>
      <c r="F427" s="6"/>
      <c r="G427" s="6"/>
      <c r="H427" s="84"/>
    </row>
    <row r="428" spans="1:8">
      <c r="A428" s="218" t="s">
        <v>315</v>
      </c>
      <c r="B428" s="127"/>
      <c r="C428" s="52"/>
      <c r="D428" s="7"/>
      <c r="E428" s="7"/>
      <c r="F428" s="7"/>
      <c r="G428" s="7"/>
      <c r="H428" s="261" t="s">
        <v>335</v>
      </c>
    </row>
    <row r="429" spans="1:8">
      <c r="A429" s="10" t="s">
        <v>10</v>
      </c>
      <c r="B429" s="113"/>
      <c r="C429" s="10">
        <f>SUM(C379:C428)</f>
        <v>209</v>
      </c>
      <c r="D429" s="11">
        <f>6462</f>
        <v>6462</v>
      </c>
      <c r="E429" s="12">
        <f>132889+25939</f>
        <v>158828</v>
      </c>
      <c r="F429" s="12">
        <f>680</f>
        <v>680</v>
      </c>
      <c r="G429" s="12"/>
      <c r="H429" s="71">
        <f>F429-F428</f>
        <v>680</v>
      </c>
    </row>
    <row r="430" spans="1:8">
      <c r="A430" s="397" t="s">
        <v>378</v>
      </c>
      <c r="B430" s="122"/>
      <c r="C430" s="55"/>
      <c r="D430" s="22"/>
      <c r="E430" s="77" t="s">
        <v>70</v>
      </c>
      <c r="F430" s="41"/>
      <c r="G430" s="67">
        <f>F430/F429</f>
        <v>0</v>
      </c>
      <c r="H430" s="71"/>
    </row>
    <row r="431" spans="1:8">
      <c r="A431" s="102"/>
      <c r="B431" s="123"/>
      <c r="C431" s="66"/>
      <c r="D431" s="66"/>
      <c r="E431" s="77" t="s">
        <v>72</v>
      </c>
      <c r="F431" s="68"/>
      <c r="G431" s="69">
        <f>F431/F429</f>
        <v>0</v>
      </c>
      <c r="H431" s="71"/>
    </row>
    <row r="432" spans="1:8">
      <c r="A432" s="66"/>
      <c r="B432" s="123"/>
      <c r="C432" s="66"/>
      <c r="D432" s="66"/>
      <c r="E432" s="77" t="s">
        <v>71</v>
      </c>
      <c r="F432" s="68"/>
      <c r="G432" s="69">
        <f>F432/F429</f>
        <v>0</v>
      </c>
      <c r="H432" s="71"/>
    </row>
    <row r="433" spans="1:8">
      <c r="A433" s="66"/>
      <c r="B433" s="123"/>
      <c r="C433" s="66"/>
      <c r="D433" s="66"/>
      <c r="E433" s="77"/>
      <c r="F433" s="68"/>
      <c r="G433" s="69"/>
      <c r="H433" s="71"/>
    </row>
    <row r="434" spans="1:8">
      <c r="D434" s="22"/>
      <c r="E434" s="22"/>
      <c r="F434" s="22"/>
      <c r="G434" s="22"/>
      <c r="H434" s="84"/>
    </row>
    <row r="435" spans="1:8">
      <c r="A435" s="454" t="s">
        <v>352</v>
      </c>
      <c r="B435" s="455"/>
      <c r="C435" s="455"/>
      <c r="D435" s="455"/>
      <c r="E435" s="455"/>
      <c r="F435" s="455"/>
      <c r="G435" s="456"/>
      <c r="H435" s="84"/>
    </row>
    <row r="436" spans="1:8">
      <c r="A436" s="5" t="s">
        <v>4</v>
      </c>
      <c r="B436" s="115" t="s">
        <v>45</v>
      </c>
      <c r="C436" s="50" t="s">
        <v>46</v>
      </c>
      <c r="D436" s="414" t="s">
        <v>344</v>
      </c>
      <c r="E436" s="414" t="s">
        <v>387</v>
      </c>
      <c r="F436" s="414" t="s">
        <v>388</v>
      </c>
      <c r="G436" s="6"/>
      <c r="H436" s="84"/>
    </row>
    <row r="437" spans="1:8">
      <c r="A437" s="9" t="s">
        <v>60</v>
      </c>
      <c r="B437" s="109"/>
      <c r="C437" s="52"/>
      <c r="D437" s="7"/>
      <c r="E437" s="7"/>
      <c r="F437" s="7"/>
      <c r="G437" s="7"/>
      <c r="H437" s="84"/>
    </row>
    <row r="438" spans="1:8">
      <c r="A438" s="9" t="s">
        <v>151</v>
      </c>
      <c r="B438" s="109"/>
      <c r="C438" s="52"/>
      <c r="D438" s="7"/>
      <c r="E438" s="7"/>
      <c r="F438" s="7"/>
      <c r="G438" s="7"/>
      <c r="H438" s="84"/>
    </row>
    <row r="439" spans="1:8">
      <c r="A439" s="9" t="s">
        <v>123</v>
      </c>
      <c r="B439" s="109">
        <v>42.502000000000002</v>
      </c>
      <c r="C439" s="52">
        <v>10.5</v>
      </c>
      <c r="D439" s="419">
        <f>C439/C$490*D$490</f>
        <v>232.36956521739131</v>
      </c>
      <c r="E439" s="419">
        <f t="shared" ref="E439:F439" si="44">D439/D$490*E$490</f>
        <v>9762.9202898550739</v>
      </c>
      <c r="F439" s="419">
        <f t="shared" si="44"/>
        <v>29.420289855072468</v>
      </c>
      <c r="G439" s="7"/>
      <c r="H439" s="84"/>
    </row>
    <row r="440" spans="1:8">
      <c r="A440" s="9" t="s">
        <v>138</v>
      </c>
      <c r="B440" s="109"/>
      <c r="C440" s="52"/>
      <c r="D440" s="418"/>
      <c r="E440" s="418"/>
      <c r="F440" s="418"/>
      <c r="G440" s="7"/>
      <c r="H440" s="84"/>
    </row>
    <row r="441" spans="1:8">
      <c r="A441" s="9" t="s">
        <v>197</v>
      </c>
      <c r="B441" s="109"/>
      <c r="C441" s="52"/>
      <c r="D441" s="418"/>
      <c r="E441" s="418"/>
      <c r="F441" s="418"/>
      <c r="G441" s="7"/>
      <c r="H441" s="84"/>
    </row>
    <row r="442" spans="1:8">
      <c r="A442" s="9" t="s">
        <v>61</v>
      </c>
      <c r="B442" s="109"/>
      <c r="C442" s="52"/>
      <c r="D442" s="418"/>
      <c r="E442" s="418"/>
      <c r="F442" s="418"/>
      <c r="G442" s="7"/>
      <c r="H442" s="84"/>
    </row>
    <row r="443" spans="1:8">
      <c r="A443" s="9" t="s">
        <v>124</v>
      </c>
      <c r="B443" s="109">
        <v>76.994</v>
      </c>
      <c r="C443" s="52">
        <v>0</v>
      </c>
      <c r="D443" s="418"/>
      <c r="E443" s="418"/>
      <c r="F443" s="418"/>
      <c r="G443" s="7"/>
      <c r="H443" s="84"/>
    </row>
    <row r="444" spans="1:8">
      <c r="A444" s="9" t="s">
        <v>124</v>
      </c>
      <c r="B444" s="109"/>
      <c r="C444" s="52"/>
      <c r="D444" s="418"/>
      <c r="E444" s="418"/>
      <c r="F444" s="418"/>
      <c r="G444" s="7"/>
      <c r="H444" s="84"/>
    </row>
    <row r="445" spans="1:8">
      <c r="A445" s="9" t="s">
        <v>139</v>
      </c>
      <c r="B445" s="109"/>
      <c r="C445" s="52"/>
      <c r="D445" s="418"/>
      <c r="E445" s="418"/>
      <c r="F445" s="418"/>
      <c r="G445" s="7"/>
      <c r="H445" s="84"/>
    </row>
    <row r="446" spans="1:8">
      <c r="A446" s="9" t="s">
        <v>171</v>
      </c>
      <c r="B446" s="109">
        <v>39.893000000000001</v>
      </c>
      <c r="C446" s="52">
        <v>10</v>
      </c>
      <c r="D446" s="419">
        <f t="shared" ref="D446:F446" si="45">C446/C$490*D$490</f>
        <v>221.30434782608697</v>
      </c>
      <c r="E446" s="419">
        <f t="shared" si="45"/>
        <v>9298.0193236714967</v>
      </c>
      <c r="F446" s="419">
        <f t="shared" si="45"/>
        <v>28.019323671497581</v>
      </c>
      <c r="G446" s="7"/>
      <c r="H446" s="84"/>
    </row>
    <row r="447" spans="1:8">
      <c r="A447" s="9" t="s">
        <v>184</v>
      </c>
      <c r="B447" s="109"/>
      <c r="C447" s="52"/>
      <c r="D447" s="418"/>
      <c r="E447" s="418"/>
      <c r="F447" s="418"/>
      <c r="G447" s="7"/>
      <c r="H447" s="84"/>
    </row>
    <row r="448" spans="1:8">
      <c r="A448" s="9" t="s">
        <v>125</v>
      </c>
      <c r="B448" s="109"/>
      <c r="C448" s="52"/>
      <c r="D448" s="418"/>
      <c r="E448" s="418"/>
      <c r="F448" s="418"/>
      <c r="G448" s="7"/>
      <c r="H448" s="84"/>
    </row>
    <row r="449" spans="1:8">
      <c r="A449" s="9" t="s">
        <v>140</v>
      </c>
      <c r="B449" s="109"/>
      <c r="C449" s="52"/>
      <c r="D449" s="418"/>
      <c r="E449" s="418"/>
      <c r="F449" s="418"/>
      <c r="G449" s="7"/>
      <c r="H449" s="84"/>
    </row>
    <row r="450" spans="1:8">
      <c r="A450" s="9" t="s">
        <v>141</v>
      </c>
      <c r="B450" s="109"/>
      <c r="C450" s="52"/>
      <c r="D450" s="418"/>
      <c r="E450" s="418"/>
      <c r="F450" s="418"/>
      <c r="G450" s="7"/>
      <c r="H450" s="84"/>
    </row>
    <row r="451" spans="1:8">
      <c r="A451" s="96" t="s">
        <v>211</v>
      </c>
      <c r="B451" s="271"/>
      <c r="C451" s="272">
        <v>3</v>
      </c>
      <c r="D451" s="419">
        <f t="shared" ref="D451:F451" si="46">C451/C$490*D$490</f>
        <v>66.391304347826093</v>
      </c>
      <c r="E451" s="419">
        <f t="shared" si="46"/>
        <v>2789.4057971014495</v>
      </c>
      <c r="F451" s="419">
        <f t="shared" si="46"/>
        <v>8.4057971014492772</v>
      </c>
      <c r="G451" s="269"/>
      <c r="H451" s="84"/>
    </row>
    <row r="452" spans="1:8">
      <c r="A452" s="9" t="s">
        <v>142</v>
      </c>
      <c r="B452" s="127"/>
      <c r="C452" s="8"/>
      <c r="D452" s="418"/>
      <c r="E452" s="418"/>
      <c r="F452" s="418"/>
      <c r="G452" s="7"/>
      <c r="H452" s="84"/>
    </row>
    <row r="453" spans="1:8">
      <c r="A453" s="9" t="s">
        <v>126</v>
      </c>
      <c r="B453" s="109"/>
      <c r="C453" s="52"/>
      <c r="D453" s="418"/>
      <c r="E453" s="418"/>
      <c r="F453" s="418"/>
      <c r="G453" s="7"/>
      <c r="H453" s="84"/>
    </row>
    <row r="454" spans="1:8">
      <c r="A454" s="9" t="s">
        <v>172</v>
      </c>
      <c r="B454" s="109"/>
      <c r="C454" s="52"/>
      <c r="D454" s="418"/>
      <c r="E454" s="418"/>
      <c r="F454" s="418"/>
      <c r="G454" s="7"/>
      <c r="H454" s="84"/>
    </row>
    <row r="455" spans="1:8">
      <c r="A455" s="9" t="s">
        <v>127</v>
      </c>
      <c r="B455" s="109">
        <v>183.97399999999999</v>
      </c>
      <c r="C455" s="52">
        <v>16.5</v>
      </c>
      <c r="D455" s="419">
        <f t="shared" ref="D455:F455" si="47">C455/C$490*D$490</f>
        <v>365.15217391304344</v>
      </c>
      <c r="E455" s="419">
        <f t="shared" si="47"/>
        <v>15341.73188405797</v>
      </c>
      <c r="F455" s="419">
        <f t="shared" si="47"/>
        <v>46.231884057971008</v>
      </c>
      <c r="G455" s="7"/>
      <c r="H455" s="84"/>
    </row>
    <row r="456" spans="1:8">
      <c r="A456" s="9" t="s">
        <v>127</v>
      </c>
      <c r="B456" s="109"/>
      <c r="C456" s="52"/>
      <c r="D456" s="418"/>
      <c r="E456" s="418"/>
      <c r="F456" s="418"/>
      <c r="G456" s="7"/>
      <c r="H456" s="84"/>
    </row>
    <row r="457" spans="1:8">
      <c r="A457" s="9" t="s">
        <v>212</v>
      </c>
      <c r="B457" s="109">
        <v>13.983000000000001</v>
      </c>
      <c r="C457" s="52">
        <v>3</v>
      </c>
      <c r="D457" s="419">
        <f t="shared" ref="D457:F457" si="48">C457/C$490*D$490</f>
        <v>66.391304347826093</v>
      </c>
      <c r="E457" s="419">
        <f t="shared" si="48"/>
        <v>2789.4057971014495</v>
      </c>
      <c r="F457" s="419">
        <f t="shared" si="48"/>
        <v>8.4057971014492772</v>
      </c>
      <c r="G457" s="7"/>
      <c r="H457" s="84"/>
    </row>
    <row r="458" spans="1:8">
      <c r="A458" s="9" t="s">
        <v>143</v>
      </c>
      <c r="B458" s="127"/>
      <c r="C458" s="8"/>
      <c r="D458" s="418"/>
      <c r="E458" s="418"/>
      <c r="F458" s="418"/>
      <c r="G458" s="7"/>
      <c r="H458" s="84"/>
    </row>
    <row r="459" spans="1:8">
      <c r="A459" s="9" t="s">
        <v>62</v>
      </c>
      <c r="B459" s="109"/>
      <c r="C459" s="52"/>
      <c r="D459" s="418"/>
      <c r="E459" s="418"/>
      <c r="F459" s="418"/>
      <c r="G459" s="7"/>
      <c r="H459" s="84"/>
    </row>
    <row r="460" spans="1:8">
      <c r="A460" s="9" t="s">
        <v>185</v>
      </c>
      <c r="B460" s="109"/>
      <c r="C460" s="52"/>
      <c r="D460" s="418"/>
      <c r="E460" s="418"/>
      <c r="F460" s="418"/>
      <c r="G460" s="7"/>
      <c r="H460" s="84"/>
    </row>
    <row r="461" spans="1:8">
      <c r="A461" s="9" t="s">
        <v>128</v>
      </c>
      <c r="B461" s="109">
        <v>48.256</v>
      </c>
      <c r="C461" s="52">
        <v>11</v>
      </c>
      <c r="D461" s="419">
        <f t="shared" ref="D461:F461" si="49">C461/C$490*D$490</f>
        <v>243.43478260869566</v>
      </c>
      <c r="E461" s="419">
        <f t="shared" si="49"/>
        <v>10227.821256038647</v>
      </c>
      <c r="F461" s="419">
        <f t="shared" si="49"/>
        <v>30.821256038647341</v>
      </c>
      <c r="G461" s="7"/>
      <c r="H461" s="84"/>
    </row>
    <row r="462" spans="1:8">
      <c r="A462" s="9" t="s">
        <v>128</v>
      </c>
      <c r="B462" s="109"/>
      <c r="C462" s="52"/>
      <c r="D462" s="418"/>
      <c r="E462" s="418"/>
      <c r="F462" s="418"/>
      <c r="G462" s="7"/>
      <c r="H462" s="84"/>
    </row>
    <row r="463" spans="1:8">
      <c r="A463" s="9" t="s">
        <v>144</v>
      </c>
      <c r="B463" s="109"/>
      <c r="C463" s="52"/>
      <c r="D463" s="418"/>
      <c r="E463" s="418"/>
      <c r="F463" s="418"/>
      <c r="G463" s="7"/>
      <c r="H463" s="84"/>
    </row>
    <row r="464" spans="1:8">
      <c r="A464" s="9" t="s">
        <v>145</v>
      </c>
      <c r="B464" s="127">
        <v>46.548000000000002</v>
      </c>
      <c r="C464" s="8">
        <v>10.5</v>
      </c>
      <c r="D464" s="419">
        <f t="shared" ref="D464:F464" si="50">C464/C$490*D$490</f>
        <v>232.36956521739131</v>
      </c>
      <c r="E464" s="419">
        <f t="shared" si="50"/>
        <v>9762.9202898550739</v>
      </c>
      <c r="F464" s="419">
        <f t="shared" si="50"/>
        <v>29.420289855072468</v>
      </c>
      <c r="G464" s="7"/>
      <c r="H464" s="84"/>
    </row>
    <row r="465" spans="1:8">
      <c r="A465" s="9" t="s">
        <v>129</v>
      </c>
      <c r="B465" s="109">
        <v>89.397999999999996</v>
      </c>
      <c r="C465" s="52">
        <v>20</v>
      </c>
      <c r="D465" s="419">
        <f t="shared" ref="D465:F465" si="51">C465/C$490*D$490</f>
        <v>442.60869565217394</v>
      </c>
      <c r="E465" s="419">
        <f t="shared" si="51"/>
        <v>18596.038647342993</v>
      </c>
      <c r="F465" s="419">
        <f t="shared" si="51"/>
        <v>56.038647342995162</v>
      </c>
      <c r="G465" s="7"/>
      <c r="H465" s="84"/>
    </row>
    <row r="466" spans="1:8">
      <c r="A466" s="9" t="s">
        <v>130</v>
      </c>
      <c r="B466" s="109">
        <v>107.357</v>
      </c>
      <c r="C466" s="52">
        <v>28</v>
      </c>
      <c r="D466" s="419">
        <f t="shared" ref="D466:F466" si="52">C466/C$490*D$490</f>
        <v>619.65217391304338</v>
      </c>
      <c r="E466" s="419">
        <f t="shared" si="52"/>
        <v>26034.454106280191</v>
      </c>
      <c r="F466" s="419">
        <f t="shared" si="52"/>
        <v>78.45410628019323</v>
      </c>
      <c r="G466" s="7"/>
      <c r="H466" s="84"/>
    </row>
    <row r="467" spans="1:8">
      <c r="A467" s="9" t="s">
        <v>198</v>
      </c>
      <c r="B467" s="109"/>
      <c r="C467" s="52"/>
      <c r="D467" s="418"/>
      <c r="E467" s="418"/>
      <c r="F467" s="418"/>
      <c r="G467" s="7"/>
      <c r="H467" s="84"/>
    </row>
    <row r="468" spans="1:8">
      <c r="A468" s="96" t="s">
        <v>63</v>
      </c>
      <c r="B468" s="271"/>
      <c r="C468" s="272">
        <v>4.5</v>
      </c>
      <c r="D468" s="419">
        <f t="shared" ref="D468:F468" si="53">C468/C$490*D$490</f>
        <v>99.586956521739125</v>
      </c>
      <c r="E468" s="419">
        <f t="shared" si="53"/>
        <v>4184.108695652174</v>
      </c>
      <c r="F468" s="419">
        <f t="shared" si="53"/>
        <v>12.608695652173912</v>
      </c>
      <c r="G468" s="269"/>
      <c r="H468" s="84"/>
    </row>
    <row r="469" spans="1:8">
      <c r="A469" s="9" t="s">
        <v>63</v>
      </c>
      <c r="B469" s="109"/>
      <c r="C469" s="52"/>
      <c r="D469" s="418"/>
      <c r="E469" s="418"/>
      <c r="F469" s="418"/>
      <c r="G469" s="7"/>
      <c r="H469" s="84"/>
    </row>
    <row r="470" spans="1:8">
      <c r="A470" s="9" t="s">
        <v>131</v>
      </c>
      <c r="B470" s="109">
        <v>44.573</v>
      </c>
      <c r="C470" s="52">
        <v>10</v>
      </c>
      <c r="D470" s="419">
        <f t="shared" ref="D470:F470" si="54">C470/C$490*D$490</f>
        <v>221.30434782608697</v>
      </c>
      <c r="E470" s="419">
        <f t="shared" si="54"/>
        <v>9298.0193236714967</v>
      </c>
      <c r="F470" s="419">
        <f t="shared" si="54"/>
        <v>28.019323671497581</v>
      </c>
      <c r="G470" s="7"/>
      <c r="H470" s="84"/>
    </row>
    <row r="471" spans="1:8">
      <c r="A471" s="9" t="s">
        <v>131</v>
      </c>
      <c r="B471" s="109"/>
      <c r="C471" s="52"/>
      <c r="D471" s="418"/>
      <c r="E471" s="418"/>
      <c r="F471" s="418"/>
      <c r="G471" s="7"/>
      <c r="H471" s="84"/>
    </row>
    <row r="472" spans="1:8">
      <c r="A472" s="9" t="s">
        <v>213</v>
      </c>
      <c r="B472" s="109"/>
      <c r="C472" s="52"/>
      <c r="D472" s="418"/>
      <c r="E472" s="418"/>
      <c r="F472" s="418"/>
      <c r="G472" s="7"/>
      <c r="H472" s="84"/>
    </row>
    <row r="473" spans="1:8">
      <c r="A473" s="9" t="s">
        <v>132</v>
      </c>
      <c r="B473" s="109">
        <v>84.581999999999994</v>
      </c>
      <c r="C473" s="52">
        <v>19</v>
      </c>
      <c r="D473" s="419">
        <f t="shared" ref="D473:F473" si="55">C473/C$490*D$490</f>
        <v>420.47826086956525</v>
      </c>
      <c r="E473" s="419">
        <f t="shared" si="55"/>
        <v>17666.236714975847</v>
      </c>
      <c r="F473" s="419">
        <f t="shared" si="55"/>
        <v>53.236714975845416</v>
      </c>
      <c r="G473" s="7"/>
      <c r="H473" s="84"/>
    </row>
    <row r="474" spans="1:8">
      <c r="A474" s="9" t="s">
        <v>132</v>
      </c>
      <c r="B474" s="109"/>
      <c r="C474" s="52"/>
      <c r="D474" s="418"/>
      <c r="E474" s="418"/>
      <c r="F474" s="418"/>
      <c r="G474" s="7"/>
      <c r="H474" s="84"/>
    </row>
    <row r="475" spans="1:8">
      <c r="A475" s="9" t="s">
        <v>134</v>
      </c>
      <c r="B475" s="109"/>
      <c r="C475" s="52"/>
      <c r="D475" s="418"/>
      <c r="E475" s="418"/>
      <c r="F475" s="418"/>
      <c r="G475" s="7"/>
      <c r="H475" s="84"/>
    </row>
    <row r="476" spans="1:8">
      <c r="A476" s="9" t="s">
        <v>64</v>
      </c>
      <c r="B476" s="109">
        <v>31.667999999999999</v>
      </c>
      <c r="C476" s="52">
        <v>11</v>
      </c>
      <c r="D476" s="419">
        <f t="shared" ref="D476:F476" si="56">C476/C$490*D$490</f>
        <v>243.43478260869566</v>
      </c>
      <c r="E476" s="419">
        <f t="shared" si="56"/>
        <v>10227.821256038647</v>
      </c>
      <c r="F476" s="419">
        <f t="shared" si="56"/>
        <v>30.821256038647341</v>
      </c>
      <c r="G476" s="7"/>
      <c r="H476" s="84"/>
    </row>
    <row r="477" spans="1:8">
      <c r="A477" s="96" t="s">
        <v>64</v>
      </c>
      <c r="B477" s="271"/>
      <c r="C477" s="272">
        <v>34</v>
      </c>
      <c r="D477" s="419">
        <f t="shared" ref="D477:F477" si="57">C477/C$490*D$490</f>
        <v>752.43478260869574</v>
      </c>
      <c r="E477" s="419">
        <f t="shared" si="57"/>
        <v>31613.265700483094</v>
      </c>
      <c r="F477" s="419">
        <f t="shared" si="57"/>
        <v>95.265700483091791</v>
      </c>
      <c r="G477" s="269"/>
      <c r="H477" s="84"/>
    </row>
    <row r="478" spans="1:8">
      <c r="A478" s="96" t="s">
        <v>65</v>
      </c>
      <c r="B478" s="271"/>
      <c r="C478" s="272">
        <v>11.5</v>
      </c>
      <c r="D478" s="419">
        <f t="shared" ref="D478:F478" si="58">C478/C$490*D$490</f>
        <v>254.5</v>
      </c>
      <c r="E478" s="419">
        <f t="shared" si="58"/>
        <v>10692.722222222221</v>
      </c>
      <c r="F478" s="419">
        <f t="shared" si="58"/>
        <v>32.222222222222214</v>
      </c>
      <c r="G478" s="269"/>
      <c r="H478" s="84"/>
    </row>
    <row r="479" spans="1:8">
      <c r="A479" s="9" t="s">
        <v>65</v>
      </c>
      <c r="B479" s="109"/>
      <c r="C479" s="52"/>
      <c r="D479" s="418"/>
      <c r="E479" s="418"/>
      <c r="F479" s="418"/>
      <c r="G479" s="7"/>
      <c r="H479" s="84"/>
    </row>
    <row r="480" spans="1:8">
      <c r="A480" s="9" t="s">
        <v>133</v>
      </c>
      <c r="B480" s="109"/>
      <c r="C480" s="52"/>
      <c r="D480" s="418"/>
      <c r="E480" s="418"/>
      <c r="F480" s="418"/>
      <c r="G480" s="7"/>
      <c r="H480" s="84"/>
    </row>
    <row r="481" spans="1:8">
      <c r="A481" s="9" t="s">
        <v>214</v>
      </c>
      <c r="B481" s="109">
        <v>19.734999999999999</v>
      </c>
      <c r="C481" s="52">
        <v>4.5</v>
      </c>
      <c r="D481" s="419">
        <f t="shared" ref="D481:F481" si="59">C481/C$490*D$490</f>
        <v>99.586956521739125</v>
      </c>
      <c r="E481" s="419">
        <f t="shared" si="59"/>
        <v>4184.108695652174</v>
      </c>
      <c r="F481" s="419">
        <f t="shared" si="59"/>
        <v>12.608695652173912</v>
      </c>
      <c r="G481" s="7"/>
      <c r="H481" s="254"/>
    </row>
    <row r="482" spans="1:8">
      <c r="A482" s="9" t="s">
        <v>146</v>
      </c>
      <c r="B482" s="127"/>
      <c r="C482" s="8"/>
      <c r="D482" s="7"/>
      <c r="E482" s="7"/>
      <c r="F482" s="7"/>
      <c r="G482" s="7"/>
      <c r="H482" s="84"/>
    </row>
    <row r="483" spans="1:8">
      <c r="A483" s="9" t="s">
        <v>147</v>
      </c>
      <c r="B483" s="127"/>
      <c r="C483" s="8"/>
      <c r="D483" s="7"/>
      <c r="E483" s="7"/>
      <c r="F483" s="7"/>
      <c r="G483" s="7"/>
      <c r="H483" s="84"/>
    </row>
    <row r="484" spans="1:8">
      <c r="A484" s="9" t="s">
        <v>148</v>
      </c>
      <c r="B484" s="127"/>
      <c r="C484" s="8"/>
      <c r="D484" s="7"/>
      <c r="E484" s="7"/>
      <c r="F484" s="7"/>
      <c r="G484" s="7"/>
      <c r="H484" s="84"/>
    </row>
    <row r="485" spans="1:8">
      <c r="A485" s="9" t="s">
        <v>149</v>
      </c>
      <c r="B485" s="127"/>
      <c r="C485" s="8"/>
      <c r="D485" s="7"/>
      <c r="E485" s="7"/>
      <c r="F485" s="7"/>
      <c r="G485" s="7"/>
      <c r="H485" s="84"/>
    </row>
    <row r="486" spans="1:8">
      <c r="A486" s="9" t="s">
        <v>150</v>
      </c>
      <c r="B486" s="127"/>
      <c r="C486" s="8"/>
      <c r="D486" s="7"/>
      <c r="E486" s="7"/>
      <c r="F486" s="7"/>
      <c r="G486" s="7"/>
      <c r="H486" s="84"/>
    </row>
    <row r="487" spans="1:8">
      <c r="A487" s="92" t="s">
        <v>68</v>
      </c>
      <c r="B487" s="109"/>
      <c r="C487" s="52"/>
      <c r="D487" s="7"/>
      <c r="E487" s="7"/>
      <c r="F487" s="7"/>
      <c r="G487" s="7"/>
      <c r="H487" s="84"/>
    </row>
    <row r="488" spans="1:8">
      <c r="A488" s="92" t="s">
        <v>69</v>
      </c>
      <c r="B488" s="109"/>
      <c r="C488" s="52"/>
      <c r="D488" s="7"/>
      <c r="E488" s="7"/>
      <c r="F488" s="7"/>
      <c r="G488" s="7"/>
      <c r="H488" s="84"/>
    </row>
    <row r="489" spans="1:8">
      <c r="A489" s="92" t="s">
        <v>315</v>
      </c>
      <c r="B489" s="109"/>
      <c r="C489" s="52"/>
      <c r="D489" s="7"/>
      <c r="E489" s="7"/>
      <c r="F489" s="7"/>
      <c r="G489" s="7"/>
      <c r="H489" s="261" t="s">
        <v>335</v>
      </c>
    </row>
    <row r="490" spans="1:8">
      <c r="A490" s="10" t="s">
        <v>51</v>
      </c>
      <c r="B490" s="104"/>
      <c r="C490" s="49">
        <f>SUM(C437:C489)</f>
        <v>207</v>
      </c>
      <c r="D490" s="12">
        <f>4581</f>
        <v>4581</v>
      </c>
      <c r="E490" s="12">
        <f>166530+25939</f>
        <v>192469</v>
      </c>
      <c r="F490" s="12">
        <v>580</v>
      </c>
      <c r="G490" s="12"/>
      <c r="H490" s="71">
        <f>F490-F489</f>
        <v>580</v>
      </c>
    </row>
    <row r="491" spans="1:8">
      <c r="A491" s="397" t="s">
        <v>378</v>
      </c>
      <c r="B491" s="116"/>
      <c r="C491" s="132"/>
      <c r="D491" s="13"/>
      <c r="E491" s="77" t="s">
        <v>70</v>
      </c>
      <c r="F491" s="75"/>
      <c r="G491" s="73">
        <f>F491/F490</f>
        <v>0</v>
      </c>
      <c r="H491" s="71"/>
    </row>
    <row r="492" spans="1:8">
      <c r="A492" s="102"/>
      <c r="B492" s="116"/>
      <c r="C492" s="132"/>
      <c r="D492" s="13"/>
      <c r="E492" s="77" t="s">
        <v>72</v>
      </c>
      <c r="F492" s="75"/>
      <c r="G492" s="73">
        <f>F492/F490</f>
        <v>0</v>
      </c>
      <c r="H492" s="71"/>
    </row>
    <row r="493" spans="1:8">
      <c r="A493" s="16"/>
      <c r="B493" s="116"/>
      <c r="C493" s="132"/>
      <c r="D493" s="13"/>
      <c r="E493" s="77" t="s">
        <v>71</v>
      </c>
      <c r="F493" s="75"/>
      <c r="G493" s="73">
        <f>F493/F490</f>
        <v>0</v>
      </c>
      <c r="H493" s="71"/>
    </row>
    <row r="494" spans="1:8">
      <c r="A494" s="16"/>
      <c r="B494" s="116"/>
      <c r="C494" s="132"/>
      <c r="D494" s="13"/>
      <c r="E494" s="77"/>
      <c r="F494" s="75"/>
      <c r="G494" s="73"/>
      <c r="H494" s="71"/>
    </row>
    <row r="495" spans="1:8">
      <c r="D495" s="22"/>
      <c r="E495" s="22"/>
      <c r="F495" s="22"/>
      <c r="G495" s="22"/>
      <c r="H495" s="84"/>
    </row>
    <row r="496" spans="1:8">
      <c r="A496" s="453" t="s">
        <v>353</v>
      </c>
      <c r="B496" s="453"/>
      <c r="C496" s="453"/>
      <c r="D496" s="453"/>
      <c r="E496" s="453"/>
      <c r="F496" s="453"/>
      <c r="G496" s="453"/>
      <c r="H496" s="84"/>
    </row>
    <row r="497" spans="1:8">
      <c r="A497" s="5" t="s">
        <v>52</v>
      </c>
      <c r="B497" s="105" t="s">
        <v>45</v>
      </c>
      <c r="C497" s="6" t="s">
        <v>53</v>
      </c>
      <c r="D497" s="6" t="s">
        <v>54</v>
      </c>
      <c r="E497" s="414" t="s">
        <v>344</v>
      </c>
      <c r="F497" s="414" t="s">
        <v>387</v>
      </c>
      <c r="G497" s="414" t="s">
        <v>388</v>
      </c>
      <c r="H497" s="100" t="s">
        <v>337</v>
      </c>
    </row>
    <row r="498" spans="1:8">
      <c r="A498" s="80" t="s">
        <v>91</v>
      </c>
      <c r="B498" s="117"/>
      <c r="C498" s="6"/>
      <c r="D498" s="6"/>
      <c r="E498" s="7"/>
      <c r="F498" s="7"/>
      <c r="G498" s="7"/>
      <c r="H498" s="100"/>
    </row>
    <row r="499" spans="1:8">
      <c r="A499" s="80" t="s">
        <v>92</v>
      </c>
      <c r="B499" s="117"/>
      <c r="C499" s="6"/>
      <c r="D499" s="6"/>
      <c r="E499" s="7"/>
      <c r="F499" s="7"/>
      <c r="G499" s="7"/>
      <c r="H499" s="100"/>
    </row>
    <row r="500" spans="1:8">
      <c r="A500" s="274" t="s">
        <v>93</v>
      </c>
      <c r="B500" s="268"/>
      <c r="C500" s="88">
        <v>24</v>
      </c>
      <c r="D500" s="88">
        <v>64</v>
      </c>
      <c r="E500" s="417">
        <f>D500/D$517*E$517</f>
        <v>153.18181818181819</v>
      </c>
      <c r="F500" s="417">
        <f t="shared" ref="F500:G500" si="60">E500/E$517*F$517</f>
        <v>8328.363636363636</v>
      </c>
      <c r="G500" s="417">
        <f t="shared" si="60"/>
        <v>47.272727272727273</v>
      </c>
      <c r="H500" s="283"/>
    </row>
    <row r="501" spans="1:8">
      <c r="A501" s="80" t="s">
        <v>215</v>
      </c>
      <c r="B501" s="117">
        <v>7.7590000000000003</v>
      </c>
      <c r="C501" s="6">
        <v>24</v>
      </c>
      <c r="D501" s="6">
        <v>64</v>
      </c>
      <c r="E501" s="417">
        <f t="shared" ref="E501:G501" si="61">D501/D$517*E$517</f>
        <v>153.18181818181819</v>
      </c>
      <c r="F501" s="417">
        <f t="shared" si="61"/>
        <v>8328.363636363636</v>
      </c>
      <c r="G501" s="417">
        <f t="shared" si="61"/>
        <v>47.272727272727273</v>
      </c>
      <c r="H501" s="281"/>
    </row>
    <row r="502" spans="1:8">
      <c r="A502" s="80" t="s">
        <v>94</v>
      </c>
      <c r="B502" s="117"/>
      <c r="C502" s="6"/>
      <c r="D502" s="6"/>
      <c r="E502" s="418"/>
      <c r="F502" s="418"/>
      <c r="G502" s="418"/>
      <c r="H502" s="281"/>
    </row>
    <row r="503" spans="1:8">
      <c r="A503" s="80" t="s">
        <v>95</v>
      </c>
      <c r="B503" s="117">
        <v>80.239999999999995</v>
      </c>
      <c r="C503" s="6">
        <v>232</v>
      </c>
      <c r="D503" s="6">
        <v>576</v>
      </c>
      <c r="E503" s="417">
        <f t="shared" ref="E503:G503" si="62">D503/D$517*E$517</f>
        <v>1378.6363636363637</v>
      </c>
      <c r="F503" s="417">
        <f t="shared" si="62"/>
        <v>74955.272727272735</v>
      </c>
      <c r="G503" s="417">
        <f t="shared" si="62"/>
        <v>425.4545454545455</v>
      </c>
      <c r="H503" s="281"/>
    </row>
    <row r="504" spans="1:8">
      <c r="A504" s="80" t="s">
        <v>95</v>
      </c>
      <c r="B504" s="117"/>
      <c r="C504" s="6"/>
      <c r="D504" s="6"/>
      <c r="E504" s="418"/>
      <c r="F504" s="418"/>
      <c r="G504" s="418"/>
      <c r="H504" s="281"/>
    </row>
    <row r="505" spans="1:8">
      <c r="A505" s="80" t="s">
        <v>96</v>
      </c>
      <c r="B505" s="117"/>
      <c r="C505" s="6"/>
      <c r="D505" s="6"/>
      <c r="E505" s="418"/>
      <c r="F505" s="418"/>
      <c r="G505" s="418"/>
      <c r="H505" s="281"/>
    </row>
    <row r="506" spans="1:8">
      <c r="A506" s="80" t="s">
        <v>96</v>
      </c>
      <c r="B506" s="117"/>
      <c r="C506" s="6"/>
      <c r="D506" s="6"/>
      <c r="E506" s="418"/>
      <c r="F506" s="418"/>
      <c r="G506" s="418"/>
      <c r="H506" s="281"/>
    </row>
    <row r="507" spans="1:8">
      <c r="A507" s="80" t="s">
        <v>135</v>
      </c>
      <c r="B507" s="117">
        <v>131.714</v>
      </c>
      <c r="C507" s="6">
        <f>257-24</f>
        <v>233</v>
      </c>
      <c r="D507" s="6">
        <f>640-64</f>
        <v>576</v>
      </c>
      <c r="E507" s="417">
        <f t="shared" ref="E507:G507" si="63">D507/D$517*E$517</f>
        <v>1378.6363636363637</v>
      </c>
      <c r="F507" s="417">
        <f t="shared" si="63"/>
        <v>74955.272727272735</v>
      </c>
      <c r="G507" s="417">
        <f t="shared" si="63"/>
        <v>425.4545454545455</v>
      </c>
      <c r="H507" s="281"/>
    </row>
    <row r="508" spans="1:8">
      <c r="A508" s="80" t="s">
        <v>135</v>
      </c>
      <c r="B508" s="117"/>
      <c r="C508" s="6"/>
      <c r="D508" s="6"/>
      <c r="E508" s="418"/>
      <c r="F508" s="418"/>
      <c r="G508" s="418"/>
      <c r="H508" s="281"/>
    </row>
    <row r="509" spans="1:8">
      <c r="A509" s="80" t="s">
        <v>97</v>
      </c>
      <c r="B509" s="117"/>
      <c r="C509" s="6"/>
      <c r="D509" s="6"/>
      <c r="E509" s="418"/>
      <c r="F509" s="418"/>
      <c r="G509" s="418"/>
      <c r="H509" s="281"/>
    </row>
    <row r="510" spans="1:8">
      <c r="A510" s="80" t="s">
        <v>136</v>
      </c>
      <c r="B510" s="117">
        <v>23.356999999999999</v>
      </c>
      <c r="C510" s="6">
        <v>48</v>
      </c>
      <c r="D510" s="6">
        <v>128</v>
      </c>
      <c r="E510" s="417">
        <f t="shared" ref="E510:G510" si="64">D510/D$517*E$517</f>
        <v>306.36363636363637</v>
      </c>
      <c r="F510" s="417">
        <f t="shared" si="64"/>
        <v>16656.727272727272</v>
      </c>
      <c r="G510" s="417">
        <f t="shared" si="64"/>
        <v>94.545454545454547</v>
      </c>
      <c r="H510" s="281"/>
    </row>
    <row r="511" spans="1:8">
      <c r="A511" s="80" t="s">
        <v>170</v>
      </c>
      <c r="B511" s="117"/>
      <c r="C511" s="6"/>
      <c r="D511" s="6"/>
      <c r="E511" s="7"/>
      <c r="F511" s="7"/>
      <c r="G511" s="7"/>
      <c r="H511" s="255"/>
    </row>
    <row r="512" spans="1:8">
      <c r="A512" s="80" t="s">
        <v>216</v>
      </c>
      <c r="B512" s="117"/>
      <c r="C512" s="6"/>
      <c r="D512" s="6"/>
      <c r="E512" s="7"/>
      <c r="F512" s="7"/>
      <c r="G512" s="7"/>
      <c r="H512" s="255"/>
    </row>
    <row r="513" spans="1:8">
      <c r="A513" s="80" t="s">
        <v>98</v>
      </c>
      <c r="B513" s="117"/>
      <c r="C513" s="6"/>
      <c r="D513" s="6"/>
      <c r="E513" s="7"/>
      <c r="F513" s="7"/>
      <c r="G513" s="7"/>
      <c r="H513" s="100"/>
    </row>
    <row r="514" spans="1:8">
      <c r="A514" s="80" t="s">
        <v>99</v>
      </c>
      <c r="B514" s="117"/>
      <c r="C514" s="6"/>
      <c r="D514" s="6"/>
      <c r="E514" s="7"/>
      <c r="F514" s="7"/>
      <c r="G514" s="7"/>
      <c r="H514" s="100"/>
    </row>
    <row r="515" spans="1:8">
      <c r="A515" s="80" t="s">
        <v>179</v>
      </c>
      <c r="B515" s="117"/>
      <c r="C515" s="6"/>
      <c r="D515" s="6"/>
      <c r="E515" s="7"/>
      <c r="F515" s="7"/>
      <c r="G515" s="7"/>
      <c r="H515" s="100"/>
    </row>
    <row r="516" spans="1:8">
      <c r="A516" s="229" t="s">
        <v>315</v>
      </c>
      <c r="B516" s="117"/>
      <c r="C516" s="6"/>
      <c r="D516" s="6"/>
      <c r="E516" s="7"/>
      <c r="F516" s="5"/>
      <c r="G516" s="385"/>
      <c r="H516" s="386"/>
    </row>
    <row r="517" spans="1:8">
      <c r="A517" s="44" t="s">
        <v>44</v>
      </c>
      <c r="B517" s="113"/>
      <c r="C517" s="15">
        <f>SUM(C498:C516)</f>
        <v>561</v>
      </c>
      <c r="D517" s="15">
        <f>SUM(D498:D516)</f>
        <v>1408</v>
      </c>
      <c r="E517" s="12">
        <v>3370</v>
      </c>
      <c r="F517" s="12">
        <f>159484+23740</f>
        <v>183224</v>
      </c>
      <c r="G517" s="275">
        <v>1040</v>
      </c>
      <c r="H517" s="282"/>
    </row>
    <row r="518" spans="1:8">
      <c r="A518" s="397" t="s">
        <v>378</v>
      </c>
      <c r="B518" s="129"/>
      <c r="C518" s="81"/>
      <c r="D518" s="81"/>
      <c r="E518" s="81"/>
      <c r="F518" s="77" t="s">
        <v>70</v>
      </c>
      <c r="G518" s="82"/>
      <c r="H518" s="276">
        <f>G518/G517</f>
        <v>0</v>
      </c>
    </row>
    <row r="519" spans="1:8">
      <c r="A519" s="102"/>
      <c r="B519" s="124"/>
      <c r="C519" s="57"/>
      <c r="D519" s="42"/>
      <c r="E519" s="42"/>
      <c r="F519" s="77" t="s">
        <v>72</v>
      </c>
      <c r="G519" s="18"/>
      <c r="H519" s="276">
        <f>G519/G517</f>
        <v>0</v>
      </c>
    </row>
    <row r="520" spans="1:8">
      <c r="A520" s="273" t="s">
        <v>341</v>
      </c>
      <c r="B520" s="118"/>
      <c r="C520" s="17"/>
      <c r="D520" s="18"/>
      <c r="E520" s="42"/>
      <c r="F520" s="77" t="s">
        <v>71</v>
      </c>
      <c r="G520" s="18"/>
      <c r="H520" s="276">
        <f>G520/G517</f>
        <v>0</v>
      </c>
    </row>
    <row r="521" spans="1:8">
      <c r="D521" s="22"/>
      <c r="E521" s="22"/>
      <c r="F521" s="22"/>
      <c r="G521" s="22"/>
      <c r="H521" s="84"/>
    </row>
    <row r="522" spans="1:8">
      <c r="D522" s="22"/>
      <c r="E522" s="22"/>
      <c r="F522" s="22"/>
      <c r="G522" s="22"/>
      <c r="H522" s="84"/>
    </row>
    <row r="523" spans="1:8">
      <c r="A523" s="453" t="s">
        <v>354</v>
      </c>
      <c r="B523" s="453"/>
      <c r="C523" s="453"/>
      <c r="D523" s="453"/>
      <c r="E523" s="453"/>
      <c r="F523" s="453"/>
      <c r="G523" s="453"/>
      <c r="H523" s="84"/>
    </row>
    <row r="524" spans="1:8">
      <c r="A524" s="5" t="s">
        <v>4</v>
      </c>
      <c r="B524" s="105" t="s">
        <v>45</v>
      </c>
      <c r="C524" s="6" t="s">
        <v>11</v>
      </c>
      <c r="D524" s="414" t="s">
        <v>344</v>
      </c>
      <c r="E524" s="414" t="s">
        <v>387</v>
      </c>
      <c r="F524" s="414" t="s">
        <v>388</v>
      </c>
      <c r="G524" s="6" t="s">
        <v>9</v>
      </c>
      <c r="H524" s="84"/>
    </row>
    <row r="525" spans="1:8">
      <c r="A525" s="83" t="s">
        <v>100</v>
      </c>
      <c r="B525" s="119"/>
      <c r="C525" s="6"/>
      <c r="D525" s="6"/>
      <c r="E525" s="6"/>
      <c r="F525" s="6"/>
      <c r="G525" s="6"/>
      <c r="H525" s="84"/>
    </row>
    <row r="526" spans="1:8">
      <c r="A526" s="83" t="s">
        <v>100</v>
      </c>
      <c r="B526" s="119"/>
      <c r="C526" s="6"/>
      <c r="D526" s="6"/>
      <c r="E526" s="6"/>
      <c r="F526" s="6"/>
      <c r="G526" s="6"/>
      <c r="H526" s="84"/>
    </row>
    <row r="527" spans="1:8">
      <c r="A527" s="94" t="s">
        <v>168</v>
      </c>
      <c r="B527" s="119"/>
      <c r="C527" s="6"/>
      <c r="D527" s="7"/>
      <c r="E527" s="7"/>
      <c r="F527" s="7"/>
      <c r="G527" s="7"/>
      <c r="H527" s="84"/>
    </row>
    <row r="528" spans="1:8">
      <c r="A528" s="83" t="s">
        <v>101</v>
      </c>
      <c r="B528" s="119"/>
      <c r="C528" s="6"/>
      <c r="D528" s="7"/>
      <c r="E528" s="7"/>
      <c r="F528" s="7"/>
      <c r="G528" s="7"/>
      <c r="H528" s="84"/>
    </row>
    <row r="529" spans="1:8">
      <c r="A529" s="83" t="s">
        <v>101</v>
      </c>
      <c r="B529" s="119"/>
      <c r="C529" s="6"/>
      <c r="D529" s="7"/>
      <c r="E529" s="7"/>
      <c r="F529" s="7"/>
      <c r="G529" s="7"/>
      <c r="H529" s="84"/>
    </row>
    <row r="530" spans="1:8">
      <c r="A530" s="83" t="s">
        <v>110</v>
      </c>
      <c r="B530" s="119"/>
      <c r="C530" s="6"/>
      <c r="D530" s="418"/>
      <c r="E530" s="418"/>
      <c r="F530" s="418"/>
      <c r="G530" s="7"/>
      <c r="H530" s="84"/>
    </row>
    <row r="531" spans="1:8">
      <c r="A531" s="83" t="s">
        <v>102</v>
      </c>
      <c r="B531" s="119"/>
      <c r="C531" s="6">
        <f>3*12</f>
        <v>36</v>
      </c>
      <c r="D531" s="418">
        <f>C531/C$547*D$547</f>
        <v>42.75</v>
      </c>
      <c r="E531" s="418">
        <f t="shared" ref="E531:F531" si="65">D531/D$547*E$547</f>
        <v>849</v>
      </c>
      <c r="F531" s="418">
        <f t="shared" si="65"/>
        <v>37.5</v>
      </c>
      <c r="G531" s="7"/>
      <c r="H531" s="84"/>
    </row>
    <row r="532" spans="1:8">
      <c r="A532" s="83" t="s">
        <v>102</v>
      </c>
      <c r="B532" s="119"/>
      <c r="C532" s="6"/>
      <c r="D532" s="418"/>
      <c r="E532" s="418"/>
      <c r="F532" s="418"/>
      <c r="G532" s="7"/>
      <c r="H532" s="84"/>
    </row>
    <row r="533" spans="1:8">
      <c r="A533" s="85" t="s">
        <v>103</v>
      </c>
      <c r="B533" s="119"/>
      <c r="C533" s="6">
        <f>1*12</f>
        <v>12</v>
      </c>
      <c r="D533" s="418">
        <f t="shared" ref="D533:F533" si="66">C533/C$547*D$547</f>
        <v>14.25</v>
      </c>
      <c r="E533" s="418">
        <f t="shared" si="66"/>
        <v>283</v>
      </c>
      <c r="F533" s="418">
        <f t="shared" si="66"/>
        <v>12.5</v>
      </c>
      <c r="G533" s="7"/>
      <c r="H533" s="84"/>
    </row>
    <row r="534" spans="1:8">
      <c r="A534" s="85" t="s">
        <v>103</v>
      </c>
      <c r="B534" s="119"/>
      <c r="C534" s="6"/>
      <c r="D534" s="418"/>
      <c r="E534" s="418"/>
      <c r="F534" s="418"/>
      <c r="G534" s="7"/>
      <c r="H534" s="84"/>
    </row>
    <row r="535" spans="1:8">
      <c r="A535" s="89" t="s">
        <v>104</v>
      </c>
      <c r="B535" s="119"/>
      <c r="C535" s="6"/>
      <c r="D535" s="7"/>
      <c r="E535" s="7"/>
      <c r="F535" s="7"/>
      <c r="G535" s="7"/>
      <c r="H535" s="84"/>
    </row>
    <row r="536" spans="1:8">
      <c r="A536" s="89" t="s">
        <v>112</v>
      </c>
      <c r="B536" s="119"/>
      <c r="C536" s="6"/>
      <c r="D536" s="7"/>
      <c r="E536" s="7"/>
      <c r="F536" s="7"/>
      <c r="G536" s="7"/>
      <c r="H536" s="84"/>
    </row>
    <row r="537" spans="1:8">
      <c r="A537" s="83" t="s">
        <v>109</v>
      </c>
      <c r="B537" s="119"/>
      <c r="C537" s="8"/>
      <c r="D537" s="7"/>
      <c r="E537" s="7"/>
      <c r="F537" s="7"/>
      <c r="G537" s="7"/>
      <c r="H537" s="84"/>
    </row>
    <row r="538" spans="1:8">
      <c r="A538" s="83" t="s">
        <v>105</v>
      </c>
      <c r="B538" s="119"/>
      <c r="C538" s="8"/>
      <c r="D538" s="7"/>
      <c r="E538" s="7"/>
      <c r="F538" s="7"/>
      <c r="G538" s="7"/>
      <c r="H538" s="84"/>
    </row>
    <row r="539" spans="1:8">
      <c r="A539" s="83" t="s">
        <v>106</v>
      </c>
      <c r="B539" s="119"/>
      <c r="C539" s="6"/>
      <c r="D539" s="7"/>
      <c r="E539" s="7"/>
      <c r="F539" s="7"/>
      <c r="G539" s="7"/>
      <c r="H539" s="84"/>
    </row>
    <row r="540" spans="1:8">
      <c r="A540" s="83" t="s">
        <v>169</v>
      </c>
      <c r="B540" s="119"/>
      <c r="C540" s="6"/>
      <c r="D540" s="7"/>
      <c r="E540" s="7"/>
      <c r="F540" s="7"/>
      <c r="G540" s="7"/>
      <c r="H540" s="84"/>
    </row>
    <row r="541" spans="1:8">
      <c r="A541" s="83" t="s">
        <v>107</v>
      </c>
      <c r="B541" s="119"/>
      <c r="C541" s="6"/>
      <c r="D541" s="7"/>
      <c r="E541" s="7"/>
      <c r="F541" s="7"/>
      <c r="G541" s="7"/>
      <c r="H541" s="84"/>
    </row>
    <row r="542" spans="1:8">
      <c r="A542" s="83" t="s">
        <v>108</v>
      </c>
      <c r="B542" s="119"/>
      <c r="C542" s="6"/>
      <c r="D542" s="7"/>
      <c r="E542" s="7"/>
      <c r="F542" s="7"/>
      <c r="G542" s="7"/>
      <c r="H542" s="84"/>
    </row>
    <row r="543" spans="1:8">
      <c r="A543" s="83" t="s">
        <v>137</v>
      </c>
      <c r="B543" s="119"/>
      <c r="C543" s="6"/>
      <c r="D543" s="6"/>
      <c r="E543" s="6"/>
      <c r="F543" s="6"/>
      <c r="G543" s="6"/>
      <c r="H543" s="84"/>
    </row>
    <row r="544" spans="1:8">
      <c r="A544" s="94" t="s">
        <v>206</v>
      </c>
      <c r="B544" s="119"/>
      <c r="C544" s="6"/>
      <c r="D544" s="6"/>
      <c r="E544" s="6"/>
      <c r="F544" s="6"/>
      <c r="G544" s="6"/>
      <c r="H544" s="254"/>
    </row>
    <row r="545" spans="1:8">
      <c r="A545" s="94" t="s">
        <v>376</v>
      </c>
      <c r="B545" s="119"/>
      <c r="C545" s="6">
        <f>19*12</f>
        <v>228</v>
      </c>
      <c r="D545" s="7"/>
      <c r="E545" s="7"/>
      <c r="F545" s="7"/>
      <c r="G545" s="7"/>
      <c r="H545" s="254"/>
    </row>
    <row r="546" spans="1:8">
      <c r="A546" s="94" t="s">
        <v>315</v>
      </c>
      <c r="B546" s="119"/>
      <c r="C546" s="6">
        <f>5*12</f>
        <v>60</v>
      </c>
      <c r="D546" s="7"/>
      <c r="E546" s="7"/>
      <c r="F546" s="7"/>
      <c r="G546" s="7"/>
      <c r="H546" s="261"/>
    </row>
    <row r="547" spans="1:8">
      <c r="A547" s="87" t="s">
        <v>111</v>
      </c>
      <c r="B547" s="119"/>
      <c r="C547" s="6">
        <v>48</v>
      </c>
      <c r="D547" s="44">
        <v>57</v>
      </c>
      <c r="E547" s="44">
        <v>1132</v>
      </c>
      <c r="F547" s="12">
        <v>50</v>
      </c>
      <c r="G547" s="12"/>
      <c r="H547" s="284"/>
    </row>
    <row r="548" spans="1:8">
      <c r="A548" s="131" t="s">
        <v>381</v>
      </c>
      <c r="B548" s="126"/>
      <c r="C548" s="4"/>
      <c r="D548" s="3"/>
      <c r="E548" s="77" t="s">
        <v>70</v>
      </c>
      <c r="F548" s="72"/>
      <c r="G548" s="70">
        <f>F548/F547</f>
        <v>0</v>
      </c>
      <c r="H548" s="71"/>
    </row>
    <row r="549" spans="1:8">
      <c r="A549" s="102" t="s">
        <v>385</v>
      </c>
      <c r="B549" s="126"/>
      <c r="C549" s="4"/>
      <c r="D549" s="3"/>
      <c r="E549" s="77" t="s">
        <v>72</v>
      </c>
      <c r="F549" s="72"/>
      <c r="G549" s="70">
        <f>F549/F547</f>
        <v>0</v>
      </c>
      <c r="H549" s="71"/>
    </row>
    <row r="550" spans="1:8">
      <c r="A550" s="3"/>
      <c r="B550" s="126"/>
      <c r="C550" s="4"/>
      <c r="D550" s="3"/>
      <c r="E550" s="77" t="s">
        <v>71</v>
      </c>
      <c r="F550" s="72"/>
      <c r="G550" s="70">
        <f>F550/F547</f>
        <v>0</v>
      </c>
      <c r="H550" s="71"/>
    </row>
    <row r="551" spans="1:8">
      <c r="A551" s="3"/>
      <c r="B551" s="126"/>
      <c r="C551" s="4"/>
      <c r="D551" s="3"/>
      <c r="E551" s="77"/>
      <c r="F551" s="72"/>
      <c r="G551" s="70"/>
      <c r="H551" s="71"/>
    </row>
    <row r="552" spans="1:8">
      <c r="D552" s="22"/>
      <c r="E552" s="22"/>
      <c r="F552" s="22"/>
      <c r="G552" s="22"/>
      <c r="H552" s="84"/>
    </row>
    <row r="553" spans="1:8">
      <c r="A553" s="453" t="s">
        <v>355</v>
      </c>
      <c r="B553" s="453"/>
      <c r="C553" s="453"/>
      <c r="D553" s="453"/>
      <c r="E553" s="453"/>
      <c r="F553" s="453"/>
      <c r="G553" s="453"/>
      <c r="H553" s="84"/>
    </row>
    <row r="554" spans="1:8">
      <c r="A554" s="5" t="s">
        <v>4</v>
      </c>
      <c r="B554" s="105" t="s">
        <v>45</v>
      </c>
      <c r="C554" s="6" t="s">
        <v>5</v>
      </c>
      <c r="D554" s="414" t="s">
        <v>344</v>
      </c>
      <c r="E554" s="414" t="s">
        <v>387</v>
      </c>
      <c r="F554" s="414" t="s">
        <v>388</v>
      </c>
      <c r="G554" s="6" t="s">
        <v>9</v>
      </c>
      <c r="H554" s="84"/>
    </row>
    <row r="555" spans="1:8">
      <c r="A555" s="6" t="s">
        <v>180</v>
      </c>
      <c r="B555" s="105"/>
      <c r="C555" s="6"/>
      <c r="D555" s="7"/>
      <c r="E555" s="7"/>
      <c r="F555" s="7"/>
      <c r="G555" s="7"/>
      <c r="H555" s="84"/>
    </row>
    <row r="556" spans="1:8">
      <c r="A556" s="10" t="s">
        <v>10</v>
      </c>
      <c r="B556" s="105"/>
      <c r="C556" s="6"/>
      <c r="D556" s="12"/>
      <c r="E556" s="12"/>
      <c r="F556" s="12"/>
      <c r="G556" s="12"/>
      <c r="H556" s="84"/>
    </row>
    <row r="557" spans="1:8">
      <c r="A557" s="239" t="s">
        <v>382</v>
      </c>
      <c r="B557" s="120"/>
      <c r="C557" s="4"/>
      <c r="D557" s="3"/>
      <c r="E557" s="77" t="s">
        <v>70</v>
      </c>
      <c r="F557" s="3"/>
      <c r="G557" s="70" t="e">
        <f>F557/F556</f>
        <v>#DIV/0!</v>
      </c>
      <c r="H557" s="84"/>
    </row>
    <row r="558" spans="1:8">
      <c r="A558" s="19"/>
      <c r="B558" s="120"/>
      <c r="C558" s="4"/>
      <c r="D558" s="3"/>
      <c r="E558" s="77" t="s">
        <v>72</v>
      </c>
      <c r="F558" s="3"/>
      <c r="G558" s="70" t="e">
        <f>F558/F556</f>
        <v>#DIV/0!</v>
      </c>
      <c r="H558" s="84"/>
    </row>
    <row r="559" spans="1:8">
      <c r="A559" s="19"/>
      <c r="B559" s="120"/>
      <c r="C559" s="4"/>
      <c r="D559" s="3"/>
      <c r="E559" s="77" t="s">
        <v>71</v>
      </c>
      <c r="F559" s="3"/>
      <c r="G559" s="3" t="e">
        <f>F559/F556</f>
        <v>#DIV/0!</v>
      </c>
      <c r="H559" s="84"/>
    </row>
    <row r="560" spans="1:8">
      <c r="D560" s="22"/>
      <c r="E560" s="22"/>
      <c r="F560" s="22"/>
      <c r="G560" s="22"/>
      <c r="H560" s="84"/>
    </row>
    <row r="561" spans="1:8">
      <c r="D561" s="22"/>
      <c r="E561" s="22"/>
      <c r="F561" s="22"/>
      <c r="G561" s="22"/>
      <c r="H561" s="84"/>
    </row>
    <row r="562" spans="1:8">
      <c r="A562" s="452" t="s">
        <v>377</v>
      </c>
      <c r="B562" s="453"/>
      <c r="C562" s="453"/>
      <c r="D562" s="453"/>
      <c r="E562" s="453"/>
      <c r="F562" s="453"/>
      <c r="G562" s="453"/>
      <c r="H562" s="84"/>
    </row>
    <row r="563" spans="1:8">
      <c r="A563" s="5" t="s">
        <v>4</v>
      </c>
      <c r="B563" s="133" t="s">
        <v>45</v>
      </c>
      <c r="C563" s="6" t="s">
        <v>5</v>
      </c>
      <c r="D563" s="414" t="s">
        <v>344</v>
      </c>
      <c r="E563" s="414" t="s">
        <v>387</v>
      </c>
      <c r="F563" s="414" t="s">
        <v>388</v>
      </c>
      <c r="G563" s="6" t="s">
        <v>9</v>
      </c>
      <c r="H563" s="84"/>
    </row>
    <row r="564" spans="1:8">
      <c r="A564" s="6" t="s">
        <v>188</v>
      </c>
      <c r="B564" s="134"/>
      <c r="C564" s="6"/>
      <c r="D564" s="6"/>
      <c r="E564" s="6"/>
      <c r="F564" s="6"/>
      <c r="G564" s="6"/>
      <c r="H564" s="84"/>
    </row>
    <row r="565" spans="1:8">
      <c r="A565" s="6" t="s">
        <v>189</v>
      </c>
      <c r="B565" s="134"/>
      <c r="C565" s="6"/>
      <c r="D565" s="6"/>
      <c r="E565" s="6"/>
      <c r="F565" s="6"/>
      <c r="G565" s="6"/>
      <c r="H565" s="84"/>
    </row>
    <row r="566" spans="1:8">
      <c r="A566" s="6" t="s">
        <v>189</v>
      </c>
      <c r="B566" s="134"/>
      <c r="C566" s="6"/>
      <c r="D566" s="6"/>
      <c r="E566" s="6"/>
      <c r="F566" s="6"/>
      <c r="G566" s="6"/>
      <c r="H566" s="84"/>
    </row>
    <row r="567" spans="1:8">
      <c r="A567" s="6" t="s">
        <v>78</v>
      </c>
      <c r="B567" s="134"/>
      <c r="C567" s="6"/>
      <c r="D567" s="6"/>
      <c r="E567" s="6"/>
      <c r="F567" s="6"/>
      <c r="G567" s="6"/>
      <c r="H567" s="84"/>
    </row>
    <row r="568" spans="1:8">
      <c r="A568" s="6" t="s">
        <v>122</v>
      </c>
      <c r="B568" s="134"/>
      <c r="C568" s="6"/>
      <c r="D568" s="6"/>
      <c r="E568" s="6"/>
      <c r="F568" s="6"/>
      <c r="G568" s="6"/>
      <c r="H568" s="84"/>
    </row>
    <row r="569" spans="1:8">
      <c r="A569" s="6" t="s">
        <v>75</v>
      </c>
      <c r="B569" s="134"/>
      <c r="C569" s="6"/>
      <c r="D569" s="6"/>
      <c r="E569" s="6"/>
      <c r="F569" s="6"/>
      <c r="G569" s="6"/>
      <c r="H569" s="84"/>
    </row>
    <row r="570" spans="1:8">
      <c r="A570" s="6" t="s">
        <v>79</v>
      </c>
      <c r="B570" s="134"/>
      <c r="C570" s="6"/>
      <c r="D570" s="6"/>
      <c r="E570" s="6"/>
      <c r="F570" s="6"/>
      <c r="G570" s="6"/>
      <c r="H570" s="84"/>
    </row>
    <row r="571" spans="1:8">
      <c r="A571" s="6" t="s">
        <v>80</v>
      </c>
      <c r="B571" s="134"/>
      <c r="C571" s="6"/>
      <c r="D571" s="6"/>
      <c r="E571" s="6"/>
      <c r="F571" s="6"/>
      <c r="G571" s="6"/>
      <c r="H571" s="84"/>
    </row>
    <row r="572" spans="1:8">
      <c r="A572" s="6" t="s">
        <v>81</v>
      </c>
      <c r="B572" s="134"/>
      <c r="C572" s="6"/>
      <c r="D572" s="6"/>
      <c r="E572" s="6"/>
      <c r="F572" s="6"/>
      <c r="G572" s="6"/>
      <c r="H572" s="84"/>
    </row>
    <row r="573" spans="1:8">
      <c r="A573" s="6" t="s">
        <v>82</v>
      </c>
      <c r="B573" s="134"/>
      <c r="C573" s="6"/>
      <c r="D573" s="6"/>
      <c r="E573" s="6"/>
      <c r="F573" s="6"/>
      <c r="G573" s="6"/>
      <c r="H573" s="84"/>
    </row>
    <row r="574" spans="1:8">
      <c r="A574" s="6" t="s">
        <v>83</v>
      </c>
      <c r="B574" s="134"/>
      <c r="C574" s="6"/>
      <c r="D574" s="6"/>
      <c r="E574" s="6"/>
      <c r="F574" s="6"/>
      <c r="G574" s="6"/>
      <c r="H574" s="84"/>
    </row>
    <row r="575" spans="1:8">
      <c r="A575" s="6" t="s">
        <v>122</v>
      </c>
      <c r="B575" s="134"/>
      <c r="C575" s="6"/>
      <c r="D575" s="6"/>
      <c r="E575" s="6"/>
      <c r="F575" s="6"/>
      <c r="G575" s="6"/>
      <c r="H575" s="84"/>
    </row>
    <row r="576" spans="1:8">
      <c r="A576" s="6" t="s">
        <v>190</v>
      </c>
      <c r="B576" s="134"/>
      <c r="C576" s="6"/>
      <c r="D576" s="6"/>
      <c r="E576" s="6"/>
      <c r="F576" s="6"/>
      <c r="G576" s="6"/>
      <c r="H576" s="84"/>
    </row>
    <row r="577" spans="1:9">
      <c r="A577" s="6" t="s">
        <v>84</v>
      </c>
      <c r="B577" s="134"/>
      <c r="C577" s="6"/>
      <c r="D577" s="6"/>
      <c r="E577" s="6"/>
      <c r="F577" s="6"/>
      <c r="G577" s="6"/>
      <c r="H577" s="84"/>
    </row>
    <row r="578" spans="1:9">
      <c r="A578" s="6" t="s">
        <v>85</v>
      </c>
      <c r="B578" s="134"/>
      <c r="C578" s="6"/>
      <c r="D578" s="6"/>
      <c r="E578" s="6"/>
      <c r="F578" s="6"/>
      <c r="G578" s="6"/>
      <c r="H578" s="84"/>
    </row>
    <row r="579" spans="1:9">
      <c r="A579" s="6" t="s">
        <v>89</v>
      </c>
      <c r="B579" s="134"/>
      <c r="C579" s="10"/>
      <c r="D579" s="6"/>
      <c r="E579" s="6"/>
      <c r="F579" s="6"/>
      <c r="G579" s="6"/>
      <c r="H579" s="84"/>
    </row>
    <row r="580" spans="1:9">
      <c r="A580" s="6" t="s">
        <v>86</v>
      </c>
      <c r="B580" s="134"/>
      <c r="C580" s="10"/>
      <c r="D580" s="6"/>
      <c r="E580" s="6"/>
      <c r="F580" s="6"/>
      <c r="G580" s="6"/>
      <c r="H580" s="84"/>
    </row>
    <row r="581" spans="1:9">
      <c r="A581" s="6" t="s">
        <v>87</v>
      </c>
      <c r="B581" s="134"/>
      <c r="C581" s="10"/>
      <c r="D581" s="6"/>
      <c r="E581" s="6"/>
      <c r="F581" s="6"/>
      <c r="G581" s="6"/>
      <c r="H581" s="84"/>
    </row>
    <row r="582" spans="1:9">
      <c r="A582" s="6" t="s">
        <v>88</v>
      </c>
      <c r="B582" s="134"/>
      <c r="C582" s="10"/>
      <c r="D582" s="6"/>
      <c r="E582" s="6"/>
      <c r="F582" s="6"/>
      <c r="G582" s="6"/>
      <c r="H582" s="84"/>
    </row>
    <row r="583" spans="1:9">
      <c r="A583" s="6" t="s">
        <v>90</v>
      </c>
      <c r="B583" s="134"/>
      <c r="C583" s="10"/>
      <c r="D583" s="6"/>
      <c r="E583" s="6"/>
      <c r="F583" s="6"/>
      <c r="G583" s="6"/>
      <c r="H583" s="254"/>
    </row>
    <row r="584" spans="1:9">
      <c r="A584" s="6" t="s">
        <v>204</v>
      </c>
      <c r="B584" s="134"/>
      <c r="C584" s="6"/>
      <c r="D584" s="7"/>
      <c r="E584" s="7"/>
      <c r="F584" s="7"/>
      <c r="G584" s="7"/>
      <c r="H584" s="261" t="s">
        <v>335</v>
      </c>
    </row>
    <row r="585" spans="1:9">
      <c r="A585" s="6" t="s">
        <v>57</v>
      </c>
      <c r="B585" s="134"/>
      <c r="C585" s="6"/>
      <c r="D585" s="6"/>
      <c r="E585" s="6"/>
      <c r="F585" s="6"/>
      <c r="G585" s="6"/>
      <c r="H585" s="284"/>
    </row>
    <row r="586" spans="1:9">
      <c r="A586" s="54" t="s">
        <v>323</v>
      </c>
      <c r="B586" s="134"/>
      <c r="C586" s="6"/>
      <c r="D586" s="7"/>
      <c r="E586" s="7"/>
      <c r="F586" s="7"/>
      <c r="G586" s="7"/>
      <c r="H586" s="71"/>
    </row>
    <row r="587" spans="1:9">
      <c r="A587" s="10" t="s">
        <v>10</v>
      </c>
      <c r="B587" s="135"/>
      <c r="C587" s="10"/>
      <c r="D587" s="12">
        <v>0</v>
      </c>
      <c r="E587" s="12">
        <v>1699</v>
      </c>
      <c r="F587" s="12">
        <v>0</v>
      </c>
      <c r="G587" s="12"/>
      <c r="H587" s="71"/>
    </row>
    <row r="588" spans="1:9">
      <c r="A588" s="101" t="s">
        <v>379</v>
      </c>
      <c r="B588" s="121"/>
      <c r="C588" s="47"/>
      <c r="D588" s="47"/>
      <c r="E588" s="77" t="s">
        <v>70</v>
      </c>
      <c r="F588" s="74"/>
      <c r="G588" s="73" t="e">
        <f>F588/F587</f>
        <v>#DIV/0!</v>
      </c>
      <c r="H588" s="71"/>
    </row>
    <row r="589" spans="1:9">
      <c r="D589" s="22"/>
      <c r="E589" s="77" t="s">
        <v>72</v>
      </c>
      <c r="F589" s="74"/>
      <c r="G589" s="73" t="e">
        <f>F589/F587</f>
        <v>#DIV/0!</v>
      </c>
      <c r="H589" s="84"/>
    </row>
    <row r="590" spans="1:9">
      <c r="D590" s="22"/>
      <c r="E590" s="77" t="s">
        <v>71</v>
      </c>
      <c r="F590" s="74"/>
      <c r="G590" s="73" t="e">
        <f>F590/F587</f>
        <v>#DIV/0!</v>
      </c>
      <c r="H590" s="84"/>
    </row>
    <row r="591" spans="1:9">
      <c r="D591" s="22"/>
      <c r="E591" s="22"/>
      <c r="F591" s="22"/>
      <c r="G591" s="22"/>
      <c r="H591" s="84"/>
    </row>
    <row r="592" spans="1:9" s="437" customFormat="1">
      <c r="B592" s="438"/>
      <c r="H592" s="439"/>
      <c r="I592" s="440"/>
    </row>
    <row r="593" spans="1:8">
      <c r="D593" s="22"/>
      <c r="E593" s="22"/>
      <c r="F593" s="22"/>
      <c r="G593" s="22"/>
      <c r="H593" s="84"/>
    </row>
    <row r="594" spans="1:8">
      <c r="A594" s="20" t="s">
        <v>389</v>
      </c>
      <c r="B594" s="104"/>
      <c r="C594" s="2"/>
      <c r="D594" s="21"/>
      <c r="E594" s="21"/>
      <c r="F594" s="21"/>
      <c r="G594" s="21"/>
      <c r="H594" s="84"/>
    </row>
    <row r="595" spans="1:8">
      <c r="A595" s="23" t="s">
        <v>12</v>
      </c>
      <c r="B595" s="105" t="s">
        <v>45</v>
      </c>
      <c r="C595" s="6" t="s">
        <v>5</v>
      </c>
      <c r="D595" s="21" t="s">
        <v>13</v>
      </c>
      <c r="E595" s="21" t="s">
        <v>14</v>
      </c>
      <c r="F595" s="21" t="s">
        <v>15</v>
      </c>
      <c r="G595" s="21" t="s">
        <v>16</v>
      </c>
      <c r="H595" s="84"/>
    </row>
    <row r="596" spans="1:8">
      <c r="A596" s="23" t="s">
        <v>0</v>
      </c>
      <c r="B596" s="106"/>
      <c r="C596" s="24"/>
      <c r="D596" s="24"/>
      <c r="E596" s="24"/>
      <c r="F596" s="24"/>
      <c r="G596" s="24"/>
      <c r="H596" s="84"/>
    </row>
    <row r="597" spans="1:8">
      <c r="A597" s="59" t="s">
        <v>217</v>
      </c>
      <c r="B597" s="106"/>
      <c r="C597" s="24"/>
      <c r="D597" s="24"/>
      <c r="E597" s="24"/>
      <c r="F597" s="24"/>
      <c r="G597" s="24"/>
      <c r="H597" s="84"/>
    </row>
    <row r="598" spans="1:8">
      <c r="A598" s="23" t="s">
        <v>17</v>
      </c>
      <c r="B598" s="106"/>
      <c r="C598" s="24"/>
      <c r="D598" s="24"/>
      <c r="E598" s="24"/>
      <c r="F598" s="24"/>
      <c r="G598" s="24"/>
      <c r="H598" s="84"/>
    </row>
    <row r="599" spans="1:8">
      <c r="A599" s="59" t="s">
        <v>203</v>
      </c>
      <c r="B599" s="106"/>
      <c r="C599" s="24"/>
      <c r="D599" s="24"/>
      <c r="E599" s="24"/>
      <c r="F599" s="24"/>
      <c r="G599" s="24"/>
      <c r="H599" s="84"/>
    </row>
    <row r="600" spans="1:8">
      <c r="A600" s="58" t="s">
        <v>320</v>
      </c>
      <c r="B600" s="22"/>
      <c r="C600" s="24"/>
      <c r="D600" s="24">
        <v>28607.78</v>
      </c>
      <c r="E600" s="24">
        <v>0</v>
      </c>
      <c r="F600" s="24">
        <v>161852.80000000002</v>
      </c>
      <c r="G600" s="24">
        <v>190460.58000000002</v>
      </c>
      <c r="H600" s="84"/>
    </row>
    <row r="601" spans="1:8">
      <c r="A601" s="23" t="s">
        <v>18</v>
      </c>
      <c r="B601" s="106"/>
      <c r="C601" s="24"/>
      <c r="D601" s="24"/>
      <c r="E601" s="24"/>
      <c r="F601" s="24"/>
      <c r="G601" s="24"/>
      <c r="H601" s="84"/>
    </row>
    <row r="602" spans="1:8">
      <c r="A602" s="23" t="s">
        <v>19</v>
      </c>
      <c r="B602" s="106"/>
      <c r="C602" s="24"/>
      <c r="D602" s="24"/>
      <c r="E602" s="24"/>
      <c r="F602" s="24"/>
      <c r="G602" s="24"/>
      <c r="H602" s="84"/>
    </row>
    <row r="603" spans="1:8">
      <c r="A603" s="23" t="s">
        <v>73</v>
      </c>
      <c r="B603" s="106"/>
      <c r="C603" s="24"/>
      <c r="D603" s="24"/>
      <c r="E603" s="24"/>
      <c r="F603" s="24"/>
      <c r="G603" s="24"/>
      <c r="H603" s="84"/>
    </row>
    <row r="604" spans="1:8">
      <c r="A604" s="56" t="s">
        <v>202</v>
      </c>
      <c r="B604" s="106"/>
      <c r="C604" s="24"/>
      <c r="D604" s="24"/>
      <c r="E604" s="24"/>
      <c r="F604" s="24"/>
      <c r="G604" s="24"/>
      <c r="H604" s="252"/>
    </row>
    <row r="605" spans="1:8">
      <c r="A605" s="93" t="s">
        <v>422</v>
      </c>
      <c r="B605" s="106"/>
      <c r="C605" s="24"/>
      <c r="D605" s="24">
        <v>28607.78</v>
      </c>
      <c r="E605" s="24">
        <v>0</v>
      </c>
      <c r="F605" s="24">
        <v>161852.80000000002</v>
      </c>
      <c r="G605" s="24">
        <v>190460.58000000002</v>
      </c>
      <c r="H605" s="252"/>
    </row>
    <row r="606" spans="1:8">
      <c r="A606" s="93" t="s">
        <v>315</v>
      </c>
      <c r="B606" s="106"/>
      <c r="C606" s="24"/>
      <c r="D606" s="24"/>
      <c r="E606" s="24"/>
      <c r="F606" s="24"/>
      <c r="G606" s="24"/>
      <c r="H606" s="252"/>
    </row>
    <row r="607" spans="1:8">
      <c r="A607" s="20" t="s">
        <v>20</v>
      </c>
      <c r="B607" s="104"/>
      <c r="C607" s="25"/>
      <c r="D607" s="103">
        <f>28607.78</f>
        <v>28607.78</v>
      </c>
      <c r="E607" s="103">
        <v>0</v>
      </c>
      <c r="F607" s="103">
        <f>SUM(F608:F610)</f>
        <v>161852.80000000002</v>
      </c>
      <c r="G607" s="103">
        <f>SUM(D607:F607)</f>
        <v>190460.58000000002</v>
      </c>
      <c r="H607" s="261"/>
    </row>
    <row r="608" spans="1:8">
      <c r="A608" s="397" t="s">
        <v>423</v>
      </c>
      <c r="B608" s="128"/>
      <c r="C608" s="65"/>
      <c r="D608" s="65"/>
      <c r="E608" s="77" t="s">
        <v>70</v>
      </c>
      <c r="F608" s="22">
        <v>92729.91</v>
      </c>
      <c r="G608" s="73">
        <f>F608/F607</f>
        <v>0.57292743777061628</v>
      </c>
      <c r="H608" s="71"/>
    </row>
    <row r="609" spans="1:8">
      <c r="A609" s="102"/>
      <c r="B609" s="128"/>
      <c r="C609" s="62"/>
      <c r="D609" s="62"/>
      <c r="E609" s="77" t="s">
        <v>72</v>
      </c>
      <c r="F609" s="22">
        <f>24786.32+32478.63+1173.53</f>
        <v>58438.479999999996</v>
      </c>
      <c r="G609" s="73">
        <f>F609/F607</f>
        <v>0.36105943177998767</v>
      </c>
      <c r="H609" s="71"/>
    </row>
    <row r="610" spans="1:8">
      <c r="A610" s="61"/>
      <c r="B610" s="128"/>
      <c r="C610" s="62"/>
      <c r="D610" s="62"/>
      <c r="E610" s="77" t="s">
        <v>71</v>
      </c>
      <c r="F610" s="22">
        <f>10684.41</f>
        <v>10684.41</v>
      </c>
      <c r="G610" s="73">
        <f>F610/F607</f>
        <v>6.6013130449395982E-2</v>
      </c>
      <c r="H610" s="71"/>
    </row>
    <row r="611" spans="1:8">
      <c r="A611" s="61"/>
      <c r="B611" s="128"/>
      <c r="C611" s="62"/>
      <c r="D611" s="62"/>
      <c r="E611" s="77"/>
      <c r="F611" s="22"/>
      <c r="G611" s="73"/>
      <c r="H611" s="71"/>
    </row>
    <row r="612" spans="1:8">
      <c r="A612" s="61"/>
      <c r="B612" s="128"/>
      <c r="C612" s="62"/>
      <c r="D612" s="62"/>
      <c r="E612" s="77"/>
      <c r="F612" s="22"/>
      <c r="G612" s="73"/>
      <c r="H612" s="71"/>
    </row>
    <row r="613" spans="1:8">
      <c r="A613" s="61"/>
      <c r="B613" s="128"/>
      <c r="C613" s="62"/>
      <c r="D613" s="62"/>
      <c r="E613" s="77"/>
      <c r="F613" s="22"/>
      <c r="G613" s="73"/>
      <c r="H613" s="71"/>
    </row>
    <row r="614" spans="1:8">
      <c r="A614" s="61"/>
      <c r="B614" s="128"/>
      <c r="C614" s="62"/>
      <c r="D614" s="62"/>
      <c r="E614" s="77"/>
      <c r="F614" s="22"/>
      <c r="G614" s="73"/>
      <c r="H614" s="71"/>
    </row>
    <row r="615" spans="1:8">
      <c r="A615" s="61"/>
      <c r="B615" s="128"/>
      <c r="C615" s="62"/>
      <c r="D615" s="62"/>
      <c r="E615" s="77"/>
      <c r="F615" s="22"/>
      <c r="G615" s="73"/>
      <c r="H615" s="71"/>
    </row>
    <row r="616" spans="1:8">
      <c r="A616" s="61"/>
      <c r="B616" s="128"/>
      <c r="C616" s="62"/>
      <c r="D616" s="62"/>
      <c r="E616" s="77"/>
      <c r="F616" s="22"/>
      <c r="G616" s="73"/>
      <c r="H616" s="71"/>
    </row>
    <row r="617" spans="1:8">
      <c r="A617" s="61"/>
      <c r="B617" s="128"/>
      <c r="C617" s="62"/>
      <c r="D617" s="62"/>
      <c r="E617" s="77"/>
      <c r="F617" s="22"/>
      <c r="G617" s="73"/>
      <c r="H617" s="71"/>
    </row>
    <row r="618" spans="1:8">
      <c r="A618" s="61"/>
      <c r="B618" s="128"/>
      <c r="C618" s="62"/>
      <c r="D618" s="62"/>
      <c r="E618" s="77"/>
      <c r="F618" s="22"/>
      <c r="G618" s="73"/>
      <c r="H618" s="71"/>
    </row>
    <row r="619" spans="1:8">
      <c r="A619" s="61"/>
      <c r="B619" s="128"/>
      <c r="C619" s="62"/>
      <c r="D619" s="62"/>
      <c r="E619" s="77"/>
      <c r="F619" s="22"/>
      <c r="G619" s="73"/>
      <c r="H619" s="71"/>
    </row>
    <row r="620" spans="1:8">
      <c r="A620" s="61"/>
      <c r="B620" s="128"/>
      <c r="C620" s="62"/>
      <c r="D620" s="62"/>
      <c r="E620" s="77"/>
      <c r="F620" s="22"/>
      <c r="G620" s="73"/>
      <c r="H620" s="71"/>
    </row>
    <row r="621" spans="1:8">
      <c r="A621" s="61"/>
      <c r="B621" s="128"/>
      <c r="C621" s="62"/>
      <c r="D621" s="62"/>
      <c r="E621" s="77"/>
      <c r="F621" s="22"/>
      <c r="G621" s="73"/>
      <c r="H621" s="71"/>
    </row>
    <row r="622" spans="1:8">
      <c r="A622" s="61"/>
      <c r="B622" s="128"/>
      <c r="C622" s="62"/>
      <c r="D622" s="62"/>
      <c r="E622" s="77"/>
      <c r="F622" s="22"/>
      <c r="G622" s="73"/>
      <c r="H622" s="71"/>
    </row>
    <row r="623" spans="1:8">
      <c r="A623" s="61"/>
      <c r="B623" s="128"/>
      <c r="C623" s="62"/>
      <c r="D623" s="62"/>
      <c r="E623" s="77"/>
      <c r="F623" s="22"/>
      <c r="G623" s="73"/>
      <c r="H623" s="71"/>
    </row>
    <row r="624" spans="1:8">
      <c r="A624" s="61"/>
      <c r="B624" s="128"/>
      <c r="C624" s="62"/>
      <c r="D624" s="62"/>
      <c r="E624" s="77"/>
      <c r="F624" s="22"/>
      <c r="G624" s="73"/>
      <c r="H624" s="71"/>
    </row>
    <row r="625" spans="1:8">
      <c r="A625" s="20" t="s">
        <v>390</v>
      </c>
      <c r="B625" s="105" t="s">
        <v>45</v>
      </c>
      <c r="C625" s="6" t="s">
        <v>5</v>
      </c>
      <c r="D625" s="29" t="s">
        <v>6</v>
      </c>
      <c r="E625" s="29" t="s">
        <v>7</v>
      </c>
      <c r="F625" s="29" t="s">
        <v>8</v>
      </c>
      <c r="G625" s="29" t="s">
        <v>9</v>
      </c>
      <c r="H625" s="84"/>
    </row>
    <row r="626" spans="1:8">
      <c r="A626" s="30" t="s">
        <v>21</v>
      </c>
      <c r="B626" s="127"/>
      <c r="C626" s="31"/>
      <c r="D626" s="441"/>
      <c r="E626" s="441"/>
      <c r="F626" s="441"/>
      <c r="G626" s="441"/>
      <c r="H626" s="84"/>
    </row>
    <row r="627" spans="1:8">
      <c r="A627" s="56" t="s">
        <v>59</v>
      </c>
      <c r="B627" s="127">
        <v>771.86</v>
      </c>
      <c r="C627" s="31">
        <v>144</v>
      </c>
      <c r="D627" s="442">
        <f>C627/C$641*D$641</f>
        <v>1831.783783783784</v>
      </c>
      <c r="E627" s="442">
        <f t="shared" ref="E627:F627" si="67">D627/D$641*E$641</f>
        <v>84295.459459459467</v>
      </c>
      <c r="F627" s="442">
        <f t="shared" si="67"/>
        <v>158.91891891891893</v>
      </c>
      <c r="G627" s="441">
        <f>SUM(D627:F627)</f>
        <v>86286.162162162174</v>
      </c>
      <c r="H627" s="84"/>
    </row>
    <row r="628" spans="1:8">
      <c r="A628" s="426" t="s">
        <v>59</v>
      </c>
      <c r="B628" s="406"/>
      <c r="C628" s="427">
        <v>96</v>
      </c>
      <c r="D628" s="442">
        <f t="shared" ref="D628:F628" si="68">C628/C$641*D$641</f>
        <v>1221.1891891891892</v>
      </c>
      <c r="E628" s="442">
        <f t="shared" si="68"/>
        <v>56196.972972972966</v>
      </c>
      <c r="F628" s="442">
        <f t="shared" si="68"/>
        <v>105.94594594594594</v>
      </c>
      <c r="G628" s="443"/>
      <c r="H628" s="84"/>
    </row>
    <row r="629" spans="1:8">
      <c r="A629" s="56" t="s">
        <v>201</v>
      </c>
      <c r="B629" s="127"/>
      <c r="C629" s="31"/>
      <c r="D629" s="442">
        <f t="shared" ref="D629:F629" si="69">C629/C$641*D$641</f>
        <v>0</v>
      </c>
      <c r="E629" s="442">
        <f t="shared" si="69"/>
        <v>0</v>
      </c>
      <c r="F629" s="442">
        <f t="shared" si="69"/>
        <v>0</v>
      </c>
      <c r="G629" s="441"/>
      <c r="H629" s="84"/>
    </row>
    <row r="630" spans="1:8">
      <c r="A630" s="56" t="s">
        <v>58</v>
      </c>
      <c r="B630" s="127"/>
      <c r="C630" s="14"/>
      <c r="D630" s="442">
        <f t="shared" ref="D630:F630" si="70">C630/C$641*D$641</f>
        <v>0</v>
      </c>
      <c r="E630" s="442">
        <f t="shared" si="70"/>
        <v>0</v>
      </c>
      <c r="F630" s="442">
        <f t="shared" si="70"/>
        <v>0</v>
      </c>
      <c r="G630" s="441"/>
      <c r="H630" s="84"/>
    </row>
    <row r="631" spans="1:8">
      <c r="A631" s="30" t="s">
        <v>22</v>
      </c>
      <c r="B631" s="127">
        <v>409.61</v>
      </c>
      <c r="C631" s="14">
        <v>96</v>
      </c>
      <c r="D631" s="442">
        <f t="shared" ref="D631:F631" si="71">C631/C$641*D$641</f>
        <v>1221.1891891891892</v>
      </c>
      <c r="E631" s="442">
        <f t="shared" si="71"/>
        <v>56196.972972972966</v>
      </c>
      <c r="F631" s="442">
        <f t="shared" si="71"/>
        <v>105.94594594594594</v>
      </c>
      <c r="G631" s="441"/>
      <c r="H631" s="84"/>
    </row>
    <row r="632" spans="1:8">
      <c r="A632" s="428" t="s">
        <v>22</v>
      </c>
      <c r="B632" s="406"/>
      <c r="C632" s="429">
        <v>48</v>
      </c>
      <c r="D632" s="442">
        <f t="shared" ref="D632:F632" si="72">C632/C$641*D$641</f>
        <v>610.59459459459458</v>
      </c>
      <c r="E632" s="442">
        <f t="shared" si="72"/>
        <v>28098.486486486483</v>
      </c>
      <c r="F632" s="442">
        <f t="shared" si="72"/>
        <v>52.972972972972968</v>
      </c>
      <c r="G632" s="443"/>
      <c r="H632" s="84"/>
    </row>
    <row r="633" spans="1:8">
      <c r="A633" s="30" t="s">
        <v>23</v>
      </c>
      <c r="B633" s="109">
        <v>1034.711</v>
      </c>
      <c r="C633" s="31">
        <v>12</v>
      </c>
      <c r="D633" s="442">
        <f t="shared" ref="D633:F633" si="73">C633/C$641*D$641</f>
        <v>152.64864864864865</v>
      </c>
      <c r="E633" s="442">
        <f t="shared" si="73"/>
        <v>7024.6216216216208</v>
      </c>
      <c r="F633" s="442">
        <f t="shared" si="73"/>
        <v>13.243243243243242</v>
      </c>
      <c r="G633" s="441"/>
      <c r="H633" s="84"/>
    </row>
    <row r="634" spans="1:8">
      <c r="A634" s="30" t="s">
        <v>24</v>
      </c>
      <c r="B634" s="127">
        <v>149.91999999999999</v>
      </c>
      <c r="C634" s="31">
        <v>48</v>
      </c>
      <c r="D634" s="442">
        <f t="shared" ref="D634:F634" si="74">C634/C$641*D$641</f>
        <v>610.59459459459458</v>
      </c>
      <c r="E634" s="442">
        <f t="shared" si="74"/>
        <v>28098.486486486483</v>
      </c>
      <c r="F634" s="442">
        <f t="shared" si="74"/>
        <v>52.972972972972968</v>
      </c>
      <c r="G634" s="441"/>
      <c r="H634" s="84"/>
    </row>
    <row r="635" spans="1:8">
      <c r="A635" s="30" t="s">
        <v>25</v>
      </c>
      <c r="B635" s="109"/>
      <c r="C635" s="31"/>
      <c r="D635" s="441"/>
      <c r="E635" s="441"/>
      <c r="F635" s="441"/>
      <c r="G635" s="441"/>
      <c r="H635" s="84"/>
    </row>
    <row r="636" spans="1:8">
      <c r="A636" s="30" t="s">
        <v>26</v>
      </c>
      <c r="B636" s="109"/>
      <c r="C636" s="31"/>
      <c r="D636" s="441"/>
      <c r="E636" s="441"/>
      <c r="F636" s="441"/>
      <c r="G636" s="441"/>
      <c r="H636" s="84"/>
    </row>
    <row r="637" spans="1:8">
      <c r="A637" s="23" t="s">
        <v>199</v>
      </c>
      <c r="B637" s="109"/>
      <c r="C637" s="14"/>
      <c r="D637" s="441"/>
      <c r="E637" s="441"/>
      <c r="F637" s="441"/>
      <c r="G637" s="441"/>
      <c r="H637" s="84"/>
    </row>
    <row r="638" spans="1:8">
      <c r="A638" s="56" t="s">
        <v>320</v>
      </c>
      <c r="B638" s="109"/>
      <c r="C638" s="14"/>
      <c r="D638" s="441"/>
      <c r="E638" s="441"/>
      <c r="F638" s="441"/>
      <c r="G638" s="441"/>
      <c r="H638" s="84"/>
    </row>
    <row r="639" spans="1:8">
      <c r="A639" s="56" t="s">
        <v>202</v>
      </c>
      <c r="B639" s="109"/>
      <c r="C639" s="14"/>
      <c r="D639" s="441"/>
      <c r="E639" s="441"/>
      <c r="F639" s="441"/>
      <c r="G639" s="441"/>
      <c r="H639" s="84"/>
    </row>
    <row r="640" spans="1:8">
      <c r="A640" s="56" t="s">
        <v>426</v>
      </c>
      <c r="B640" s="109"/>
      <c r="C640" s="14"/>
      <c r="D640" s="443"/>
      <c r="E640" s="443"/>
      <c r="F640" s="443"/>
      <c r="G640" s="443"/>
      <c r="H640" s="84"/>
    </row>
    <row r="641" spans="1:8">
      <c r="A641" s="20" t="s">
        <v>20</v>
      </c>
      <c r="B641" s="104"/>
      <c r="C641" s="25">
        <f>SUM(C627:C634)</f>
        <v>444</v>
      </c>
      <c r="D641" s="444">
        <v>5648</v>
      </c>
      <c r="E641" s="444">
        <f>242490+17421</f>
        <v>259911</v>
      </c>
      <c r="F641" s="444">
        <v>490</v>
      </c>
      <c r="G641" s="444">
        <f>SUM(D641:F641)</f>
        <v>266049</v>
      </c>
    </row>
    <row r="642" spans="1:8">
      <c r="A642" s="101"/>
      <c r="B642" s="110"/>
      <c r="C642" s="27"/>
      <c r="D642" s="27"/>
      <c r="E642" s="77" t="s">
        <v>70</v>
      </c>
      <c r="F642" s="63">
        <v>281193.26</v>
      </c>
      <c r="G642" s="64">
        <f>F642/F641</f>
        <v>573.86379591836737</v>
      </c>
    </row>
    <row r="643" spans="1:8">
      <c r="A643" s="101"/>
      <c r="B643" s="110"/>
      <c r="C643" s="27"/>
      <c r="D643" s="27"/>
      <c r="E643" s="77" t="s">
        <v>72</v>
      </c>
      <c r="F643" s="63">
        <v>525.80999999999995</v>
      </c>
      <c r="G643" s="64">
        <f>F643/F641</f>
        <v>1.0730816326530612</v>
      </c>
    </row>
    <row r="644" spans="1:8">
      <c r="A644" s="61"/>
      <c r="B644" s="110"/>
      <c r="C644" s="27"/>
      <c r="D644" s="22"/>
      <c r="E644" s="77" t="s">
        <v>71</v>
      </c>
      <c r="F644" s="22">
        <v>58090.89</v>
      </c>
      <c r="G644" s="64">
        <f>F644/F641</f>
        <v>118.55283673469387</v>
      </c>
    </row>
    <row r="645" spans="1:8">
      <c r="D645" s="22"/>
      <c r="E645" s="22"/>
      <c r="F645" s="22"/>
      <c r="G645" s="22"/>
      <c r="H645" s="84"/>
    </row>
    <row r="646" spans="1:8">
      <c r="A646" s="20" t="s">
        <v>391</v>
      </c>
      <c r="B646" s="105" t="s">
        <v>45</v>
      </c>
      <c r="C646" s="6" t="s">
        <v>5</v>
      </c>
      <c r="D646" s="21" t="s">
        <v>13</v>
      </c>
      <c r="E646" s="21" t="s">
        <v>14</v>
      </c>
      <c r="F646" s="21" t="s">
        <v>15</v>
      </c>
      <c r="G646" s="21" t="s">
        <v>16</v>
      </c>
      <c r="H646" s="84"/>
    </row>
    <row r="647" spans="1:8">
      <c r="A647" s="23" t="s">
        <v>27</v>
      </c>
      <c r="B647" s="106">
        <v>4900</v>
      </c>
      <c r="C647" s="34">
        <v>168</v>
      </c>
      <c r="D647" s="415">
        <f>C647/C$663*D$663</f>
        <v>35.818867924528305</v>
      </c>
      <c r="E647" s="415">
        <f t="shared" ref="E647:F647" si="75">D647/D$663*E$663</f>
        <v>1037.1094339622641</v>
      </c>
      <c r="F647" s="415">
        <f t="shared" si="75"/>
        <v>7.9245283018867916</v>
      </c>
      <c r="G647" s="416">
        <f>SUM(D647:F647)</f>
        <v>1080.8528301886793</v>
      </c>
      <c r="H647" s="84"/>
    </row>
    <row r="648" spans="1:8">
      <c r="A648" s="23" t="s">
        <v>28</v>
      </c>
      <c r="B648" s="127">
        <v>1132.52</v>
      </c>
      <c r="C648" s="34">
        <v>1440</v>
      </c>
      <c r="D648" s="415">
        <f t="shared" ref="D648:F648" si="76">C648/C$663*D$663</f>
        <v>307.01886792452831</v>
      </c>
      <c r="E648" s="415">
        <f t="shared" si="76"/>
        <v>8889.5094339622647</v>
      </c>
      <c r="F648" s="415">
        <f t="shared" si="76"/>
        <v>67.924528301886795</v>
      </c>
      <c r="G648" s="416">
        <f t="shared" ref="G648:G662" si="77">SUM(D648:F648)</f>
        <v>9264.4528301886785</v>
      </c>
      <c r="H648" s="84"/>
    </row>
    <row r="649" spans="1:8">
      <c r="A649" s="23" t="s">
        <v>29</v>
      </c>
      <c r="B649" s="127">
        <v>478.76</v>
      </c>
      <c r="C649" s="34">
        <v>1440</v>
      </c>
      <c r="D649" s="415">
        <f t="shared" ref="D649:F649" si="78">C649/C$663*D$663</f>
        <v>307.01886792452831</v>
      </c>
      <c r="E649" s="415">
        <f t="shared" si="78"/>
        <v>8889.5094339622647</v>
      </c>
      <c r="F649" s="415">
        <f t="shared" si="78"/>
        <v>67.924528301886795</v>
      </c>
      <c r="G649" s="416">
        <f t="shared" si="77"/>
        <v>9264.4528301886785</v>
      </c>
      <c r="H649" s="84"/>
    </row>
    <row r="650" spans="1:8">
      <c r="A650" s="23" t="s">
        <v>30</v>
      </c>
      <c r="B650" s="127"/>
      <c r="C650" s="34"/>
      <c r="D650" s="415">
        <f t="shared" ref="D650:F650" si="79">C650/C$663*D$663</f>
        <v>0</v>
      </c>
      <c r="E650" s="415">
        <f t="shared" si="79"/>
        <v>0</v>
      </c>
      <c r="F650" s="415">
        <f t="shared" si="79"/>
        <v>0</v>
      </c>
      <c r="G650" s="416">
        <f t="shared" si="77"/>
        <v>0</v>
      </c>
      <c r="H650" s="84"/>
    </row>
    <row r="651" spans="1:8">
      <c r="A651" s="59" t="s">
        <v>200</v>
      </c>
      <c r="B651" s="127"/>
      <c r="C651" s="34"/>
      <c r="D651" s="415">
        <f t="shared" ref="D651:F651" si="80">C651/C$663*D$663</f>
        <v>0</v>
      </c>
      <c r="E651" s="415">
        <f t="shared" si="80"/>
        <v>0</v>
      </c>
      <c r="F651" s="415">
        <f t="shared" si="80"/>
        <v>0</v>
      </c>
      <c r="G651" s="416">
        <f t="shared" si="77"/>
        <v>0</v>
      </c>
      <c r="H651" s="84"/>
    </row>
    <row r="652" spans="1:8">
      <c r="A652" s="23" t="s">
        <v>31</v>
      </c>
      <c r="B652" s="106">
        <v>21900</v>
      </c>
      <c r="C652" s="34">
        <v>60</v>
      </c>
      <c r="D652" s="415">
        <f t="shared" ref="D652:F652" si="81">C652/C$663*D$663</f>
        <v>12.79245283018868</v>
      </c>
      <c r="E652" s="415">
        <f t="shared" si="81"/>
        <v>370.3962264150943</v>
      </c>
      <c r="F652" s="415">
        <f t="shared" si="81"/>
        <v>2.8301886792452828</v>
      </c>
      <c r="G652" s="416">
        <f t="shared" si="77"/>
        <v>386.01886792452825</v>
      </c>
      <c r="H652" s="84"/>
    </row>
    <row r="653" spans="1:8">
      <c r="A653" s="23" t="s">
        <v>32</v>
      </c>
      <c r="B653" s="106">
        <v>8300</v>
      </c>
      <c r="C653" s="34">
        <v>24</v>
      </c>
      <c r="D653" s="415">
        <f t="shared" ref="D653:F653" si="82">C653/C$663*D$663</f>
        <v>5.1169811320754715</v>
      </c>
      <c r="E653" s="415">
        <f t="shared" si="82"/>
        <v>148.15849056603773</v>
      </c>
      <c r="F653" s="415">
        <f t="shared" si="82"/>
        <v>1.1320754716981132</v>
      </c>
      <c r="G653" s="416">
        <f t="shared" si="77"/>
        <v>154.40754716981129</v>
      </c>
      <c r="H653" s="84"/>
    </row>
    <row r="654" spans="1:8">
      <c r="A654" s="23" t="s">
        <v>33</v>
      </c>
      <c r="B654" s="106">
        <v>2600</v>
      </c>
      <c r="C654" s="34">
        <v>48</v>
      </c>
      <c r="D654" s="415">
        <f t="shared" ref="D654:F654" si="83">C654/C$663*D$663</f>
        <v>10.233962264150943</v>
      </c>
      <c r="E654" s="415">
        <f t="shared" si="83"/>
        <v>296.31698113207545</v>
      </c>
      <c r="F654" s="415">
        <f t="shared" si="83"/>
        <v>2.2641509433962264</v>
      </c>
      <c r="G654" s="416">
        <f t="shared" si="77"/>
        <v>308.81509433962259</v>
      </c>
      <c r="H654" s="262"/>
    </row>
    <row r="655" spans="1:8">
      <c r="A655" s="23" t="s">
        <v>34</v>
      </c>
      <c r="B655" s="127"/>
      <c r="C655" s="2"/>
      <c r="D655" s="416" t="e">
        <f t="shared" ref="D655:F662" si="84">C655/C$908*D$908</f>
        <v>#DIV/0!</v>
      </c>
      <c r="E655" s="416" t="e">
        <f t="shared" si="84"/>
        <v>#DIV/0!</v>
      </c>
      <c r="F655" s="416" t="e">
        <f t="shared" si="84"/>
        <v>#DIV/0!</v>
      </c>
      <c r="G655" s="416" t="e">
        <f t="shared" si="77"/>
        <v>#DIV/0!</v>
      </c>
      <c r="H655" s="262"/>
    </row>
    <row r="656" spans="1:8">
      <c r="A656" s="23" t="s">
        <v>35</v>
      </c>
      <c r="B656" s="106"/>
      <c r="C656" s="34"/>
      <c r="D656" s="416" t="e">
        <f t="shared" si="84"/>
        <v>#DIV/0!</v>
      </c>
      <c r="E656" s="416" t="e">
        <f t="shared" si="84"/>
        <v>#DIV/0!</v>
      </c>
      <c r="F656" s="416" t="e">
        <f t="shared" si="84"/>
        <v>#DIV/0!</v>
      </c>
      <c r="G656" s="416" t="e">
        <f t="shared" si="77"/>
        <v>#DIV/0!</v>
      </c>
      <c r="H656" s="262"/>
    </row>
    <row r="657" spans="1:8">
      <c r="A657" s="23" t="s">
        <v>36</v>
      </c>
      <c r="B657" s="127"/>
      <c r="C657" s="34"/>
      <c r="D657" s="416" t="e">
        <f t="shared" si="84"/>
        <v>#DIV/0!</v>
      </c>
      <c r="E657" s="416" t="e">
        <f t="shared" si="84"/>
        <v>#DIV/0!</v>
      </c>
      <c r="F657" s="416" t="e">
        <f t="shared" si="84"/>
        <v>#DIV/0!</v>
      </c>
      <c r="G657" s="416" t="e">
        <f t="shared" si="77"/>
        <v>#DIV/0!</v>
      </c>
      <c r="H657" s="262"/>
    </row>
    <row r="658" spans="1:8">
      <c r="A658" s="23" t="s">
        <v>199</v>
      </c>
      <c r="B658" s="106"/>
      <c r="C658" s="34"/>
      <c r="D658" s="416" t="e">
        <f t="shared" si="84"/>
        <v>#DIV/0!</v>
      </c>
      <c r="E658" s="416" t="e">
        <f t="shared" si="84"/>
        <v>#DIV/0!</v>
      </c>
      <c r="F658" s="416" t="e">
        <f t="shared" si="84"/>
        <v>#DIV/0!</v>
      </c>
      <c r="G658" s="416" t="e">
        <f t="shared" si="77"/>
        <v>#DIV/0!</v>
      </c>
      <c r="H658" s="263"/>
    </row>
    <row r="659" spans="1:8">
      <c r="A659" s="59" t="s">
        <v>66</v>
      </c>
      <c r="B659" s="106"/>
      <c r="C659" s="34"/>
      <c r="D659" s="416" t="e">
        <f t="shared" si="84"/>
        <v>#DIV/0!</v>
      </c>
      <c r="E659" s="416" t="e">
        <f t="shared" si="84"/>
        <v>#DIV/0!</v>
      </c>
      <c r="F659" s="416" t="e">
        <f t="shared" si="84"/>
        <v>#DIV/0!</v>
      </c>
      <c r="G659" s="416" t="e">
        <f t="shared" si="77"/>
        <v>#DIV/0!</v>
      </c>
      <c r="H659" s="262"/>
    </row>
    <row r="660" spans="1:8">
      <c r="A660" s="58" t="s">
        <v>315</v>
      </c>
      <c r="B660" s="106"/>
      <c r="C660" s="34"/>
      <c r="D660" s="416" t="e">
        <f t="shared" si="84"/>
        <v>#DIV/0!</v>
      </c>
      <c r="E660" s="416" t="e">
        <f t="shared" si="84"/>
        <v>#DIV/0!</v>
      </c>
      <c r="F660" s="416" t="e">
        <f t="shared" si="84"/>
        <v>#DIV/0!</v>
      </c>
      <c r="G660" s="416" t="e">
        <f t="shared" si="77"/>
        <v>#DIV/0!</v>
      </c>
      <c r="H660" s="261" t="s">
        <v>335</v>
      </c>
    </row>
    <row r="661" spans="1:8">
      <c r="A661" s="58" t="s">
        <v>206</v>
      </c>
      <c r="B661" s="106"/>
      <c r="C661" s="34"/>
      <c r="D661" s="416" t="e">
        <f t="shared" si="84"/>
        <v>#DIV/0!</v>
      </c>
      <c r="E661" s="416" t="e">
        <f t="shared" si="84"/>
        <v>#DIV/0!</v>
      </c>
      <c r="F661" s="416" t="e">
        <f t="shared" si="84"/>
        <v>#DIV/0!</v>
      </c>
      <c r="G661" s="416" t="e">
        <f t="shared" si="77"/>
        <v>#DIV/0!</v>
      </c>
      <c r="H661" s="261"/>
    </row>
    <row r="662" spans="1:8">
      <c r="A662" s="58" t="s">
        <v>323</v>
      </c>
      <c r="B662" s="106"/>
      <c r="C662" s="34"/>
      <c r="D662" s="416" t="e">
        <f t="shared" si="84"/>
        <v>#DIV/0!</v>
      </c>
      <c r="E662" s="416" t="e">
        <f t="shared" si="84"/>
        <v>#DIV/0!</v>
      </c>
      <c r="F662" s="416" t="e">
        <f t="shared" si="84"/>
        <v>#DIV/0!</v>
      </c>
      <c r="G662" s="416" t="e">
        <f t="shared" si="77"/>
        <v>#DIV/0!</v>
      </c>
      <c r="H662" s="261"/>
    </row>
    <row r="663" spans="1:8">
      <c r="A663" s="20" t="s">
        <v>20</v>
      </c>
      <c r="B663" s="104"/>
      <c r="C663" s="36">
        <f>SUM(C647:C654)</f>
        <v>3180</v>
      </c>
      <c r="D663" s="444">
        <v>678</v>
      </c>
      <c r="E663" s="444">
        <f>18325+1306</f>
        <v>19631</v>
      </c>
      <c r="F663" s="445">
        <v>150</v>
      </c>
      <c r="G663" s="446">
        <f>SUM(D663:F663)</f>
        <v>20459</v>
      </c>
      <c r="H663" s="261"/>
    </row>
    <row r="664" spans="1:8">
      <c r="A664" s="397" t="s">
        <v>407</v>
      </c>
      <c r="B664" s="110"/>
      <c r="C664" s="39"/>
      <c r="D664" s="40"/>
      <c r="E664" s="76" t="s">
        <v>70</v>
      </c>
      <c r="F664" s="251">
        <v>52798.68</v>
      </c>
      <c r="G664" s="60">
        <f>F664/F663</f>
        <v>351.99119999999999</v>
      </c>
      <c r="H664" s="71"/>
    </row>
    <row r="665" spans="1:8">
      <c r="A665" s="102"/>
      <c r="B665" s="110"/>
      <c r="C665" s="39"/>
      <c r="D665" s="40"/>
      <c r="E665" s="76" t="s">
        <v>72</v>
      </c>
      <c r="F665" s="40">
        <v>0</v>
      </c>
      <c r="G665" s="60">
        <f>F665/F663</f>
        <v>0</v>
      </c>
      <c r="H665" s="71"/>
    </row>
    <row r="666" spans="1:8">
      <c r="A666" s="28"/>
      <c r="B666" s="108"/>
      <c r="C666" s="39"/>
      <c r="D666" s="40"/>
      <c r="E666" s="76" t="s">
        <v>71</v>
      </c>
      <c r="F666" s="40">
        <v>4188.21</v>
      </c>
      <c r="G666" s="60">
        <f>F666/F663</f>
        <v>27.921400000000002</v>
      </c>
      <c r="H666" s="71"/>
    </row>
    <row r="667" spans="1:8">
      <c r="A667" s="28"/>
      <c r="B667" s="108"/>
      <c r="C667" s="39"/>
      <c r="D667" s="40"/>
      <c r="E667" s="76"/>
      <c r="F667" s="40"/>
      <c r="G667" s="60"/>
      <c r="H667" s="71"/>
    </row>
    <row r="668" spans="1:8">
      <c r="D668" s="22"/>
      <c r="E668" s="22"/>
      <c r="F668" s="22"/>
      <c r="G668" s="22"/>
      <c r="H668" s="84"/>
    </row>
    <row r="669" spans="1:8">
      <c r="A669" s="20" t="s">
        <v>392</v>
      </c>
      <c r="B669" s="105" t="s">
        <v>45</v>
      </c>
      <c r="C669" s="6" t="s">
        <v>5</v>
      </c>
      <c r="D669" s="21" t="s">
        <v>13</v>
      </c>
      <c r="E669" s="21" t="s">
        <v>14</v>
      </c>
      <c r="F669" s="21" t="s">
        <v>15</v>
      </c>
      <c r="G669" s="21" t="s">
        <v>16</v>
      </c>
      <c r="H669" s="84"/>
    </row>
    <row r="670" spans="1:8">
      <c r="A670" s="56" t="s">
        <v>74</v>
      </c>
      <c r="B670" s="105"/>
      <c r="C670" s="6"/>
      <c r="D670" s="51"/>
      <c r="E670" s="51"/>
      <c r="F670" s="51"/>
      <c r="G670" s="51"/>
      <c r="H670" s="84"/>
    </row>
    <row r="671" spans="1:8">
      <c r="A671" s="56" t="s">
        <v>77</v>
      </c>
      <c r="B671" s="105"/>
      <c r="C671" s="5"/>
      <c r="D671" s="90"/>
      <c r="E671" s="90"/>
      <c r="F671" s="90"/>
      <c r="G671" s="51"/>
      <c r="H671" s="84"/>
    </row>
    <row r="672" spans="1:8">
      <c r="A672" s="23" t="s">
        <v>43</v>
      </c>
      <c r="B672" s="106"/>
      <c r="C672" s="34"/>
      <c r="D672" s="99">
        <v>60843.08</v>
      </c>
      <c r="E672" s="99">
        <v>75806.02</v>
      </c>
      <c r="F672" s="99">
        <v>73713.099999999991</v>
      </c>
      <c r="G672" s="99">
        <v>210362.2</v>
      </c>
      <c r="H672" s="84"/>
    </row>
    <row r="673" spans="1:8">
      <c r="A673" s="23" t="s">
        <v>3</v>
      </c>
      <c r="B673" s="106"/>
      <c r="C673" s="34"/>
      <c r="D673" s="99"/>
      <c r="E673" s="99"/>
      <c r="F673" s="99"/>
      <c r="G673" s="99"/>
      <c r="H673" s="84"/>
    </row>
    <row r="674" spans="1:8">
      <c r="A674" s="59" t="s">
        <v>315</v>
      </c>
      <c r="B674" s="106"/>
      <c r="C674" s="34"/>
      <c r="D674" s="90"/>
      <c r="E674" s="90"/>
      <c r="F674" s="90"/>
      <c r="G674" s="99"/>
      <c r="H674" s="84"/>
    </row>
    <row r="675" spans="1:8">
      <c r="A675" s="20" t="s">
        <v>20</v>
      </c>
      <c r="B675" s="104"/>
      <c r="C675" s="36"/>
      <c r="D675" s="37">
        <v>60843.08</v>
      </c>
      <c r="E675" s="37">
        <f>11906.75+2371.52+61527.75</f>
        <v>75806.02</v>
      </c>
      <c r="F675" s="37">
        <f>SUM(F676:F678)</f>
        <v>73713.099999999991</v>
      </c>
      <c r="G675" s="99">
        <f t="shared" ref="G675" si="85">SUM(D675:F675)</f>
        <v>210362.2</v>
      </c>
      <c r="H675" s="84"/>
    </row>
    <row r="676" spans="1:8">
      <c r="A676" s="397" t="s">
        <v>382</v>
      </c>
      <c r="B676" s="110"/>
      <c r="C676" s="45"/>
      <c r="D676" s="46"/>
      <c r="E676" s="77" t="s">
        <v>70</v>
      </c>
      <c r="F676" s="40">
        <f>70934.48</f>
        <v>70934.48</v>
      </c>
      <c r="G676" s="60">
        <f>F676/F675</f>
        <v>0.96230493630033198</v>
      </c>
    </row>
    <row r="677" spans="1:8">
      <c r="A677" s="102"/>
      <c r="B677" s="110"/>
      <c r="C677" s="45"/>
      <c r="D677" s="46"/>
      <c r="E677" s="77" t="s">
        <v>72</v>
      </c>
      <c r="F677" s="40">
        <f>0</f>
        <v>0</v>
      </c>
      <c r="G677" s="60">
        <f>F677/F675</f>
        <v>0</v>
      </c>
    </row>
    <row r="678" spans="1:8">
      <c r="A678" s="43"/>
      <c r="B678" s="110"/>
      <c r="C678" s="45"/>
      <c r="D678" s="46"/>
      <c r="E678" s="77" t="s">
        <v>71</v>
      </c>
      <c r="F678" s="40">
        <v>2778.62</v>
      </c>
      <c r="G678" s="60">
        <f>F678/F675</f>
        <v>3.769506369966804E-2</v>
      </c>
    </row>
    <row r="679" spans="1:8">
      <c r="D679" s="22"/>
      <c r="E679" s="22"/>
      <c r="F679" s="22"/>
      <c r="G679" s="22"/>
      <c r="H679" s="84"/>
    </row>
    <row r="680" spans="1:8">
      <c r="A680" s="453" t="s">
        <v>393</v>
      </c>
      <c r="B680" s="453"/>
      <c r="C680" s="453"/>
      <c r="D680" s="453"/>
      <c r="E680" s="453"/>
      <c r="F680" s="453"/>
      <c r="G680" s="453"/>
      <c r="H680" s="84"/>
    </row>
    <row r="681" spans="1:8">
      <c r="A681" s="5" t="s">
        <v>4</v>
      </c>
      <c r="B681" s="105" t="s">
        <v>45</v>
      </c>
      <c r="C681" s="6" t="s">
        <v>5</v>
      </c>
      <c r="D681" s="6" t="s">
        <v>6</v>
      </c>
      <c r="E681" s="6" t="s">
        <v>7</v>
      </c>
      <c r="F681" s="6" t="s">
        <v>8</v>
      </c>
      <c r="G681" s="6" t="s">
        <v>9</v>
      </c>
      <c r="H681" s="84"/>
    </row>
    <row r="682" spans="1:8">
      <c r="A682" s="6" t="s">
        <v>173</v>
      </c>
      <c r="B682" s="117"/>
      <c r="C682" s="6"/>
      <c r="D682" s="447"/>
      <c r="E682" s="447"/>
      <c r="F682" s="447"/>
      <c r="G682" s="447"/>
      <c r="H682" s="84"/>
    </row>
    <row r="683" spans="1:8">
      <c r="A683" s="6" t="s">
        <v>113</v>
      </c>
      <c r="B683" s="117"/>
      <c r="C683" s="6"/>
      <c r="D683" s="418"/>
      <c r="E683" s="418"/>
      <c r="F683" s="418"/>
      <c r="G683" s="418"/>
      <c r="H683" s="84"/>
    </row>
    <row r="684" spans="1:8">
      <c r="A684" s="6" t="s">
        <v>113</v>
      </c>
      <c r="C684" s="6"/>
      <c r="D684" s="418"/>
      <c r="E684" s="418"/>
      <c r="F684" s="418"/>
      <c r="G684" s="418"/>
      <c r="H684" s="84"/>
    </row>
    <row r="685" spans="1:8">
      <c r="A685" s="6" t="s">
        <v>114</v>
      </c>
      <c r="B685" s="117">
        <v>284.46499999999997</v>
      </c>
      <c r="C685" s="6">
        <f>61-10.5</f>
        <v>50.5</v>
      </c>
      <c r="D685" s="419">
        <f>C685/C$736*D$736</f>
        <v>1557.1758241758241</v>
      </c>
      <c r="E685" s="419">
        <f t="shared" ref="E685:F685" si="86">D685/D$736*E$736</f>
        <v>43037.986813186813</v>
      </c>
      <c r="F685" s="419">
        <f t="shared" si="86"/>
        <v>128.74725274725273</v>
      </c>
      <c r="G685" s="418">
        <f>SUM(D685:F685)</f>
        <v>44723.909890109884</v>
      </c>
      <c r="H685" s="84"/>
    </row>
    <row r="686" spans="1:8">
      <c r="A686" s="6" t="s">
        <v>114</v>
      </c>
      <c r="B686" s="117"/>
      <c r="C686" s="6"/>
      <c r="D686" s="419">
        <f t="shared" ref="D686:F686" si="87">C686/C$736*D$736</f>
        <v>0</v>
      </c>
      <c r="E686" s="419">
        <f t="shared" si="87"/>
        <v>0</v>
      </c>
      <c r="F686" s="419">
        <f t="shared" si="87"/>
        <v>0</v>
      </c>
      <c r="G686" s="418">
        <f t="shared" ref="G686:G731" si="88">SUM(D686:F686)</f>
        <v>0</v>
      </c>
      <c r="H686" s="84"/>
    </row>
    <row r="687" spans="1:8">
      <c r="A687" s="6" t="s">
        <v>115</v>
      </c>
      <c r="B687" s="117"/>
      <c r="C687" s="6"/>
      <c r="D687" s="419">
        <f t="shared" ref="D687:F687" si="89">C687/C$736*D$736</f>
        <v>0</v>
      </c>
      <c r="E687" s="419">
        <f t="shared" si="89"/>
        <v>0</v>
      </c>
      <c r="F687" s="419">
        <f t="shared" si="89"/>
        <v>0</v>
      </c>
      <c r="G687" s="418">
        <f t="shared" si="88"/>
        <v>0</v>
      </c>
      <c r="H687" s="84"/>
    </row>
    <row r="688" spans="1:8">
      <c r="A688" s="6" t="s">
        <v>186</v>
      </c>
      <c r="B688" s="117"/>
      <c r="C688" s="6"/>
      <c r="D688" s="419">
        <f t="shared" ref="D688:F688" si="90">C688/C$736*D$736</f>
        <v>0</v>
      </c>
      <c r="E688" s="419">
        <f t="shared" si="90"/>
        <v>0</v>
      </c>
      <c r="F688" s="419">
        <f t="shared" si="90"/>
        <v>0</v>
      </c>
      <c r="G688" s="418">
        <f t="shared" si="88"/>
        <v>0</v>
      </c>
      <c r="H688" s="84"/>
    </row>
    <row r="689" spans="1:8">
      <c r="A689" s="6" t="s">
        <v>116</v>
      </c>
      <c r="B689" s="117">
        <v>42.49</v>
      </c>
      <c r="C689" s="6">
        <v>10.5</v>
      </c>
      <c r="D689" s="419">
        <f t="shared" ref="D689:F689" si="91">C689/C$736*D$736</f>
        <v>323.76923076923077</v>
      </c>
      <c r="E689" s="419">
        <f t="shared" si="91"/>
        <v>8948.4923076923078</v>
      </c>
      <c r="F689" s="419">
        <f t="shared" si="91"/>
        <v>26.76923076923077</v>
      </c>
      <c r="G689" s="418">
        <f t="shared" si="88"/>
        <v>9299.0307692307688</v>
      </c>
      <c r="H689" s="84"/>
    </row>
    <row r="690" spans="1:8">
      <c r="A690" s="6" t="s">
        <v>181</v>
      </c>
      <c r="B690" s="117">
        <v>34.11</v>
      </c>
      <c r="C690" s="6">
        <v>11.5</v>
      </c>
      <c r="D690" s="419">
        <f t="shared" ref="D690:F690" si="92">C690/C$736*D$736</f>
        <v>354.60439560439562</v>
      </c>
      <c r="E690" s="419">
        <f t="shared" si="92"/>
        <v>9800.7296703296706</v>
      </c>
      <c r="F690" s="419">
        <f t="shared" si="92"/>
        <v>29.318681318681318</v>
      </c>
      <c r="G690" s="418">
        <f t="shared" si="88"/>
        <v>10184.652747252749</v>
      </c>
      <c r="H690" s="84"/>
    </row>
    <row r="691" spans="1:8">
      <c r="A691" s="6" t="s">
        <v>182</v>
      </c>
      <c r="B691" s="117"/>
      <c r="C691" s="6"/>
      <c r="D691" s="419">
        <f t="shared" ref="D691:F691" si="93">C691/C$736*D$736</f>
        <v>0</v>
      </c>
      <c r="E691" s="419">
        <f t="shared" si="93"/>
        <v>0</v>
      </c>
      <c r="F691" s="419">
        <f t="shared" si="93"/>
        <v>0</v>
      </c>
      <c r="G691" s="418">
        <f t="shared" si="88"/>
        <v>0</v>
      </c>
      <c r="H691" s="84"/>
    </row>
    <row r="692" spans="1:8">
      <c r="A692" s="6" t="s">
        <v>183</v>
      </c>
      <c r="B692" s="117"/>
      <c r="C692" s="6"/>
      <c r="D692" s="419">
        <f t="shared" ref="D692:F692" si="94">C692/C$736*D$736</f>
        <v>0</v>
      </c>
      <c r="E692" s="419">
        <f t="shared" si="94"/>
        <v>0</v>
      </c>
      <c r="F692" s="419">
        <f t="shared" si="94"/>
        <v>0</v>
      </c>
      <c r="G692" s="418">
        <f t="shared" si="88"/>
        <v>0</v>
      </c>
      <c r="H692" s="84"/>
    </row>
    <row r="693" spans="1:8">
      <c r="A693" s="6" t="s">
        <v>117</v>
      </c>
      <c r="B693" s="117"/>
      <c r="C693" s="6"/>
      <c r="D693" s="419">
        <f t="shared" ref="D693:F693" si="95">C693/C$736*D$736</f>
        <v>0</v>
      </c>
      <c r="E693" s="419">
        <f t="shared" si="95"/>
        <v>0</v>
      </c>
      <c r="F693" s="419">
        <f t="shared" si="95"/>
        <v>0</v>
      </c>
      <c r="G693" s="418">
        <f t="shared" si="88"/>
        <v>0</v>
      </c>
      <c r="H693" s="84"/>
    </row>
    <row r="694" spans="1:8">
      <c r="A694" s="6" t="s">
        <v>118</v>
      </c>
      <c r="B694" s="117"/>
      <c r="C694" s="6"/>
      <c r="D694" s="419">
        <f t="shared" ref="D694:F694" si="96">C694/C$736*D$736</f>
        <v>0</v>
      </c>
      <c r="E694" s="419">
        <f t="shared" si="96"/>
        <v>0</v>
      </c>
      <c r="F694" s="419">
        <f t="shared" si="96"/>
        <v>0</v>
      </c>
      <c r="G694" s="418">
        <f t="shared" si="88"/>
        <v>0</v>
      </c>
      <c r="H694" s="84"/>
    </row>
    <row r="695" spans="1:8">
      <c r="A695" s="6" t="s">
        <v>118</v>
      </c>
      <c r="B695" s="117"/>
      <c r="C695" s="6"/>
      <c r="D695" s="419">
        <f t="shared" ref="D695:F695" si="97">C695/C$736*D$736</f>
        <v>0</v>
      </c>
      <c r="E695" s="419">
        <f t="shared" si="97"/>
        <v>0</v>
      </c>
      <c r="F695" s="419">
        <f t="shared" si="97"/>
        <v>0</v>
      </c>
      <c r="G695" s="418">
        <f t="shared" si="88"/>
        <v>0</v>
      </c>
      <c r="H695" s="84"/>
    </row>
    <row r="696" spans="1:8">
      <c r="A696" s="6" t="s">
        <v>119</v>
      </c>
      <c r="B696" s="117"/>
      <c r="C696" s="6"/>
      <c r="D696" s="419">
        <f t="shared" ref="D696:F696" si="98">C696/C$736*D$736</f>
        <v>0</v>
      </c>
      <c r="E696" s="419">
        <f t="shared" si="98"/>
        <v>0</v>
      </c>
      <c r="F696" s="419">
        <f t="shared" si="98"/>
        <v>0</v>
      </c>
      <c r="G696" s="418">
        <f t="shared" si="88"/>
        <v>0</v>
      </c>
      <c r="H696" s="84"/>
    </row>
    <row r="697" spans="1:8">
      <c r="A697" s="6" t="s">
        <v>152</v>
      </c>
      <c r="B697" s="117"/>
      <c r="C697" s="6"/>
      <c r="D697" s="419">
        <f t="shared" ref="D697:F697" si="99">C697/C$736*D$736</f>
        <v>0</v>
      </c>
      <c r="E697" s="419">
        <f t="shared" si="99"/>
        <v>0</v>
      </c>
      <c r="F697" s="419">
        <f t="shared" si="99"/>
        <v>0</v>
      </c>
      <c r="G697" s="418">
        <f t="shared" si="88"/>
        <v>0</v>
      </c>
      <c r="H697" s="84"/>
    </row>
    <row r="698" spans="1:8">
      <c r="A698" s="6" t="s">
        <v>187</v>
      </c>
      <c r="B698" s="117"/>
      <c r="C698" s="6"/>
      <c r="D698" s="419">
        <f t="shared" ref="D698:F698" si="100">C698/C$736*D$736</f>
        <v>0</v>
      </c>
      <c r="E698" s="419">
        <f t="shared" si="100"/>
        <v>0</v>
      </c>
      <c r="F698" s="419">
        <f t="shared" si="100"/>
        <v>0</v>
      </c>
      <c r="G698" s="418">
        <f t="shared" si="88"/>
        <v>0</v>
      </c>
      <c r="H698" s="84"/>
    </row>
    <row r="699" spans="1:8">
      <c r="A699" s="6" t="s">
        <v>153</v>
      </c>
      <c r="B699" s="117"/>
      <c r="C699" s="6"/>
      <c r="D699" s="419">
        <f t="shared" ref="D699:F699" si="101">C699/C$736*D$736</f>
        <v>0</v>
      </c>
      <c r="E699" s="419">
        <f t="shared" si="101"/>
        <v>0</v>
      </c>
      <c r="F699" s="419">
        <f t="shared" si="101"/>
        <v>0</v>
      </c>
      <c r="G699" s="418">
        <f t="shared" si="88"/>
        <v>0</v>
      </c>
      <c r="H699" s="84"/>
    </row>
    <row r="700" spans="1:8">
      <c r="A700" s="6" t="s">
        <v>154</v>
      </c>
      <c r="B700" s="117"/>
      <c r="C700" s="6"/>
      <c r="D700" s="419">
        <f t="shared" ref="D700:F700" si="102">C700/C$736*D$736</f>
        <v>0</v>
      </c>
      <c r="E700" s="419">
        <f t="shared" si="102"/>
        <v>0</v>
      </c>
      <c r="F700" s="419">
        <f t="shared" si="102"/>
        <v>0</v>
      </c>
      <c r="G700" s="418">
        <f t="shared" si="88"/>
        <v>0</v>
      </c>
      <c r="H700" s="84"/>
    </row>
    <row r="701" spans="1:8">
      <c r="A701" s="78" t="s">
        <v>155</v>
      </c>
      <c r="B701" s="127">
        <v>46.496000000000002</v>
      </c>
      <c r="C701" s="6">
        <v>0</v>
      </c>
      <c r="D701" s="419">
        <f t="shared" ref="D701:F701" si="103">C701/C$736*D$736</f>
        <v>0</v>
      </c>
      <c r="E701" s="419">
        <f t="shared" si="103"/>
        <v>0</v>
      </c>
      <c r="F701" s="419">
        <f t="shared" si="103"/>
        <v>0</v>
      </c>
      <c r="G701" s="418"/>
      <c r="H701" s="84"/>
    </row>
    <row r="702" spans="1:8">
      <c r="A702" s="78" t="s">
        <v>155</v>
      </c>
      <c r="B702" s="127"/>
      <c r="C702" s="52"/>
      <c r="D702" s="419">
        <f t="shared" ref="D702:F702" si="104">C702/C$736*D$736</f>
        <v>0</v>
      </c>
      <c r="E702" s="419">
        <f t="shared" si="104"/>
        <v>0</v>
      </c>
      <c r="F702" s="419">
        <f t="shared" si="104"/>
        <v>0</v>
      </c>
      <c r="G702" s="418"/>
      <c r="H702" s="84"/>
    </row>
    <row r="703" spans="1:8">
      <c r="A703" s="78" t="s">
        <v>156</v>
      </c>
      <c r="B703" s="127"/>
      <c r="C703" s="52"/>
      <c r="D703" s="419">
        <f t="shared" ref="D703:F703" si="105">C703/C$736*D$736</f>
        <v>0</v>
      </c>
      <c r="E703" s="419">
        <f t="shared" si="105"/>
        <v>0</v>
      </c>
      <c r="F703" s="419">
        <f t="shared" si="105"/>
        <v>0</v>
      </c>
      <c r="G703" s="418"/>
      <c r="H703" s="84"/>
    </row>
    <row r="704" spans="1:8">
      <c r="A704" s="78" t="s">
        <v>156</v>
      </c>
      <c r="B704" s="109"/>
      <c r="C704" s="6"/>
      <c r="D704" s="419">
        <f t="shared" ref="D704:F704" si="106">C704/C$736*D$736</f>
        <v>0</v>
      </c>
      <c r="E704" s="419">
        <f t="shared" si="106"/>
        <v>0</v>
      </c>
      <c r="F704" s="419">
        <f t="shared" si="106"/>
        <v>0</v>
      </c>
      <c r="G704" s="418"/>
      <c r="H704" s="84"/>
    </row>
    <row r="705" spans="1:8">
      <c r="A705" s="78" t="s">
        <v>165</v>
      </c>
      <c r="B705" s="109">
        <v>46.89</v>
      </c>
      <c r="C705" s="6">
        <v>0</v>
      </c>
      <c r="D705" s="419">
        <f t="shared" ref="D705:F705" si="107">C705/C$736*D$736</f>
        <v>0</v>
      </c>
      <c r="E705" s="419">
        <f t="shared" si="107"/>
        <v>0</v>
      </c>
      <c r="F705" s="419">
        <f t="shared" si="107"/>
        <v>0</v>
      </c>
      <c r="G705" s="418"/>
      <c r="H705" s="84"/>
    </row>
    <row r="706" spans="1:8">
      <c r="A706" s="78" t="s">
        <v>210</v>
      </c>
      <c r="B706" s="109"/>
      <c r="C706" s="6"/>
      <c r="D706" s="419">
        <f t="shared" ref="D706:F706" si="108">C706/C$736*D$736</f>
        <v>0</v>
      </c>
      <c r="E706" s="419">
        <f t="shared" si="108"/>
        <v>0</v>
      </c>
      <c r="F706" s="419">
        <f t="shared" si="108"/>
        <v>0</v>
      </c>
      <c r="G706" s="418">
        <f t="shared" si="88"/>
        <v>0</v>
      </c>
      <c r="H706" s="84"/>
    </row>
    <row r="707" spans="1:8">
      <c r="A707" s="78" t="s">
        <v>191</v>
      </c>
      <c r="B707" s="109"/>
      <c r="C707" s="6"/>
      <c r="D707" s="419">
        <f t="shared" ref="D707:F707" si="109">C707/C$736*D$736</f>
        <v>0</v>
      </c>
      <c r="E707" s="419">
        <f t="shared" si="109"/>
        <v>0</v>
      </c>
      <c r="F707" s="419">
        <f t="shared" si="109"/>
        <v>0</v>
      </c>
      <c r="G707" s="418">
        <f t="shared" si="88"/>
        <v>0</v>
      </c>
      <c r="H707" s="84"/>
    </row>
    <row r="708" spans="1:8">
      <c r="A708" s="78" t="s">
        <v>157</v>
      </c>
      <c r="B708" s="109"/>
      <c r="C708" s="6"/>
      <c r="D708" s="419">
        <f t="shared" ref="D708:F708" si="110">C708/C$736*D$736</f>
        <v>0</v>
      </c>
      <c r="E708" s="419">
        <f t="shared" si="110"/>
        <v>0</v>
      </c>
      <c r="F708" s="419">
        <f t="shared" si="110"/>
        <v>0</v>
      </c>
      <c r="G708" s="418">
        <f t="shared" si="88"/>
        <v>0</v>
      </c>
      <c r="H708" s="84"/>
    </row>
    <row r="709" spans="1:8">
      <c r="A709" s="78" t="s">
        <v>166</v>
      </c>
      <c r="B709" s="109"/>
      <c r="C709" s="6"/>
      <c r="D709" s="419">
        <f t="shared" ref="D709:F709" si="111">C709/C$736*D$736</f>
        <v>0</v>
      </c>
      <c r="E709" s="419">
        <f t="shared" si="111"/>
        <v>0</v>
      </c>
      <c r="F709" s="419">
        <f t="shared" si="111"/>
        <v>0</v>
      </c>
      <c r="G709" s="418">
        <f t="shared" si="88"/>
        <v>0</v>
      </c>
      <c r="H709" s="84"/>
    </row>
    <row r="710" spans="1:8">
      <c r="A710" s="78" t="s">
        <v>120</v>
      </c>
      <c r="B710" s="109"/>
      <c r="C710" s="6"/>
      <c r="D710" s="419">
        <f t="shared" ref="D710:F710" si="112">C710/C$736*D$736</f>
        <v>0</v>
      </c>
      <c r="E710" s="419">
        <f t="shared" si="112"/>
        <v>0</v>
      </c>
      <c r="F710" s="419">
        <f t="shared" si="112"/>
        <v>0</v>
      </c>
      <c r="G710" s="418">
        <f t="shared" si="88"/>
        <v>0</v>
      </c>
      <c r="H710" s="84"/>
    </row>
    <row r="711" spans="1:8">
      <c r="A711" s="78" t="s">
        <v>192</v>
      </c>
      <c r="B711" s="109">
        <v>42.424999999999997</v>
      </c>
      <c r="C711" s="6">
        <v>11</v>
      </c>
      <c r="D711" s="419">
        <f t="shared" ref="D711:F711" si="113">C711/C$736*D$736</f>
        <v>339.1868131868132</v>
      </c>
      <c r="E711" s="419">
        <f t="shared" si="113"/>
        <v>9374.6109890109892</v>
      </c>
      <c r="F711" s="419">
        <f t="shared" si="113"/>
        <v>28.043956043956044</v>
      </c>
      <c r="G711" s="418">
        <f t="shared" si="88"/>
        <v>9741.8417582417569</v>
      </c>
      <c r="H711" s="84"/>
    </row>
    <row r="712" spans="1:8">
      <c r="A712" s="78" t="s">
        <v>193</v>
      </c>
      <c r="B712" s="109"/>
      <c r="C712" s="6"/>
      <c r="D712" s="419">
        <f t="shared" ref="D712:F712" si="114">C712/C$736*D$736</f>
        <v>0</v>
      </c>
      <c r="E712" s="419">
        <f t="shared" si="114"/>
        <v>0</v>
      </c>
      <c r="F712" s="419">
        <f t="shared" si="114"/>
        <v>0</v>
      </c>
      <c r="G712" s="418">
        <f t="shared" si="88"/>
        <v>0</v>
      </c>
      <c r="H712" s="84"/>
    </row>
    <row r="713" spans="1:8">
      <c r="A713" s="405" t="s">
        <v>158</v>
      </c>
      <c r="B713" s="271"/>
      <c r="C713" s="88">
        <v>21</v>
      </c>
      <c r="D713" s="419">
        <f t="shared" ref="D713:F713" si="115">C713/C$736*D$736</f>
        <v>647.53846153846155</v>
      </c>
      <c r="E713" s="419">
        <f t="shared" si="115"/>
        <v>17896.984615384616</v>
      </c>
      <c r="F713" s="419">
        <f t="shared" si="115"/>
        <v>53.53846153846154</v>
      </c>
      <c r="G713" s="417">
        <f t="shared" si="88"/>
        <v>18598.061538461538</v>
      </c>
      <c r="H713" s="84"/>
    </row>
    <row r="714" spans="1:8">
      <c r="A714" s="78" t="s">
        <v>159</v>
      </c>
      <c r="B714" s="109">
        <v>31.209</v>
      </c>
      <c r="C714" s="6">
        <v>10.5</v>
      </c>
      <c r="D714" s="419">
        <f t="shared" ref="D714:F714" si="116">C714/C$736*D$736</f>
        <v>323.76923076923077</v>
      </c>
      <c r="E714" s="419">
        <f t="shared" si="116"/>
        <v>8948.4923076923078</v>
      </c>
      <c r="F714" s="419">
        <f t="shared" si="116"/>
        <v>26.76923076923077</v>
      </c>
      <c r="G714" s="418">
        <f t="shared" si="88"/>
        <v>9299.0307692307688</v>
      </c>
      <c r="H714" s="84"/>
    </row>
    <row r="715" spans="1:8">
      <c r="A715" s="78" t="s">
        <v>160</v>
      </c>
      <c r="B715" s="109"/>
      <c r="C715" s="6"/>
      <c r="D715" s="419">
        <f t="shared" ref="D715:F715" si="117">C715/C$736*D$736</f>
        <v>0</v>
      </c>
      <c r="E715" s="419">
        <f t="shared" si="117"/>
        <v>0</v>
      </c>
      <c r="F715" s="419">
        <f t="shared" si="117"/>
        <v>0</v>
      </c>
      <c r="G715" s="418">
        <f t="shared" si="88"/>
        <v>0</v>
      </c>
      <c r="H715" s="84"/>
    </row>
    <row r="716" spans="1:8">
      <c r="A716" s="78" t="s">
        <v>174</v>
      </c>
      <c r="B716" s="109">
        <v>19.850999999999999</v>
      </c>
      <c r="C716" s="6">
        <v>5.5</v>
      </c>
      <c r="D716" s="419">
        <f t="shared" ref="D716:F716" si="118">C716/C$736*D$736</f>
        <v>169.5934065934066</v>
      </c>
      <c r="E716" s="419">
        <f t="shared" si="118"/>
        <v>4687.3054945054946</v>
      </c>
      <c r="F716" s="419">
        <f t="shared" si="118"/>
        <v>14.021978021978022</v>
      </c>
      <c r="G716" s="418">
        <f t="shared" si="88"/>
        <v>4870.9208791208785</v>
      </c>
      <c r="H716" s="84"/>
    </row>
    <row r="717" spans="1:8">
      <c r="A717" s="78" t="s">
        <v>161</v>
      </c>
      <c r="B717" s="109"/>
      <c r="C717" s="6"/>
      <c r="D717" s="419">
        <f t="shared" ref="D717:F717" si="119">C717/C$736*D$736</f>
        <v>0</v>
      </c>
      <c r="E717" s="419">
        <f t="shared" si="119"/>
        <v>0</v>
      </c>
      <c r="F717" s="419">
        <f t="shared" si="119"/>
        <v>0</v>
      </c>
      <c r="G717" s="418">
        <f t="shared" si="88"/>
        <v>0</v>
      </c>
      <c r="H717" s="84"/>
    </row>
    <row r="718" spans="1:8">
      <c r="A718" s="78" t="s">
        <v>162</v>
      </c>
      <c r="B718" s="109"/>
      <c r="C718" s="8"/>
      <c r="D718" s="419">
        <f t="shared" ref="D718:F718" si="120">C718/C$736*D$736</f>
        <v>0</v>
      </c>
      <c r="E718" s="419">
        <f t="shared" si="120"/>
        <v>0</v>
      </c>
      <c r="F718" s="419">
        <f t="shared" si="120"/>
        <v>0</v>
      </c>
      <c r="G718" s="418">
        <f t="shared" si="88"/>
        <v>0</v>
      </c>
      <c r="H718" s="84"/>
    </row>
    <row r="719" spans="1:8">
      <c r="A719" s="78" t="s">
        <v>194</v>
      </c>
      <c r="B719" s="109">
        <v>9.3580000000000005</v>
      </c>
      <c r="C719" s="8">
        <v>7</v>
      </c>
      <c r="D719" s="419">
        <f t="shared" ref="D719:F719" si="121">C719/C$736*D$736</f>
        <v>215.84615384615387</v>
      </c>
      <c r="E719" s="419">
        <f t="shared" si="121"/>
        <v>5965.6615384615388</v>
      </c>
      <c r="F719" s="419">
        <f t="shared" si="121"/>
        <v>17.846153846153847</v>
      </c>
      <c r="G719" s="418">
        <f t="shared" si="88"/>
        <v>6199.3538461538474</v>
      </c>
      <c r="H719" s="84"/>
    </row>
    <row r="720" spans="1:8">
      <c r="A720" s="78" t="s">
        <v>208</v>
      </c>
      <c r="B720" s="109"/>
      <c r="C720" s="8"/>
      <c r="D720" s="419">
        <f t="shared" ref="D720:F720" si="122">C720/C$736*D$736</f>
        <v>0</v>
      </c>
      <c r="E720" s="419">
        <f t="shared" si="122"/>
        <v>0</v>
      </c>
      <c r="F720" s="419">
        <f t="shared" si="122"/>
        <v>0</v>
      </c>
      <c r="G720" s="418">
        <f t="shared" si="88"/>
        <v>0</v>
      </c>
      <c r="H720" s="84"/>
    </row>
    <row r="721" spans="1:9">
      <c r="A721" s="78" t="s">
        <v>175</v>
      </c>
      <c r="B721" s="109"/>
      <c r="C721" s="8"/>
      <c r="D721" s="419">
        <f t="shared" ref="D721:F721" si="123">C721/C$736*D$736</f>
        <v>0</v>
      </c>
      <c r="E721" s="419">
        <f t="shared" si="123"/>
        <v>0</v>
      </c>
      <c r="F721" s="419">
        <f t="shared" si="123"/>
        <v>0</v>
      </c>
      <c r="G721" s="418">
        <f t="shared" si="88"/>
        <v>0</v>
      </c>
      <c r="H721" s="84"/>
    </row>
    <row r="722" spans="1:9">
      <c r="A722" s="78" t="s">
        <v>176</v>
      </c>
      <c r="B722" s="109">
        <v>125.315</v>
      </c>
      <c r="C722" s="8">
        <v>30.5</v>
      </c>
      <c r="D722" s="419">
        <f t="shared" ref="D722:F722" si="124">C722/C$736*D$736</f>
        <v>940.47252747252742</v>
      </c>
      <c r="E722" s="419">
        <f t="shared" si="124"/>
        <v>25993.239560439561</v>
      </c>
      <c r="F722" s="419">
        <f t="shared" si="124"/>
        <v>77.758241758241752</v>
      </c>
      <c r="G722" s="418">
        <f t="shared" si="88"/>
        <v>27011.47032967033</v>
      </c>
      <c r="H722" s="84"/>
    </row>
    <row r="723" spans="1:9">
      <c r="A723" s="78" t="s">
        <v>195</v>
      </c>
      <c r="B723" s="109">
        <v>16.957999999999998</v>
      </c>
      <c r="C723" s="8">
        <v>6.5</v>
      </c>
      <c r="D723" s="419">
        <f t="shared" ref="D723:F723" si="125">C723/C$736*D$736</f>
        <v>200.42857142857142</v>
      </c>
      <c r="E723" s="419">
        <f t="shared" si="125"/>
        <v>5539.5428571428565</v>
      </c>
      <c r="F723" s="419">
        <f t="shared" si="125"/>
        <v>16.571428571428569</v>
      </c>
      <c r="G723" s="418">
        <f t="shared" si="88"/>
        <v>5756.5428571428565</v>
      </c>
      <c r="H723" s="84"/>
    </row>
    <row r="724" spans="1:9">
      <c r="A724" s="78" t="s">
        <v>121</v>
      </c>
      <c r="B724" s="100"/>
      <c r="C724" s="8"/>
      <c r="D724" s="419">
        <f t="shared" ref="D724:F724" si="126">C724/C$736*D$736</f>
        <v>0</v>
      </c>
      <c r="E724" s="419">
        <f t="shared" si="126"/>
        <v>0</v>
      </c>
      <c r="F724" s="419">
        <f t="shared" si="126"/>
        <v>0</v>
      </c>
      <c r="G724" s="418">
        <f t="shared" si="88"/>
        <v>0</v>
      </c>
      <c r="H724" s="84"/>
    </row>
    <row r="725" spans="1:9">
      <c r="A725" s="78" t="s">
        <v>196</v>
      </c>
      <c r="B725" s="100"/>
      <c r="C725" s="8"/>
      <c r="D725" s="419">
        <f t="shared" ref="D725:F725" si="127">C725/C$736*D$736</f>
        <v>0</v>
      </c>
      <c r="E725" s="419">
        <f t="shared" si="127"/>
        <v>0</v>
      </c>
      <c r="F725" s="419">
        <f t="shared" si="127"/>
        <v>0</v>
      </c>
      <c r="G725" s="418">
        <f t="shared" si="88"/>
        <v>0</v>
      </c>
      <c r="H725" s="84"/>
    </row>
    <row r="726" spans="1:9">
      <c r="A726" s="78" t="s">
        <v>122</v>
      </c>
      <c r="B726" s="109"/>
      <c r="C726" s="8"/>
      <c r="D726" s="419">
        <f t="shared" ref="D726:F726" si="128">C726/C$736*D$736</f>
        <v>0</v>
      </c>
      <c r="E726" s="419">
        <f t="shared" si="128"/>
        <v>0</v>
      </c>
      <c r="F726" s="419">
        <f t="shared" si="128"/>
        <v>0</v>
      </c>
      <c r="G726" s="418">
        <f t="shared" si="88"/>
        <v>0</v>
      </c>
      <c r="H726" s="84"/>
    </row>
    <row r="727" spans="1:9">
      <c r="A727" s="78" t="s">
        <v>164</v>
      </c>
      <c r="B727" s="127"/>
      <c r="C727" s="52"/>
      <c r="D727" s="419">
        <f t="shared" ref="D727:F727" si="129">C727/C$736*D$736</f>
        <v>0</v>
      </c>
      <c r="E727" s="419">
        <f t="shared" si="129"/>
        <v>0</v>
      </c>
      <c r="F727" s="419">
        <f t="shared" si="129"/>
        <v>0</v>
      </c>
      <c r="G727" s="418">
        <f t="shared" si="88"/>
        <v>0</v>
      </c>
      <c r="H727" s="84"/>
    </row>
    <row r="728" spans="1:9">
      <c r="A728" s="78" t="s">
        <v>76</v>
      </c>
      <c r="B728" s="109"/>
      <c r="C728" s="8"/>
      <c r="D728" s="419">
        <f t="shared" ref="D728:F728" si="130">C728/C$736*D$736</f>
        <v>0</v>
      </c>
      <c r="E728" s="419">
        <f t="shared" si="130"/>
        <v>0</v>
      </c>
      <c r="F728" s="419">
        <f t="shared" si="130"/>
        <v>0</v>
      </c>
      <c r="G728" s="418">
        <f t="shared" si="88"/>
        <v>0</v>
      </c>
      <c r="H728" s="84"/>
    </row>
    <row r="729" spans="1:9">
      <c r="A729" s="78" t="s">
        <v>163</v>
      </c>
      <c r="B729" s="109"/>
      <c r="C729" s="8"/>
      <c r="D729" s="419">
        <f t="shared" ref="D729:F729" si="131">C729/C$736*D$736</f>
        <v>0</v>
      </c>
      <c r="E729" s="419">
        <f t="shared" si="131"/>
        <v>0</v>
      </c>
      <c r="F729" s="419">
        <f t="shared" si="131"/>
        <v>0</v>
      </c>
      <c r="G729" s="418">
        <f t="shared" si="88"/>
        <v>0</v>
      </c>
      <c r="H729" s="84"/>
    </row>
    <row r="730" spans="1:9">
      <c r="A730" s="78" t="s">
        <v>163</v>
      </c>
      <c r="B730" s="109"/>
      <c r="C730" s="8"/>
      <c r="D730" s="419">
        <f t="shared" ref="D730:F730" si="132">C730/C$736*D$736</f>
        <v>0</v>
      </c>
      <c r="E730" s="419">
        <f t="shared" si="132"/>
        <v>0</v>
      </c>
      <c r="F730" s="419">
        <f t="shared" si="132"/>
        <v>0</v>
      </c>
      <c r="G730" s="418">
        <f t="shared" si="88"/>
        <v>0</v>
      </c>
      <c r="H730" s="84"/>
    </row>
    <row r="731" spans="1:9">
      <c r="A731" s="78" t="s">
        <v>177</v>
      </c>
      <c r="B731" s="109">
        <v>256.36099999999999</v>
      </c>
      <c r="C731" s="8">
        <v>63</v>
      </c>
      <c r="D731" s="419">
        <f t="shared" ref="D731:F731" si="133">C731/C$736*D$736</f>
        <v>1942.6153846153848</v>
      </c>
      <c r="E731" s="419">
        <f t="shared" si="133"/>
        <v>53690.953846153847</v>
      </c>
      <c r="F731" s="419">
        <f t="shared" si="133"/>
        <v>160.61538461538461</v>
      </c>
      <c r="G731" s="418">
        <f t="shared" si="88"/>
        <v>55794.184615384613</v>
      </c>
      <c r="H731" s="84"/>
    </row>
    <row r="732" spans="1:9">
      <c r="A732" s="78" t="s">
        <v>209</v>
      </c>
      <c r="B732" s="109">
        <v>43.753</v>
      </c>
      <c r="C732" s="8">
        <v>0</v>
      </c>
      <c r="D732" s="418"/>
      <c r="E732" s="418"/>
      <c r="F732" s="418"/>
      <c r="G732" s="418"/>
      <c r="H732" s="254"/>
    </row>
    <row r="733" spans="1:9">
      <c r="A733" s="78" t="s">
        <v>178</v>
      </c>
      <c r="B733" s="127"/>
      <c r="C733" s="52"/>
      <c r="D733" s="447"/>
      <c r="E733" s="447"/>
      <c r="F733" s="447"/>
      <c r="G733" s="447"/>
      <c r="H733" s="84"/>
    </row>
    <row r="734" spans="1:9">
      <c r="A734" s="78" t="s">
        <v>42</v>
      </c>
      <c r="B734" s="127"/>
      <c r="C734" s="52"/>
      <c r="D734" s="447"/>
      <c r="E734" s="447"/>
      <c r="F734" s="447"/>
      <c r="G734" s="447"/>
      <c r="H734" s="84"/>
    </row>
    <row r="735" spans="1:9">
      <c r="A735" s="218" t="s">
        <v>315</v>
      </c>
      <c r="B735" s="127"/>
      <c r="C735" s="52"/>
      <c r="D735" s="418"/>
      <c r="E735" s="418"/>
      <c r="F735" s="418"/>
      <c r="G735" s="418"/>
      <c r="H735" s="261"/>
      <c r="I735" s="270"/>
    </row>
    <row r="736" spans="1:9">
      <c r="A736" s="10" t="s">
        <v>10</v>
      </c>
      <c r="B736" s="113"/>
      <c r="C736" s="10">
        <f>SUM(C682:C735)</f>
        <v>227.5</v>
      </c>
      <c r="D736" s="448">
        <v>7015</v>
      </c>
      <c r="E736" s="449">
        <f>131603+62281</f>
        <v>193884</v>
      </c>
      <c r="F736" s="449">
        <v>580</v>
      </c>
      <c r="G736" s="449">
        <f>SUM(D736:F736)</f>
        <v>201479</v>
      </c>
      <c r="H736" s="71">
        <f>F685+F689+F690+F711+F714+F716+F719+F722+F723+F731+F285+F301+F304+F331</f>
        <v>526.46153846153845</v>
      </c>
    </row>
    <row r="737" spans="1:8">
      <c r="A737" s="397"/>
      <c r="B737" s="122"/>
      <c r="C737" s="55"/>
      <c r="D737" s="22"/>
      <c r="E737" s="77" t="s">
        <v>70</v>
      </c>
      <c r="F737" s="41">
        <f>166827.34</f>
        <v>166827.34</v>
      </c>
      <c r="G737" s="67">
        <f>F737/F736</f>
        <v>287.6333448275862</v>
      </c>
      <c r="H737" s="71">
        <f>G737*H736</f>
        <v>151427.89323076923</v>
      </c>
    </row>
    <row r="738" spans="1:8">
      <c r="A738" s="102"/>
      <c r="B738" s="123"/>
      <c r="C738" s="66"/>
      <c r="D738" s="66"/>
      <c r="E738" s="77" t="s">
        <v>72</v>
      </c>
      <c r="F738" s="68">
        <f>33393.19+5470.09+88.02</f>
        <v>38951.299999999996</v>
      </c>
      <c r="G738" s="69">
        <f>F738/F736</f>
        <v>67.157413793103444</v>
      </c>
      <c r="H738" s="71">
        <f>G738*H736</f>
        <v>35355.795384615383</v>
      </c>
    </row>
    <row r="739" spans="1:8">
      <c r="A739" s="66"/>
      <c r="B739" s="123"/>
      <c r="C739" s="66"/>
      <c r="D739" s="66"/>
      <c r="E739" s="77" t="s">
        <v>71</v>
      </c>
      <c r="F739" s="68">
        <f>512.82+1452.99+7264.96+40569.41</f>
        <v>49800.180000000008</v>
      </c>
      <c r="G739" s="69">
        <f>F739/F736</f>
        <v>85.862379310344835</v>
      </c>
      <c r="H739" s="71">
        <f>G739*H736</f>
        <v>45203.240307692307</v>
      </c>
    </row>
    <row r="740" spans="1:8">
      <c r="A740" s="66"/>
      <c r="B740" s="123"/>
      <c r="C740" s="66"/>
      <c r="D740" s="66"/>
      <c r="E740" s="77"/>
      <c r="F740" s="68"/>
      <c r="G740" s="69"/>
      <c r="H740" s="71"/>
    </row>
    <row r="741" spans="1:8">
      <c r="A741" s="454" t="s">
        <v>394</v>
      </c>
      <c r="B741" s="455"/>
      <c r="C741" s="455"/>
      <c r="D741" s="455"/>
      <c r="E741" s="455"/>
      <c r="F741" s="455"/>
      <c r="G741" s="456"/>
      <c r="H741" s="84"/>
    </row>
    <row r="742" spans="1:8">
      <c r="A742" s="5" t="s">
        <v>4</v>
      </c>
      <c r="B742" s="115" t="s">
        <v>45</v>
      </c>
      <c r="C742" s="50" t="s">
        <v>46</v>
      </c>
      <c r="D742" s="6" t="s">
        <v>47</v>
      </c>
      <c r="E742" s="6" t="s">
        <v>48</v>
      </c>
      <c r="F742" s="6" t="s">
        <v>49</v>
      </c>
      <c r="G742" s="6" t="s">
        <v>50</v>
      </c>
      <c r="H742" s="84"/>
    </row>
    <row r="743" spans="1:8">
      <c r="A743" s="9" t="s">
        <v>60</v>
      </c>
      <c r="B743" s="109"/>
      <c r="C743" s="52"/>
      <c r="D743" s="7"/>
      <c r="E743" s="7"/>
      <c r="F743" s="7"/>
      <c r="G743" s="7"/>
      <c r="H743" s="84"/>
    </row>
    <row r="744" spans="1:8">
      <c r="A744" s="9" t="s">
        <v>151</v>
      </c>
      <c r="B744" s="109"/>
      <c r="C744" s="52"/>
      <c r="D744" s="7"/>
      <c r="E744" s="7"/>
      <c r="F744" s="7"/>
      <c r="G744" s="7"/>
      <c r="H744" s="84"/>
    </row>
    <row r="745" spans="1:8">
      <c r="A745" s="9" t="s">
        <v>123</v>
      </c>
      <c r="B745" s="109"/>
      <c r="C745" s="52"/>
      <c r="D745" s="7"/>
      <c r="E745" s="7"/>
      <c r="F745" s="7"/>
      <c r="G745" s="7"/>
      <c r="H745" s="84"/>
    </row>
    <row r="746" spans="1:8">
      <c r="A746" s="9" t="s">
        <v>138</v>
      </c>
      <c r="B746" s="109"/>
      <c r="C746" s="52"/>
      <c r="D746" s="7"/>
      <c r="E746" s="7"/>
      <c r="F746" s="7"/>
      <c r="G746" s="7"/>
      <c r="H746" s="84"/>
    </row>
    <row r="747" spans="1:8">
      <c r="A747" s="9" t="s">
        <v>197</v>
      </c>
      <c r="B747" s="109"/>
      <c r="C747" s="52"/>
      <c r="D747" s="7"/>
      <c r="E747" s="7"/>
      <c r="F747" s="7"/>
      <c r="G747" s="7"/>
      <c r="H747" s="84"/>
    </row>
    <row r="748" spans="1:8">
      <c r="A748" s="9" t="s">
        <v>61</v>
      </c>
      <c r="B748" s="109">
        <v>31.74</v>
      </c>
      <c r="C748" s="52">
        <v>11</v>
      </c>
      <c r="D748" s="419">
        <f>C748/C$797*D$797</f>
        <v>211.82978723404256</v>
      </c>
      <c r="E748" s="419">
        <f t="shared" ref="E748:F748" si="134">D748/D$797*E$797</f>
        <v>9869.3191489361707</v>
      </c>
      <c r="F748" s="419">
        <f t="shared" si="134"/>
        <v>20.425531914893618</v>
      </c>
      <c r="G748" s="7">
        <f>SUM(D748:F748)</f>
        <v>10101.574468085108</v>
      </c>
      <c r="H748" s="84"/>
    </row>
    <row r="749" spans="1:8">
      <c r="A749" s="9" t="s">
        <v>124</v>
      </c>
      <c r="B749" s="109"/>
      <c r="C749" s="52"/>
      <c r="D749" s="419">
        <f t="shared" ref="D749:F749" si="135">C749/C$797*D$797</f>
        <v>0</v>
      </c>
      <c r="E749" s="419">
        <f t="shared" si="135"/>
        <v>0</v>
      </c>
      <c r="F749" s="419">
        <f t="shared" si="135"/>
        <v>0</v>
      </c>
      <c r="G749" s="7">
        <f t="shared" ref="G749:G783" si="136">SUM(D749:F749)</f>
        <v>0</v>
      </c>
      <c r="H749" s="84"/>
    </row>
    <row r="750" spans="1:8">
      <c r="A750" s="9" t="s">
        <v>124</v>
      </c>
      <c r="B750" s="109"/>
      <c r="C750" s="52"/>
      <c r="D750" s="419">
        <f t="shared" ref="D750:F750" si="137">C750/C$797*D$797</f>
        <v>0</v>
      </c>
      <c r="E750" s="419">
        <f t="shared" si="137"/>
        <v>0</v>
      </c>
      <c r="F750" s="419">
        <f t="shared" si="137"/>
        <v>0</v>
      </c>
      <c r="G750" s="7">
        <f t="shared" si="136"/>
        <v>0</v>
      </c>
      <c r="H750" s="84"/>
    </row>
    <row r="751" spans="1:8">
      <c r="A751" s="9" t="s">
        <v>139</v>
      </c>
      <c r="B751" s="109"/>
      <c r="C751" s="52"/>
      <c r="D751" s="419">
        <f t="shared" ref="D751:F751" si="138">C751/C$797*D$797</f>
        <v>0</v>
      </c>
      <c r="E751" s="419">
        <f t="shared" si="138"/>
        <v>0</v>
      </c>
      <c r="F751" s="419">
        <f t="shared" si="138"/>
        <v>0</v>
      </c>
      <c r="G751" s="7">
        <f t="shared" si="136"/>
        <v>0</v>
      </c>
      <c r="H751" s="84"/>
    </row>
    <row r="752" spans="1:8">
      <c r="A752" s="9" t="s">
        <v>171</v>
      </c>
      <c r="B752" s="109">
        <v>46.015000000000001</v>
      </c>
      <c r="C752" s="52">
        <v>10.5</v>
      </c>
      <c r="D752" s="419">
        <f t="shared" ref="D752:F752" si="139">C752/C$797*D$797</f>
        <v>202.20116054158606</v>
      </c>
      <c r="E752" s="419">
        <f t="shared" si="139"/>
        <v>9420.713733075434</v>
      </c>
      <c r="F752" s="419">
        <f t="shared" si="139"/>
        <v>19.497098646034814</v>
      </c>
      <c r="G752" s="7">
        <f t="shared" si="136"/>
        <v>9642.4119922630543</v>
      </c>
      <c r="H752" s="84"/>
    </row>
    <row r="753" spans="1:8">
      <c r="A753" s="9" t="s">
        <v>184</v>
      </c>
      <c r="B753" s="109"/>
      <c r="C753" s="52"/>
      <c r="D753" s="419">
        <f t="shared" ref="D753:F753" si="140">C753/C$797*D$797</f>
        <v>0</v>
      </c>
      <c r="E753" s="419">
        <f t="shared" si="140"/>
        <v>0</v>
      </c>
      <c r="F753" s="419">
        <f t="shared" si="140"/>
        <v>0</v>
      </c>
      <c r="G753" s="7">
        <f t="shared" si="136"/>
        <v>0</v>
      </c>
      <c r="H753" s="84"/>
    </row>
    <row r="754" spans="1:8">
      <c r="A754" s="9" t="s">
        <v>125</v>
      </c>
      <c r="B754" s="109"/>
      <c r="C754" s="52"/>
      <c r="D754" s="419">
        <f t="shared" ref="D754:F754" si="141">C754/C$797*D$797</f>
        <v>0</v>
      </c>
      <c r="E754" s="419">
        <f t="shared" si="141"/>
        <v>0</v>
      </c>
      <c r="F754" s="419">
        <f t="shared" si="141"/>
        <v>0</v>
      </c>
      <c r="G754" s="7">
        <f t="shared" si="136"/>
        <v>0</v>
      </c>
      <c r="H754" s="84"/>
    </row>
    <row r="755" spans="1:8">
      <c r="A755" s="9" t="s">
        <v>140</v>
      </c>
      <c r="B755" s="109"/>
      <c r="C755" s="52"/>
      <c r="D755" s="419">
        <f t="shared" ref="D755:F755" si="142">C755/C$797*D$797</f>
        <v>0</v>
      </c>
      <c r="E755" s="419">
        <f t="shared" si="142"/>
        <v>0</v>
      </c>
      <c r="F755" s="419">
        <f t="shared" si="142"/>
        <v>0</v>
      </c>
      <c r="G755" s="7">
        <f t="shared" si="136"/>
        <v>0</v>
      </c>
      <c r="H755" s="84"/>
    </row>
    <row r="756" spans="1:8">
      <c r="A756" s="9" t="s">
        <v>141</v>
      </c>
      <c r="B756" s="109"/>
      <c r="C756" s="52"/>
      <c r="D756" s="419">
        <f t="shared" ref="D756:F756" si="143">C756/C$797*D$797</f>
        <v>0</v>
      </c>
      <c r="E756" s="419">
        <f t="shared" si="143"/>
        <v>0</v>
      </c>
      <c r="F756" s="419">
        <f t="shared" si="143"/>
        <v>0</v>
      </c>
      <c r="G756" s="7">
        <f t="shared" si="136"/>
        <v>0</v>
      </c>
      <c r="H756" s="84"/>
    </row>
    <row r="757" spans="1:8">
      <c r="A757" s="9" t="s">
        <v>211</v>
      </c>
      <c r="B757" s="109">
        <v>13.807600000000001</v>
      </c>
      <c r="C757" s="52">
        <v>0</v>
      </c>
      <c r="D757" s="419">
        <f t="shared" ref="D757:F757" si="144">C757/C$797*D$797</f>
        <v>0</v>
      </c>
      <c r="E757" s="419">
        <f t="shared" si="144"/>
        <v>0</v>
      </c>
      <c r="F757" s="419">
        <f t="shared" si="144"/>
        <v>0</v>
      </c>
      <c r="G757" s="7"/>
      <c r="H757" s="84"/>
    </row>
    <row r="758" spans="1:8">
      <c r="A758" s="9" t="s">
        <v>142</v>
      </c>
      <c r="B758" s="127"/>
      <c r="C758" s="8"/>
      <c r="D758" s="419">
        <f t="shared" ref="D758:F758" si="145">C758/C$797*D$797</f>
        <v>0</v>
      </c>
      <c r="E758" s="419">
        <f t="shared" si="145"/>
        <v>0</v>
      </c>
      <c r="F758" s="419">
        <f t="shared" si="145"/>
        <v>0</v>
      </c>
      <c r="G758" s="7">
        <f t="shared" si="136"/>
        <v>0</v>
      </c>
      <c r="H758" s="84"/>
    </row>
    <row r="759" spans="1:8">
      <c r="A759" s="9" t="s">
        <v>126</v>
      </c>
      <c r="B759" s="109"/>
      <c r="C759" s="52"/>
      <c r="D759" s="419">
        <f t="shared" ref="D759:F759" si="146">C759/C$797*D$797</f>
        <v>0</v>
      </c>
      <c r="E759" s="419">
        <f t="shared" si="146"/>
        <v>0</v>
      </c>
      <c r="F759" s="419">
        <f t="shared" si="146"/>
        <v>0</v>
      </c>
      <c r="G759" s="7">
        <f t="shared" si="136"/>
        <v>0</v>
      </c>
      <c r="H759" s="84"/>
    </row>
    <row r="760" spans="1:8">
      <c r="A760" s="9" t="s">
        <v>172</v>
      </c>
      <c r="B760" s="109"/>
      <c r="C760" s="52"/>
      <c r="D760" s="419">
        <f t="shared" ref="D760:F760" si="147">C760/C$797*D$797</f>
        <v>0</v>
      </c>
      <c r="E760" s="419">
        <f t="shared" si="147"/>
        <v>0</v>
      </c>
      <c r="F760" s="419">
        <f t="shared" si="147"/>
        <v>0</v>
      </c>
      <c r="G760" s="7">
        <f t="shared" si="136"/>
        <v>0</v>
      </c>
      <c r="H760" s="84"/>
    </row>
    <row r="761" spans="1:8">
      <c r="A761" s="9" t="s">
        <v>127</v>
      </c>
      <c r="B761" s="109">
        <v>394.76</v>
      </c>
      <c r="C761" s="52">
        <v>92</v>
      </c>
      <c r="D761" s="419">
        <f t="shared" ref="D761:F761" si="148">C761/C$797*D$797</f>
        <v>1771.6673114119924</v>
      </c>
      <c r="E761" s="419">
        <f t="shared" si="148"/>
        <v>82543.396518375244</v>
      </c>
      <c r="F761" s="419">
        <f t="shared" si="148"/>
        <v>170.83172147001935</v>
      </c>
      <c r="G761" s="7">
        <f t="shared" si="136"/>
        <v>84485.895551257257</v>
      </c>
      <c r="H761" s="84"/>
    </row>
    <row r="762" spans="1:8">
      <c r="A762" s="96" t="s">
        <v>127</v>
      </c>
      <c r="B762" s="271"/>
      <c r="C762" s="272">
        <v>10.5</v>
      </c>
      <c r="D762" s="419">
        <f t="shared" ref="D762:F762" si="149">C762/C$797*D$797</f>
        <v>202.20116054158606</v>
      </c>
      <c r="E762" s="419">
        <f t="shared" si="149"/>
        <v>9420.713733075434</v>
      </c>
      <c r="F762" s="419">
        <f t="shared" si="149"/>
        <v>19.497098646034814</v>
      </c>
      <c r="G762" s="269">
        <f t="shared" si="136"/>
        <v>9642.4119922630543</v>
      </c>
      <c r="H762" s="84"/>
    </row>
    <row r="763" spans="1:8">
      <c r="A763" s="9" t="s">
        <v>212</v>
      </c>
      <c r="B763" s="109"/>
      <c r="C763" s="52"/>
      <c r="D763" s="419">
        <f t="shared" ref="D763:F763" si="150">C763/C$797*D$797</f>
        <v>0</v>
      </c>
      <c r="E763" s="419">
        <f t="shared" si="150"/>
        <v>0</v>
      </c>
      <c r="F763" s="419">
        <f t="shared" si="150"/>
        <v>0</v>
      </c>
      <c r="G763" s="7">
        <f t="shared" si="136"/>
        <v>0</v>
      </c>
      <c r="H763" s="84"/>
    </row>
    <row r="764" spans="1:8">
      <c r="A764" s="9" t="s">
        <v>143</v>
      </c>
      <c r="B764" s="127"/>
      <c r="C764" s="8"/>
      <c r="D764" s="419">
        <f t="shared" ref="D764:F764" si="151">C764/C$797*D$797</f>
        <v>0</v>
      </c>
      <c r="E764" s="419">
        <f t="shared" si="151"/>
        <v>0</v>
      </c>
      <c r="F764" s="419">
        <f t="shared" si="151"/>
        <v>0</v>
      </c>
      <c r="G764" s="7">
        <f t="shared" si="136"/>
        <v>0</v>
      </c>
      <c r="H764" s="84"/>
    </row>
    <row r="765" spans="1:8">
      <c r="A765" s="9" t="s">
        <v>62</v>
      </c>
      <c r="B765" s="109"/>
      <c r="C765" s="52"/>
      <c r="D765" s="419">
        <f t="shared" ref="D765:F765" si="152">C765/C$797*D$797</f>
        <v>0</v>
      </c>
      <c r="E765" s="419">
        <f t="shared" si="152"/>
        <v>0</v>
      </c>
      <c r="F765" s="419">
        <f t="shared" si="152"/>
        <v>0</v>
      </c>
      <c r="G765" s="7">
        <f t="shared" si="136"/>
        <v>0</v>
      </c>
      <c r="H765" s="84"/>
    </row>
    <row r="766" spans="1:8">
      <c r="A766" s="9" t="s">
        <v>185</v>
      </c>
      <c r="B766" s="109"/>
      <c r="C766" s="52"/>
      <c r="D766" s="419">
        <f t="shared" ref="D766:F766" si="153">C766/C$797*D$797</f>
        <v>0</v>
      </c>
      <c r="E766" s="419">
        <f t="shared" si="153"/>
        <v>0</v>
      </c>
      <c r="F766" s="419">
        <f t="shared" si="153"/>
        <v>0</v>
      </c>
      <c r="G766" s="7">
        <f t="shared" si="136"/>
        <v>0</v>
      </c>
      <c r="H766" s="84"/>
    </row>
    <row r="767" spans="1:8">
      <c r="A767" s="9" t="s">
        <v>128</v>
      </c>
      <c r="B767" s="109">
        <v>45.798000000000002</v>
      </c>
      <c r="C767" s="52">
        <v>10.5</v>
      </c>
      <c r="D767" s="419">
        <f t="shared" ref="D767:F767" si="154">C767/C$797*D$797</f>
        <v>202.20116054158606</v>
      </c>
      <c r="E767" s="419">
        <f t="shared" si="154"/>
        <v>9420.713733075434</v>
      </c>
      <c r="F767" s="419">
        <f t="shared" si="154"/>
        <v>19.497098646034814</v>
      </c>
      <c r="G767" s="7">
        <f t="shared" si="136"/>
        <v>9642.4119922630543</v>
      </c>
      <c r="H767" s="84"/>
    </row>
    <row r="768" spans="1:8">
      <c r="A768" s="9" t="s">
        <v>128</v>
      </c>
      <c r="B768" s="109"/>
      <c r="C768" s="52"/>
      <c r="D768" s="419">
        <f t="shared" ref="D768:F768" si="155">C768/C$797*D$797</f>
        <v>0</v>
      </c>
      <c r="E768" s="419">
        <f t="shared" si="155"/>
        <v>0</v>
      </c>
      <c r="F768" s="419">
        <f t="shared" si="155"/>
        <v>0</v>
      </c>
      <c r="G768" s="7">
        <f t="shared" si="136"/>
        <v>0</v>
      </c>
      <c r="H768" s="84"/>
    </row>
    <row r="769" spans="1:8">
      <c r="A769" s="9" t="s">
        <v>144</v>
      </c>
      <c r="B769" s="109"/>
      <c r="C769" s="52"/>
      <c r="D769" s="419">
        <f t="shared" ref="D769:F769" si="156">C769/C$797*D$797</f>
        <v>0</v>
      </c>
      <c r="E769" s="419">
        <f t="shared" si="156"/>
        <v>0</v>
      </c>
      <c r="F769" s="419">
        <f t="shared" si="156"/>
        <v>0</v>
      </c>
      <c r="G769" s="7">
        <f t="shared" si="136"/>
        <v>0</v>
      </c>
      <c r="H769" s="84"/>
    </row>
    <row r="770" spans="1:8">
      <c r="A770" s="9" t="s">
        <v>145</v>
      </c>
      <c r="B770" s="127"/>
      <c r="C770" s="8"/>
      <c r="D770" s="419">
        <f t="shared" ref="D770:F770" si="157">C770/C$797*D$797</f>
        <v>0</v>
      </c>
      <c r="E770" s="419">
        <f t="shared" si="157"/>
        <v>0</v>
      </c>
      <c r="F770" s="419">
        <f t="shared" si="157"/>
        <v>0</v>
      </c>
      <c r="G770" s="7">
        <f t="shared" si="136"/>
        <v>0</v>
      </c>
      <c r="H770" s="84"/>
    </row>
    <row r="771" spans="1:8">
      <c r="A771" s="9" t="s">
        <v>129</v>
      </c>
      <c r="B771" s="109"/>
      <c r="C771" s="52"/>
      <c r="D771" s="419">
        <f t="shared" ref="D771:F771" si="158">C771/C$797*D$797</f>
        <v>0</v>
      </c>
      <c r="E771" s="419">
        <f t="shared" si="158"/>
        <v>0</v>
      </c>
      <c r="F771" s="419">
        <f t="shared" si="158"/>
        <v>0</v>
      </c>
      <c r="G771" s="7">
        <f t="shared" si="136"/>
        <v>0</v>
      </c>
      <c r="H771" s="84"/>
    </row>
    <row r="772" spans="1:8">
      <c r="A772" s="9" t="s">
        <v>130</v>
      </c>
      <c r="B772" s="109"/>
      <c r="C772" s="52"/>
      <c r="D772" s="419">
        <f t="shared" ref="D772:F772" si="159">C772/C$797*D$797</f>
        <v>0</v>
      </c>
      <c r="E772" s="419">
        <f t="shared" si="159"/>
        <v>0</v>
      </c>
      <c r="F772" s="419">
        <f t="shared" si="159"/>
        <v>0</v>
      </c>
      <c r="G772" s="7">
        <f t="shared" si="136"/>
        <v>0</v>
      </c>
      <c r="H772" s="84"/>
    </row>
    <row r="773" spans="1:8">
      <c r="A773" s="9" t="s">
        <v>198</v>
      </c>
      <c r="B773" s="109">
        <v>31.623000000000001</v>
      </c>
      <c r="C773" s="52">
        <v>12</v>
      </c>
      <c r="D773" s="419">
        <f t="shared" ref="D773:F773" si="160">C773/C$797*D$797</f>
        <v>231.08704061895551</v>
      </c>
      <c r="E773" s="419">
        <f t="shared" si="160"/>
        <v>10766.52998065764</v>
      </c>
      <c r="F773" s="419">
        <f t="shared" si="160"/>
        <v>22.282398452611218</v>
      </c>
      <c r="G773" s="7">
        <f t="shared" si="136"/>
        <v>11019.899419729207</v>
      </c>
      <c r="H773" s="84"/>
    </row>
    <row r="774" spans="1:8">
      <c r="A774" s="9" t="s">
        <v>63</v>
      </c>
      <c r="B774" s="109">
        <v>19.785399999999999</v>
      </c>
      <c r="C774" s="52">
        <v>0</v>
      </c>
      <c r="D774" s="419">
        <f t="shared" ref="D774:F774" si="161">C774/C$797*D$797</f>
        <v>0</v>
      </c>
      <c r="E774" s="419">
        <f t="shared" si="161"/>
        <v>0</v>
      </c>
      <c r="F774" s="419">
        <f t="shared" si="161"/>
        <v>0</v>
      </c>
      <c r="G774" s="7"/>
      <c r="H774" s="84"/>
    </row>
    <row r="775" spans="1:8">
      <c r="A775" s="9" t="s">
        <v>63</v>
      </c>
      <c r="B775" s="109"/>
      <c r="C775" s="52"/>
      <c r="D775" s="419">
        <f t="shared" ref="D775:F775" si="162">C775/C$797*D$797</f>
        <v>0</v>
      </c>
      <c r="E775" s="419">
        <f t="shared" si="162"/>
        <v>0</v>
      </c>
      <c r="F775" s="419">
        <f t="shared" si="162"/>
        <v>0</v>
      </c>
      <c r="G775" s="7">
        <f t="shared" si="136"/>
        <v>0</v>
      </c>
      <c r="H775" s="84"/>
    </row>
    <row r="776" spans="1:8">
      <c r="A776" s="9" t="s">
        <v>131</v>
      </c>
      <c r="B776" s="109">
        <v>138.40799999999999</v>
      </c>
      <c r="C776" s="52">
        <v>31</v>
      </c>
      <c r="D776" s="419">
        <f t="shared" ref="D776:F776" si="163">C776/C$797*D$797</f>
        <v>596.9748549323017</v>
      </c>
      <c r="E776" s="419">
        <f t="shared" si="163"/>
        <v>27813.535783365569</v>
      </c>
      <c r="F776" s="419">
        <f t="shared" si="163"/>
        <v>57.562862669245646</v>
      </c>
      <c r="G776" s="7">
        <f t="shared" si="136"/>
        <v>28468.073500967115</v>
      </c>
      <c r="H776" s="84"/>
    </row>
    <row r="777" spans="1:8">
      <c r="A777" s="96" t="s">
        <v>131</v>
      </c>
      <c r="B777" s="271"/>
      <c r="C777" s="272">
        <v>11</v>
      </c>
      <c r="D777" s="419">
        <f t="shared" ref="D777:F777" si="164">C777/C$797*D$797</f>
        <v>211.82978723404256</v>
      </c>
      <c r="E777" s="419">
        <f t="shared" si="164"/>
        <v>9869.3191489361707</v>
      </c>
      <c r="F777" s="419">
        <f t="shared" si="164"/>
        <v>20.425531914893618</v>
      </c>
      <c r="G777" s="269">
        <f t="shared" si="136"/>
        <v>10101.574468085108</v>
      </c>
      <c r="H777" s="84"/>
    </row>
    <row r="778" spans="1:8">
      <c r="A778" s="9" t="s">
        <v>213</v>
      </c>
      <c r="B778" s="109"/>
      <c r="C778" s="52"/>
      <c r="D778" s="419">
        <f t="shared" ref="D778:F778" si="165">C778/C$797*D$797</f>
        <v>0</v>
      </c>
      <c r="E778" s="419">
        <f t="shared" si="165"/>
        <v>0</v>
      </c>
      <c r="F778" s="419">
        <f t="shared" si="165"/>
        <v>0</v>
      </c>
      <c r="G778" s="7">
        <f t="shared" si="136"/>
        <v>0</v>
      </c>
      <c r="H778" s="84"/>
    </row>
    <row r="779" spans="1:8">
      <c r="A779" s="9" t="s">
        <v>132</v>
      </c>
      <c r="B779" s="109">
        <v>94.2</v>
      </c>
      <c r="C779" s="52">
        <v>20.5</v>
      </c>
      <c r="D779" s="419">
        <f t="shared" ref="D779:F779" si="166">C779/C$797*D$797</f>
        <v>394.77369439071566</v>
      </c>
      <c r="E779" s="419">
        <f t="shared" si="166"/>
        <v>18392.822050290135</v>
      </c>
      <c r="F779" s="419">
        <f t="shared" si="166"/>
        <v>38.065764023210832</v>
      </c>
      <c r="G779" s="7">
        <f t="shared" si="136"/>
        <v>18825.661508704059</v>
      </c>
      <c r="H779" s="84"/>
    </row>
    <row r="780" spans="1:8">
      <c r="A780" s="9" t="s">
        <v>132</v>
      </c>
      <c r="B780" s="109"/>
      <c r="C780" s="52"/>
      <c r="D780" s="419">
        <f t="shared" ref="D780:F780" si="167">C780/C$797*D$797</f>
        <v>0</v>
      </c>
      <c r="E780" s="419">
        <f t="shared" si="167"/>
        <v>0</v>
      </c>
      <c r="F780" s="419">
        <f t="shared" si="167"/>
        <v>0</v>
      </c>
      <c r="G780" s="7">
        <f t="shared" si="136"/>
        <v>0</v>
      </c>
      <c r="H780" s="84"/>
    </row>
    <row r="781" spans="1:8">
      <c r="A781" s="9" t="s">
        <v>134</v>
      </c>
      <c r="B781" s="109">
        <v>30.434000000000001</v>
      </c>
      <c r="C781" s="52">
        <v>7</v>
      </c>
      <c r="D781" s="419">
        <f t="shared" ref="D781:F781" si="168">C781/C$797*D$797</f>
        <v>134.80077369439073</v>
      </c>
      <c r="E781" s="419">
        <f t="shared" si="168"/>
        <v>6280.4758220502908</v>
      </c>
      <c r="F781" s="419">
        <f t="shared" si="168"/>
        <v>12.998065764023213</v>
      </c>
      <c r="G781" s="7">
        <f t="shared" si="136"/>
        <v>6428.2746615087053</v>
      </c>
      <c r="H781" s="84"/>
    </row>
    <row r="782" spans="1:8">
      <c r="A782" s="96" t="s">
        <v>134</v>
      </c>
      <c r="B782" s="271"/>
      <c r="C782" s="272">
        <v>10.5</v>
      </c>
      <c r="D782" s="419">
        <f t="shared" ref="D782:F782" si="169">C782/C$797*D$797</f>
        <v>202.20116054158606</v>
      </c>
      <c r="E782" s="419">
        <f t="shared" si="169"/>
        <v>9420.713733075434</v>
      </c>
      <c r="F782" s="419">
        <f t="shared" si="169"/>
        <v>19.497098646034814</v>
      </c>
      <c r="G782" s="269">
        <f t="shared" si="136"/>
        <v>9642.4119922630543</v>
      </c>
      <c r="H782" s="84"/>
    </row>
    <row r="783" spans="1:8">
      <c r="A783" s="9" t="s">
        <v>64</v>
      </c>
      <c r="B783" s="109">
        <v>141.97300000000001</v>
      </c>
      <c r="C783" s="52">
        <v>18</v>
      </c>
      <c r="D783" s="419">
        <f t="shared" ref="D783:F783" si="170">C783/C$797*D$797</f>
        <v>346.63056092843328</v>
      </c>
      <c r="E783" s="419">
        <f t="shared" si="170"/>
        <v>16149.794970986461</v>
      </c>
      <c r="F783" s="419">
        <f t="shared" si="170"/>
        <v>33.423597678916828</v>
      </c>
      <c r="G783" s="7">
        <f t="shared" si="136"/>
        <v>16529.849129593811</v>
      </c>
      <c r="H783" s="84"/>
    </row>
    <row r="784" spans="1:8">
      <c r="A784" s="9" t="s">
        <v>64</v>
      </c>
      <c r="B784" s="109"/>
      <c r="C784" s="52"/>
      <c r="D784" s="419">
        <f t="shared" ref="D784:F784" si="171">C784/C$797*D$797</f>
        <v>0</v>
      </c>
      <c r="E784" s="419">
        <f t="shared" si="171"/>
        <v>0</v>
      </c>
      <c r="F784" s="419">
        <f t="shared" si="171"/>
        <v>0</v>
      </c>
      <c r="G784" s="7"/>
      <c r="H784" s="84"/>
    </row>
    <row r="785" spans="1:9" ht="38.4">
      <c r="A785" s="96" t="s">
        <v>65</v>
      </c>
      <c r="B785" s="271"/>
      <c r="C785" s="272">
        <v>11</v>
      </c>
      <c r="D785" s="419">
        <f t="shared" ref="D785:F785" si="172">C785/C$797*D$797</f>
        <v>211.82978723404256</v>
      </c>
      <c r="E785" s="419">
        <f t="shared" si="172"/>
        <v>9869.3191489361707</v>
      </c>
      <c r="F785" s="419">
        <f t="shared" si="172"/>
        <v>20.425531914893618</v>
      </c>
      <c r="G785" s="269">
        <f>SUM(D785:F785)</f>
        <v>10101.574468085108</v>
      </c>
      <c r="H785" s="436" t="s">
        <v>429</v>
      </c>
    </row>
    <row r="786" spans="1:9">
      <c r="A786" s="9" t="s">
        <v>65</v>
      </c>
      <c r="B786" s="109"/>
      <c r="C786" s="52"/>
      <c r="D786" s="419">
        <f t="shared" ref="D786:F786" si="173">C786/C$797*D$797</f>
        <v>0</v>
      </c>
      <c r="E786" s="419">
        <f t="shared" si="173"/>
        <v>0</v>
      </c>
      <c r="F786" s="419">
        <f t="shared" si="173"/>
        <v>0</v>
      </c>
      <c r="G786" s="7"/>
      <c r="H786" s="84"/>
    </row>
    <row r="787" spans="1:9">
      <c r="A787" s="96" t="s">
        <v>133</v>
      </c>
      <c r="B787" s="271"/>
      <c r="C787" s="272">
        <v>3</v>
      </c>
      <c r="D787" s="419">
        <f t="shared" ref="D787:F787" si="174">C787/C$797*D$797</f>
        <v>57.771760154738878</v>
      </c>
      <c r="E787" s="419">
        <f t="shared" si="174"/>
        <v>2691.6324951644101</v>
      </c>
      <c r="F787" s="419">
        <f t="shared" si="174"/>
        <v>5.5705996131528046</v>
      </c>
      <c r="G787" s="269">
        <f>SUM(D787:F787)</f>
        <v>2754.9748549323017</v>
      </c>
      <c r="H787" s="84"/>
    </row>
    <row r="788" spans="1:9">
      <c r="A788" s="9" t="s">
        <v>214</v>
      </c>
      <c r="B788" s="109"/>
      <c r="C788" s="52"/>
      <c r="D788" s="7"/>
      <c r="E788" s="7"/>
      <c r="F788" s="7"/>
      <c r="G788" s="7"/>
      <c r="H788" s="254"/>
    </row>
    <row r="789" spans="1:9">
      <c r="A789" s="9" t="s">
        <v>146</v>
      </c>
      <c r="B789" s="127"/>
      <c r="C789" s="8"/>
      <c r="D789" s="7"/>
      <c r="E789" s="7"/>
      <c r="F789" s="7"/>
      <c r="G789" s="7"/>
      <c r="H789" s="84"/>
    </row>
    <row r="790" spans="1:9">
      <c r="A790" s="9" t="s">
        <v>147</v>
      </c>
      <c r="B790" s="127"/>
      <c r="C790" s="8"/>
      <c r="D790" s="7"/>
      <c r="E790" s="7"/>
      <c r="F790" s="7"/>
      <c r="G790" s="7"/>
      <c r="H790" s="84"/>
    </row>
    <row r="791" spans="1:9">
      <c r="A791" s="9" t="s">
        <v>148</v>
      </c>
      <c r="B791" s="127"/>
      <c r="C791" s="8"/>
      <c r="D791" s="7"/>
      <c r="E791" s="7"/>
      <c r="F791" s="7"/>
      <c r="G791" s="7"/>
      <c r="H791" s="84"/>
    </row>
    <row r="792" spans="1:9">
      <c r="A792" s="9" t="s">
        <v>149</v>
      </c>
      <c r="B792" s="127"/>
      <c r="C792" s="8"/>
      <c r="D792" s="7"/>
      <c r="E792" s="7"/>
      <c r="F792" s="7"/>
      <c r="G792" s="7"/>
      <c r="H792" s="84"/>
    </row>
    <row r="793" spans="1:9">
      <c r="A793" s="9" t="s">
        <v>150</v>
      </c>
      <c r="B793" s="127"/>
      <c r="C793" s="8"/>
      <c r="D793" s="7"/>
      <c r="E793" s="7"/>
      <c r="F793" s="7"/>
      <c r="G793" s="7"/>
      <c r="H793" s="84"/>
    </row>
    <row r="794" spans="1:9">
      <c r="A794" s="92" t="s">
        <v>68</v>
      </c>
      <c r="B794" s="109"/>
      <c r="C794" s="52"/>
      <c r="D794" s="7"/>
      <c r="E794" s="7"/>
      <c r="F794" s="7"/>
      <c r="G794" s="7"/>
      <c r="H794" s="84"/>
    </row>
    <row r="795" spans="1:9">
      <c r="A795" s="92" t="s">
        <v>69</v>
      </c>
      <c r="B795" s="109"/>
      <c r="C795" s="52"/>
      <c r="D795" s="7"/>
      <c r="E795" s="7"/>
      <c r="F795" s="7"/>
      <c r="G795" s="7"/>
      <c r="H795" s="84"/>
    </row>
    <row r="796" spans="1:9">
      <c r="A796" s="92" t="s">
        <v>315</v>
      </c>
      <c r="B796" s="109"/>
      <c r="C796" s="52"/>
      <c r="D796" s="7"/>
      <c r="E796" s="7"/>
      <c r="F796" s="7"/>
      <c r="G796" s="7"/>
      <c r="H796" s="261"/>
      <c r="I796" s="270"/>
    </row>
    <row r="797" spans="1:9">
      <c r="A797" s="10" t="s">
        <v>51</v>
      </c>
      <c r="B797" s="104"/>
      <c r="C797" s="49">
        <f>SUM(C743:C796)</f>
        <v>258.5</v>
      </c>
      <c r="D797" s="12">
        <v>4978</v>
      </c>
      <c r="E797" s="12">
        <f>166817+65112</f>
        <v>231929</v>
      </c>
      <c r="F797" s="12">
        <v>480</v>
      </c>
      <c r="G797" s="12">
        <f>SUM(D797:F797)</f>
        <v>237387</v>
      </c>
      <c r="H797" s="71">
        <f>F748+F752+F761+F767+F773+F776+F779+F781+F783+F379+F396+F405</f>
        <v>527.98126845159322</v>
      </c>
    </row>
    <row r="798" spans="1:9">
      <c r="A798" s="397"/>
      <c r="B798" s="116"/>
      <c r="C798" s="132"/>
      <c r="D798" s="13"/>
      <c r="E798" s="77" t="s">
        <v>70</v>
      </c>
      <c r="F798" s="75">
        <v>151409.47</v>
      </c>
      <c r="G798" s="73">
        <f>F798/F797</f>
        <v>315.43639583333334</v>
      </c>
      <c r="H798" s="71">
        <f>G798*H797</f>
        <v>166544.5083878822</v>
      </c>
    </row>
    <row r="799" spans="1:9">
      <c r="A799" s="102"/>
      <c r="B799" s="116"/>
      <c r="C799" s="132"/>
      <c r="D799" s="13"/>
      <c r="E799" s="77" t="s">
        <v>72</v>
      </c>
      <c r="F799" s="75">
        <v>5470.08</v>
      </c>
      <c r="G799" s="73">
        <f>F799/F797</f>
        <v>11.395999999999999</v>
      </c>
      <c r="H799" s="71">
        <f>G799*H797</f>
        <v>6016.8745352743563</v>
      </c>
    </row>
    <row r="800" spans="1:9">
      <c r="A800" s="16"/>
      <c r="B800" s="116"/>
      <c r="C800" s="132"/>
      <c r="D800" s="13"/>
      <c r="E800" s="77" t="s">
        <v>71</v>
      </c>
      <c r="F800" s="75">
        <f>854.7+51526.3</f>
        <v>52381</v>
      </c>
      <c r="G800" s="73">
        <f>F800/F797</f>
        <v>109.12708333333333</v>
      </c>
      <c r="H800" s="71">
        <f>G800*H797</f>
        <v>57617.055880756052</v>
      </c>
    </row>
    <row r="801" spans="1:8">
      <c r="A801" s="16"/>
      <c r="B801" s="116"/>
      <c r="C801" s="132"/>
      <c r="D801" s="13"/>
      <c r="E801" s="77"/>
      <c r="F801" s="75"/>
      <c r="G801" s="73"/>
      <c r="H801" s="71"/>
    </row>
    <row r="802" spans="1:8">
      <c r="A802" s="16"/>
      <c r="B802" s="116"/>
      <c r="C802" s="132"/>
      <c r="D802" s="13"/>
      <c r="E802" s="77"/>
      <c r="F802" s="75"/>
      <c r="G802" s="73"/>
      <c r="H802" s="71"/>
    </row>
    <row r="803" spans="1:8">
      <c r="A803" s="16"/>
      <c r="B803" s="116"/>
      <c r="C803" s="132"/>
      <c r="D803" s="13"/>
      <c r="E803" s="77"/>
      <c r="F803" s="75"/>
      <c r="G803" s="73"/>
      <c r="H803" s="71"/>
    </row>
    <row r="804" spans="1:8">
      <c r="A804" s="16"/>
      <c r="B804" s="116"/>
      <c r="C804" s="132"/>
      <c r="D804" s="13"/>
      <c r="E804" s="77"/>
      <c r="F804" s="75"/>
      <c r="G804" s="73"/>
      <c r="H804" s="71"/>
    </row>
    <row r="805" spans="1:8">
      <c r="A805" s="16"/>
      <c r="B805" s="116"/>
      <c r="C805" s="132"/>
      <c r="D805" s="13"/>
      <c r="E805" s="77"/>
      <c r="F805" s="75"/>
      <c r="G805" s="73"/>
      <c r="H805" s="71"/>
    </row>
    <row r="806" spans="1:8">
      <c r="A806" s="16"/>
      <c r="B806" s="116"/>
      <c r="C806" s="132"/>
      <c r="D806" s="13"/>
      <c r="E806" s="77"/>
      <c r="F806" s="75"/>
      <c r="G806" s="73"/>
      <c r="H806" s="71"/>
    </row>
    <row r="807" spans="1:8">
      <c r="A807" s="16"/>
      <c r="B807" s="116"/>
      <c r="C807" s="132"/>
      <c r="D807" s="13"/>
      <c r="E807" s="77"/>
      <c r="F807" s="75"/>
      <c r="G807" s="73"/>
      <c r="H807" s="71"/>
    </row>
    <row r="808" spans="1:8">
      <c r="A808" s="16"/>
      <c r="B808" s="116"/>
      <c r="C808" s="132"/>
      <c r="D808" s="13"/>
      <c r="E808" s="77"/>
      <c r="F808" s="75"/>
      <c r="G808" s="73"/>
      <c r="H808" s="71"/>
    </row>
    <row r="809" spans="1:8">
      <c r="A809" s="16"/>
      <c r="B809" s="116"/>
      <c r="C809" s="132"/>
      <c r="D809" s="13"/>
      <c r="E809" s="77"/>
      <c r="F809" s="75"/>
      <c r="G809" s="73"/>
      <c r="H809" s="71"/>
    </row>
    <row r="810" spans="1:8">
      <c r="A810" s="16"/>
      <c r="B810" s="116"/>
      <c r="C810" s="132"/>
      <c r="D810" s="13"/>
      <c r="E810" s="77"/>
      <c r="F810" s="75"/>
      <c r="G810" s="73"/>
      <c r="H810" s="71"/>
    </row>
    <row r="811" spans="1:8">
      <c r="A811" s="16"/>
      <c r="B811" s="116"/>
      <c r="C811" s="132"/>
      <c r="D811" s="13"/>
      <c r="E811" s="77"/>
      <c r="F811" s="75"/>
      <c r="G811" s="73"/>
      <c r="H811" s="71"/>
    </row>
    <row r="812" spans="1:8">
      <c r="A812" s="16"/>
      <c r="B812" s="116"/>
      <c r="C812" s="132"/>
      <c r="D812" s="13"/>
      <c r="E812" s="77"/>
      <c r="F812" s="75"/>
      <c r="G812" s="73"/>
      <c r="H812" s="71"/>
    </row>
    <row r="813" spans="1:8">
      <c r="A813" s="16"/>
      <c r="B813" s="116"/>
      <c r="C813" s="132"/>
      <c r="D813" s="13"/>
      <c r="E813" s="77"/>
      <c r="F813" s="75"/>
      <c r="G813" s="73"/>
      <c r="H813" s="71"/>
    </row>
    <row r="814" spans="1:8">
      <c r="A814" s="16"/>
      <c r="B814" s="116"/>
      <c r="C814" s="132"/>
      <c r="D814" s="13"/>
      <c r="E814" s="77"/>
      <c r="F814" s="75"/>
      <c r="G814" s="73"/>
      <c r="H814" s="71"/>
    </row>
    <row r="815" spans="1:8">
      <c r="A815" s="16"/>
      <c r="B815" s="116"/>
      <c r="C815" s="132"/>
      <c r="D815" s="13"/>
      <c r="E815" s="77"/>
      <c r="F815" s="75"/>
      <c r="G815" s="73"/>
      <c r="H815" s="71"/>
    </row>
    <row r="816" spans="1:8">
      <c r="A816" s="16"/>
      <c r="B816" s="116"/>
      <c r="C816" s="132"/>
      <c r="D816" s="13"/>
      <c r="E816" s="77"/>
      <c r="F816" s="75"/>
      <c r="G816" s="73"/>
      <c r="H816" s="71"/>
    </row>
    <row r="817" spans="1:8">
      <c r="A817" s="16"/>
      <c r="B817" s="116"/>
      <c r="C817" s="132"/>
      <c r="D817" s="13"/>
      <c r="E817" s="77"/>
      <c r="F817" s="75"/>
      <c r="G817" s="73"/>
      <c r="H817" s="71"/>
    </row>
    <row r="818" spans="1:8">
      <c r="A818" s="16"/>
      <c r="B818" s="116"/>
      <c r="C818" s="132"/>
      <c r="D818" s="13"/>
      <c r="E818" s="77"/>
      <c r="F818" s="75"/>
      <c r="G818" s="73"/>
      <c r="H818" s="71"/>
    </row>
    <row r="819" spans="1:8">
      <c r="A819" s="16"/>
      <c r="B819" s="116"/>
      <c r="C819" s="132"/>
      <c r="D819" s="13"/>
      <c r="E819" s="77"/>
      <c r="F819" s="75"/>
      <c r="G819" s="73"/>
      <c r="H819" s="71"/>
    </row>
    <row r="820" spans="1:8">
      <c r="A820" s="16"/>
      <c r="B820" s="116"/>
      <c r="C820" s="132"/>
      <c r="D820" s="13"/>
      <c r="E820" s="77"/>
      <c r="F820" s="75"/>
      <c r="G820" s="73"/>
      <c r="H820" s="71"/>
    </row>
    <row r="821" spans="1:8">
      <c r="D821" s="22"/>
      <c r="E821" s="22"/>
      <c r="F821" s="22"/>
      <c r="G821" s="22"/>
      <c r="H821" s="84"/>
    </row>
    <row r="822" spans="1:8">
      <c r="D822" s="22"/>
      <c r="E822" s="22"/>
      <c r="F822" s="22"/>
      <c r="G822" s="22"/>
      <c r="H822" s="84"/>
    </row>
    <row r="823" spans="1:8">
      <c r="A823" s="453" t="s">
        <v>395</v>
      </c>
      <c r="B823" s="453"/>
      <c r="C823" s="453"/>
      <c r="D823" s="453"/>
      <c r="E823" s="453"/>
      <c r="F823" s="453"/>
      <c r="G823" s="453"/>
      <c r="H823" s="84"/>
    </row>
    <row r="824" spans="1:8">
      <c r="A824" s="5" t="s">
        <v>52</v>
      </c>
      <c r="B824" s="105" t="s">
        <v>45</v>
      </c>
      <c r="C824" s="6" t="s">
        <v>53</v>
      </c>
      <c r="D824" s="6" t="s">
        <v>54</v>
      </c>
      <c r="E824" s="6" t="s">
        <v>6</v>
      </c>
      <c r="F824" s="6" t="s">
        <v>55</v>
      </c>
      <c r="G824" s="6" t="s">
        <v>56</v>
      </c>
      <c r="H824" s="100" t="s">
        <v>337</v>
      </c>
    </row>
    <row r="825" spans="1:8">
      <c r="A825" s="80" t="s">
        <v>91</v>
      </c>
      <c r="B825" s="117"/>
      <c r="C825" s="6"/>
      <c r="D825" s="6"/>
      <c r="E825" s="7"/>
      <c r="F825" s="7"/>
      <c r="G825" s="7"/>
      <c r="H825" s="100"/>
    </row>
    <row r="826" spans="1:8">
      <c r="A826" s="80" t="s">
        <v>92</v>
      </c>
      <c r="B826" s="117"/>
      <c r="C826" s="6"/>
      <c r="D826" s="6"/>
      <c r="E826" s="7"/>
      <c r="F826" s="7"/>
      <c r="G826" s="7"/>
      <c r="H826" s="100"/>
    </row>
    <row r="827" spans="1:8">
      <c r="A827" s="80" t="s">
        <v>93</v>
      </c>
      <c r="B827" s="117">
        <v>68.850999999999999</v>
      </c>
      <c r="C827" s="6">
        <f>144-24</f>
        <v>120</v>
      </c>
      <c r="D827" s="6">
        <f>384-64</f>
        <v>320</v>
      </c>
      <c r="E827" s="419">
        <f>D827/D$844*E$844</f>
        <v>462.58823529411762</v>
      </c>
      <c r="F827" s="419">
        <f t="shared" ref="F827:G827" si="175">E827/E$844*F$844</f>
        <v>32597.803921568626</v>
      </c>
      <c r="G827" s="419">
        <f t="shared" si="175"/>
        <v>125.49019607843137</v>
      </c>
      <c r="H827" s="281">
        <f>SUM(E827:G827)</f>
        <v>33185.882352941175</v>
      </c>
    </row>
    <row r="828" spans="1:8">
      <c r="A828" s="80" t="s">
        <v>215</v>
      </c>
      <c r="B828" s="117"/>
      <c r="C828" s="6"/>
      <c r="D828" s="6"/>
      <c r="E828" s="419">
        <f t="shared" ref="E828:G828" si="176">D828/D$844*E$844</f>
        <v>0</v>
      </c>
      <c r="F828" s="419">
        <f t="shared" si="176"/>
        <v>0</v>
      </c>
      <c r="G828" s="419">
        <f t="shared" si="176"/>
        <v>0</v>
      </c>
      <c r="H828" s="281">
        <f t="shared" ref="H828:H832" si="177">SUM(E828:G828)</f>
        <v>0</v>
      </c>
    </row>
    <row r="829" spans="1:8">
      <c r="A829" s="80" t="s">
        <v>94</v>
      </c>
      <c r="B829" s="117"/>
      <c r="C829" s="6"/>
      <c r="D829" s="6"/>
      <c r="E829" s="419">
        <f t="shared" ref="E829:G829" si="178">D829/D$844*E$844</f>
        <v>0</v>
      </c>
      <c r="F829" s="419">
        <f t="shared" si="178"/>
        <v>0</v>
      </c>
      <c r="G829" s="419">
        <f t="shared" si="178"/>
        <v>0</v>
      </c>
      <c r="H829" s="281">
        <f t="shared" si="177"/>
        <v>0</v>
      </c>
    </row>
    <row r="830" spans="1:8">
      <c r="A830" s="80" t="s">
        <v>95</v>
      </c>
      <c r="B830" s="117">
        <v>72.472999999999999</v>
      </c>
      <c r="C830" s="6">
        <v>264</v>
      </c>
      <c r="D830" s="6">
        <v>512</v>
      </c>
      <c r="E830" s="419">
        <f t="shared" ref="E830:G830" si="179">D830/D$844*E$844</f>
        <v>740.14117647058822</v>
      </c>
      <c r="F830" s="419">
        <f t="shared" si="179"/>
        <v>52156.4862745098</v>
      </c>
      <c r="G830" s="419">
        <f t="shared" si="179"/>
        <v>200.78431372549019</v>
      </c>
      <c r="H830" s="281">
        <f t="shared" si="177"/>
        <v>53097.411764705881</v>
      </c>
    </row>
    <row r="831" spans="1:8">
      <c r="A831" s="274" t="s">
        <v>95</v>
      </c>
      <c r="B831" s="268"/>
      <c r="C831" s="88">
        <v>52</v>
      </c>
      <c r="D831" s="88">
        <v>64</v>
      </c>
      <c r="E831" s="419">
        <f t="shared" ref="E831:G831" si="180">D831/D$844*E$844</f>
        <v>92.517647058823528</v>
      </c>
      <c r="F831" s="419">
        <f t="shared" si="180"/>
        <v>6519.560784313725</v>
      </c>
      <c r="G831" s="419">
        <f t="shared" si="180"/>
        <v>25.098039215686274</v>
      </c>
      <c r="H831" s="283">
        <f t="shared" si="177"/>
        <v>6637.1764705882351</v>
      </c>
    </row>
    <row r="832" spans="1:8">
      <c r="A832" s="80" t="s">
        <v>96</v>
      </c>
      <c r="B832" s="117">
        <v>54.02</v>
      </c>
      <c r="C832" s="6">
        <v>348</v>
      </c>
      <c r="D832" s="6">
        <v>1144</v>
      </c>
      <c r="E832" s="419">
        <f t="shared" ref="E832:G832" si="181">D832/D$844*E$844</f>
        <v>1653.7529411764706</v>
      </c>
      <c r="F832" s="419">
        <f t="shared" si="181"/>
        <v>116537.14901960784</v>
      </c>
      <c r="G832" s="419">
        <f t="shared" si="181"/>
        <v>448.62745098039215</v>
      </c>
      <c r="H832" s="281">
        <f t="shared" si="177"/>
        <v>118639.5294117647</v>
      </c>
    </row>
    <row r="833" spans="1:9">
      <c r="A833" s="80" t="s">
        <v>96</v>
      </c>
      <c r="B833" s="117"/>
      <c r="C833" s="6"/>
      <c r="D833" s="6"/>
      <c r="E833" s="7"/>
      <c r="F833" s="7"/>
      <c r="G833" s="7"/>
      <c r="H833" s="281"/>
    </row>
    <row r="834" spans="1:9">
      <c r="A834" s="80" t="s">
        <v>135</v>
      </c>
      <c r="B834" s="117"/>
      <c r="C834" s="6"/>
      <c r="D834" s="6"/>
      <c r="E834" s="7"/>
      <c r="F834" s="7"/>
      <c r="G834" s="7"/>
      <c r="H834" s="281"/>
    </row>
    <row r="835" spans="1:9">
      <c r="A835" s="80" t="s">
        <v>135</v>
      </c>
      <c r="B835" s="117"/>
      <c r="C835" s="6"/>
      <c r="D835" s="6"/>
      <c r="E835" s="7"/>
      <c r="F835" s="7"/>
      <c r="G835" s="7"/>
      <c r="H835" s="281"/>
    </row>
    <row r="836" spans="1:9">
      <c r="A836" s="80" t="s">
        <v>97</v>
      </c>
      <c r="B836" s="117"/>
      <c r="C836" s="6"/>
      <c r="D836" s="6"/>
      <c r="E836" s="7"/>
      <c r="F836" s="7"/>
      <c r="G836" s="7"/>
      <c r="H836" s="281"/>
    </row>
    <row r="837" spans="1:9">
      <c r="A837" s="80" t="s">
        <v>136</v>
      </c>
      <c r="B837" s="117"/>
      <c r="C837" s="6"/>
      <c r="D837" s="6"/>
      <c r="E837" s="7"/>
      <c r="F837" s="7"/>
      <c r="G837" s="7"/>
      <c r="H837" s="281"/>
    </row>
    <row r="838" spans="1:9">
      <c r="A838" s="80" t="s">
        <v>170</v>
      </c>
      <c r="B838" s="117"/>
      <c r="C838" s="6"/>
      <c r="D838" s="6"/>
      <c r="E838" s="7"/>
      <c r="F838" s="7"/>
      <c r="G838" s="7"/>
      <c r="H838" s="255"/>
    </row>
    <row r="839" spans="1:9">
      <c r="A839" s="80" t="s">
        <v>216</v>
      </c>
      <c r="B839" s="117"/>
      <c r="C839" s="6"/>
      <c r="D839" s="6"/>
      <c r="E839" s="7"/>
      <c r="F839" s="7"/>
      <c r="G839" s="7"/>
      <c r="H839" s="255"/>
    </row>
    <row r="840" spans="1:9">
      <c r="A840" s="80" t="s">
        <v>98</v>
      </c>
      <c r="B840" s="117"/>
      <c r="C840" s="6"/>
      <c r="D840" s="6"/>
      <c r="E840" s="7"/>
      <c r="F840" s="7"/>
      <c r="G840" s="7"/>
      <c r="H840" s="100"/>
    </row>
    <row r="841" spans="1:9">
      <c r="A841" s="80" t="s">
        <v>99</v>
      </c>
      <c r="B841" s="117"/>
      <c r="C841" s="6"/>
      <c r="D841" s="6"/>
      <c r="E841" s="7"/>
      <c r="F841" s="7"/>
      <c r="G841" s="7"/>
      <c r="H841" s="100"/>
    </row>
    <row r="842" spans="1:9">
      <c r="A842" s="80" t="s">
        <v>179</v>
      </c>
      <c r="B842" s="117"/>
      <c r="C842" s="6"/>
      <c r="D842" s="6"/>
      <c r="E842" s="7"/>
      <c r="F842" s="7"/>
      <c r="G842" s="7"/>
      <c r="H842" s="100"/>
    </row>
    <row r="843" spans="1:9">
      <c r="A843" s="229" t="s">
        <v>315</v>
      </c>
      <c r="B843" s="117"/>
      <c r="C843" s="6"/>
      <c r="D843" s="6"/>
      <c r="E843" s="7"/>
      <c r="F843" s="5"/>
      <c r="G843" s="385"/>
      <c r="H843" s="386"/>
      <c r="I843" s="261"/>
    </row>
    <row r="844" spans="1:9">
      <c r="A844" s="44" t="s">
        <v>44</v>
      </c>
      <c r="B844" s="113"/>
      <c r="C844" s="15">
        <f>SUM(C827:C832)</f>
        <v>784</v>
      </c>
      <c r="D844" s="15">
        <f>SUM(D827:D832)</f>
        <v>2040</v>
      </c>
      <c r="E844" s="12">
        <v>2949</v>
      </c>
      <c r="F844" s="12">
        <f>159902+47909</f>
        <v>207811</v>
      </c>
      <c r="G844" s="275">
        <v>800</v>
      </c>
      <c r="H844" s="282">
        <f>SUM(E844:G844)</f>
        <v>211560</v>
      </c>
      <c r="I844" s="280">
        <f>G448+G827+G830+G832</f>
        <v>774.9019607843137</v>
      </c>
    </row>
    <row r="845" spans="1:9">
      <c r="A845" s="397"/>
      <c r="B845" s="129"/>
      <c r="C845" s="81"/>
      <c r="D845" s="81"/>
      <c r="E845" s="81"/>
      <c r="F845" s="77" t="s">
        <v>70</v>
      </c>
      <c r="G845" s="82">
        <v>212049.73</v>
      </c>
      <c r="H845" s="276">
        <f>G845/G844</f>
        <v>265.0621625</v>
      </c>
      <c r="I845" s="280">
        <f>H845*I844</f>
        <v>205397.1894509804</v>
      </c>
    </row>
    <row r="846" spans="1:9">
      <c r="A846" s="273" t="s">
        <v>341</v>
      </c>
      <c r="B846" s="124"/>
      <c r="C846" s="57"/>
      <c r="D846" s="42"/>
      <c r="E846" s="42"/>
      <c r="F846" s="77" t="s">
        <v>72</v>
      </c>
      <c r="G846" s="18">
        <v>408.46</v>
      </c>
      <c r="H846" s="276">
        <f>G846/G844</f>
        <v>0.510575</v>
      </c>
      <c r="I846" s="280">
        <f>H846*I844</f>
        <v>395.64556862745098</v>
      </c>
    </row>
    <row r="847" spans="1:9">
      <c r="B847" s="118"/>
      <c r="C847" s="17"/>
      <c r="D847" s="18"/>
      <c r="E847" s="42"/>
      <c r="F847" s="77" t="s">
        <v>71</v>
      </c>
      <c r="G847" s="18">
        <f>1153.85+32533.07</f>
        <v>33686.92</v>
      </c>
      <c r="H847" s="276">
        <f>G847/G844</f>
        <v>42.108649999999997</v>
      </c>
      <c r="I847" s="280">
        <f>H847*I844</f>
        <v>32630.075450980388</v>
      </c>
    </row>
    <row r="848" spans="1:9">
      <c r="D848" s="22"/>
      <c r="E848" s="22"/>
      <c r="F848" s="22"/>
      <c r="G848" s="22"/>
      <c r="H848" s="84"/>
    </row>
    <row r="849" spans="4:8">
      <c r="D849" s="22"/>
      <c r="E849" s="22"/>
      <c r="F849" s="22"/>
      <c r="G849" s="22"/>
      <c r="H849" s="84"/>
    </row>
    <row r="850" spans="4:8">
      <c r="D850" s="22"/>
      <c r="E850" s="22"/>
      <c r="F850" s="22"/>
      <c r="G850" s="22"/>
      <c r="H850" s="84"/>
    </row>
    <row r="851" spans="4:8">
      <c r="D851" s="22"/>
      <c r="E851" s="22"/>
      <c r="F851" s="22"/>
      <c r="G851" s="22"/>
      <c r="H851" s="84"/>
    </row>
    <row r="852" spans="4:8">
      <c r="D852" s="22"/>
      <c r="E852" s="22"/>
      <c r="F852" s="22"/>
      <c r="G852" s="22"/>
      <c r="H852" s="84"/>
    </row>
    <row r="853" spans="4:8">
      <c r="D853" s="22"/>
      <c r="E853" s="22"/>
      <c r="F853" s="22"/>
      <c r="G853" s="22"/>
      <c r="H853" s="84"/>
    </row>
    <row r="854" spans="4:8">
      <c r="D854" s="22"/>
      <c r="E854" s="22"/>
      <c r="F854" s="22"/>
      <c r="G854" s="22"/>
      <c r="H854" s="84"/>
    </row>
    <row r="855" spans="4:8">
      <c r="D855" s="22"/>
      <c r="E855" s="22"/>
      <c r="F855" s="22"/>
      <c r="G855" s="22"/>
      <c r="H855" s="84"/>
    </row>
    <row r="856" spans="4:8">
      <c r="D856" s="22"/>
      <c r="E856" s="22"/>
      <c r="F856" s="22"/>
      <c r="G856" s="22"/>
      <c r="H856" s="84"/>
    </row>
    <row r="857" spans="4:8">
      <c r="D857" s="22"/>
      <c r="E857" s="22"/>
      <c r="F857" s="22"/>
      <c r="G857" s="22"/>
      <c r="H857" s="84"/>
    </row>
    <row r="858" spans="4:8">
      <c r="D858" s="22"/>
      <c r="E858" s="22"/>
      <c r="F858" s="22"/>
      <c r="G858" s="22"/>
      <c r="H858" s="84"/>
    </row>
    <row r="859" spans="4:8">
      <c r="D859" s="22"/>
      <c r="E859" s="22"/>
      <c r="F859" s="22"/>
      <c r="G859" s="22"/>
      <c r="H859" s="84"/>
    </row>
    <row r="860" spans="4:8">
      <c r="D860" s="22"/>
      <c r="E860" s="22"/>
      <c r="F860" s="22"/>
      <c r="G860" s="22"/>
      <c r="H860" s="84"/>
    </row>
    <row r="861" spans="4:8">
      <c r="D861" s="22"/>
      <c r="E861" s="22"/>
      <c r="F861" s="22"/>
      <c r="G861" s="22"/>
      <c r="H861" s="84"/>
    </row>
    <row r="862" spans="4:8">
      <c r="D862" s="22"/>
      <c r="E862" s="22"/>
      <c r="F862" s="22"/>
      <c r="G862" s="22"/>
      <c r="H862" s="84"/>
    </row>
    <row r="863" spans="4:8">
      <c r="D863" s="22"/>
      <c r="E863" s="22"/>
      <c r="F863" s="22"/>
      <c r="G863" s="22"/>
      <c r="H863" s="84"/>
    </row>
    <row r="864" spans="4:8">
      <c r="D864" s="22"/>
      <c r="E864" s="22"/>
      <c r="F864" s="22"/>
      <c r="G864" s="22"/>
      <c r="H864" s="84"/>
    </row>
    <row r="865" spans="1:8">
      <c r="D865" s="22"/>
      <c r="E865" s="22"/>
      <c r="F865" s="22"/>
      <c r="G865" s="22"/>
      <c r="H865" s="84"/>
    </row>
    <row r="866" spans="1:8">
      <c r="D866" s="22"/>
      <c r="E866" s="22"/>
      <c r="F866" s="22"/>
      <c r="G866" s="22"/>
      <c r="H866" s="84"/>
    </row>
    <row r="867" spans="1:8">
      <c r="D867" s="22"/>
      <c r="E867" s="22"/>
      <c r="F867" s="22"/>
      <c r="G867" s="22"/>
      <c r="H867" s="84"/>
    </row>
    <row r="868" spans="1:8">
      <c r="D868" s="22"/>
      <c r="E868" s="22"/>
      <c r="F868" s="22"/>
      <c r="G868" s="22"/>
      <c r="H868" s="84"/>
    </row>
    <row r="869" spans="1:8">
      <c r="A869" s="453" t="s">
        <v>396</v>
      </c>
      <c r="B869" s="453"/>
      <c r="C869" s="453"/>
      <c r="D869" s="453"/>
      <c r="E869" s="453"/>
      <c r="F869" s="453"/>
      <c r="G869" s="453"/>
      <c r="H869" s="84"/>
    </row>
    <row r="870" spans="1:8">
      <c r="A870" s="5" t="s">
        <v>4</v>
      </c>
      <c r="B870" s="105" t="s">
        <v>45</v>
      </c>
      <c r="C870" s="6" t="s">
        <v>11</v>
      </c>
      <c r="D870" s="6" t="s">
        <v>6</v>
      </c>
      <c r="E870" s="6" t="s">
        <v>7</v>
      </c>
      <c r="F870" s="6" t="s">
        <v>8</v>
      </c>
      <c r="G870" s="6" t="s">
        <v>9</v>
      </c>
      <c r="H870" s="84"/>
    </row>
    <row r="871" spans="1:8">
      <c r="A871" s="83" t="s">
        <v>100</v>
      </c>
      <c r="B871" s="119"/>
      <c r="C871" s="6"/>
      <c r="D871" s="6"/>
      <c r="E871" s="6"/>
      <c r="F871" s="6"/>
      <c r="G871" s="6"/>
      <c r="H871" s="84"/>
    </row>
    <row r="872" spans="1:8">
      <c r="A872" s="83" t="s">
        <v>100</v>
      </c>
      <c r="B872" s="119"/>
      <c r="C872" s="6"/>
      <c r="D872" s="6"/>
      <c r="E872" s="6"/>
      <c r="F872" s="6"/>
      <c r="G872" s="6"/>
      <c r="H872" s="84"/>
    </row>
    <row r="873" spans="1:8">
      <c r="A873" s="94" t="s">
        <v>168</v>
      </c>
      <c r="B873" s="119"/>
      <c r="C873" s="6"/>
      <c r="D873" s="7"/>
      <c r="E873" s="7"/>
      <c r="F873" s="7"/>
      <c r="G873" s="7"/>
      <c r="H873" s="84"/>
    </row>
    <row r="874" spans="1:8">
      <c r="A874" s="83" t="s">
        <v>101</v>
      </c>
      <c r="B874" s="119"/>
      <c r="C874" s="6"/>
      <c r="D874" s="7"/>
      <c r="E874" s="7"/>
      <c r="F874" s="7"/>
      <c r="G874" s="7"/>
      <c r="H874" s="84"/>
    </row>
    <row r="875" spans="1:8">
      <c r="A875" s="431" t="s">
        <v>101</v>
      </c>
      <c r="B875" s="432"/>
      <c r="C875" s="88">
        <v>26</v>
      </c>
      <c r="D875" s="269">
        <f>C875/C$894*D$894</f>
        <v>78</v>
      </c>
      <c r="E875" s="269">
        <f t="shared" ref="E875:F875" si="182">D875/D$894*E$894</f>
        <v>4806.0161290322585</v>
      </c>
      <c r="F875" s="269">
        <f t="shared" si="182"/>
        <v>20.967741935483872</v>
      </c>
      <c r="G875" s="269">
        <f>SUM(D875:F875)</f>
        <v>4904.9838709677424</v>
      </c>
      <c r="H875" s="84"/>
    </row>
    <row r="876" spans="1:8">
      <c r="A876" s="83" t="s">
        <v>110</v>
      </c>
      <c r="B876" s="119"/>
      <c r="C876" s="6"/>
      <c r="D876" s="269">
        <f t="shared" ref="D876:F876" si="183">C876/C$894*D$894</f>
        <v>0</v>
      </c>
      <c r="E876" s="269">
        <f t="shared" si="183"/>
        <v>0</v>
      </c>
      <c r="F876" s="269">
        <f t="shared" si="183"/>
        <v>0</v>
      </c>
      <c r="G876" s="7"/>
      <c r="H876" s="84"/>
    </row>
    <row r="877" spans="1:8">
      <c r="A877" s="83" t="s">
        <v>102</v>
      </c>
      <c r="B877" s="119">
        <v>16.588999999999999</v>
      </c>
      <c r="C877" s="6">
        <v>0</v>
      </c>
      <c r="D877" s="269">
        <f t="shared" ref="D877:F877" si="184">C877/C$894*D$894</f>
        <v>0</v>
      </c>
      <c r="E877" s="269">
        <f t="shared" si="184"/>
        <v>0</v>
      </c>
      <c r="F877" s="269">
        <f t="shared" si="184"/>
        <v>0</v>
      </c>
      <c r="G877" s="7"/>
      <c r="H877" s="84"/>
    </row>
    <row r="878" spans="1:8">
      <c r="A878" s="431" t="s">
        <v>102</v>
      </c>
      <c r="B878" s="432"/>
      <c r="C878" s="88">
        <v>8</v>
      </c>
      <c r="D878" s="269">
        <f t="shared" ref="D878:F878" si="185">C878/C$894*D$894</f>
        <v>24</v>
      </c>
      <c r="E878" s="269">
        <f t="shared" si="185"/>
        <v>1478.7741935483871</v>
      </c>
      <c r="F878" s="269">
        <f t="shared" si="185"/>
        <v>6.4516129032258061</v>
      </c>
      <c r="G878" s="269">
        <f>SUM(D878:F878)</f>
        <v>1509.2258064516129</v>
      </c>
      <c r="H878" s="84"/>
    </row>
    <row r="879" spans="1:8">
      <c r="A879" s="85" t="s">
        <v>103</v>
      </c>
      <c r="B879" s="119">
        <v>13.452999999999999</v>
      </c>
      <c r="C879" s="6">
        <v>12</v>
      </c>
      <c r="D879" s="269">
        <f t="shared" ref="D879:F879" si="186">C879/C$894*D$894</f>
        <v>36</v>
      </c>
      <c r="E879" s="269">
        <f t="shared" si="186"/>
        <v>2218.1612903225805</v>
      </c>
      <c r="F879" s="269">
        <f t="shared" si="186"/>
        <v>9.67741935483871</v>
      </c>
      <c r="G879" s="7">
        <f t="shared" ref="G879:G888" si="187">SUM(D879:F879)</f>
        <v>2263.838709677419</v>
      </c>
      <c r="H879" s="84"/>
    </row>
    <row r="880" spans="1:8">
      <c r="A880" s="433" t="s">
        <v>103</v>
      </c>
      <c r="B880" s="432"/>
      <c r="C880" s="88">
        <v>8</v>
      </c>
      <c r="D880" s="269">
        <f t="shared" ref="D880:F880" si="188">C880/C$894*D$894</f>
        <v>24</v>
      </c>
      <c r="E880" s="269">
        <f t="shared" si="188"/>
        <v>1478.7741935483871</v>
      </c>
      <c r="F880" s="269">
        <f t="shared" si="188"/>
        <v>6.4516129032258061</v>
      </c>
      <c r="G880" s="269">
        <f t="shared" si="187"/>
        <v>1509.2258064516129</v>
      </c>
      <c r="H880" s="84"/>
    </row>
    <row r="881" spans="1:9">
      <c r="A881" s="89" t="s">
        <v>104</v>
      </c>
      <c r="B881" s="119">
        <v>2.3340000000000001</v>
      </c>
      <c r="C881" s="6">
        <v>34</v>
      </c>
      <c r="D881" s="269">
        <f t="shared" ref="D881:F881" si="189">C881/C$894*D$894</f>
        <v>101.99999999999999</v>
      </c>
      <c r="E881" s="269">
        <f t="shared" si="189"/>
        <v>6284.7903225806449</v>
      </c>
      <c r="F881" s="269">
        <f t="shared" si="189"/>
        <v>27.419354838709676</v>
      </c>
      <c r="G881" s="7">
        <f t="shared" si="187"/>
        <v>6414.2096774193542</v>
      </c>
      <c r="H881" s="84"/>
    </row>
    <row r="882" spans="1:9">
      <c r="A882" s="89" t="s">
        <v>112</v>
      </c>
      <c r="B882" s="119"/>
      <c r="C882" s="6"/>
      <c r="D882" s="269">
        <f t="shared" ref="D882:F882" si="190">C882/C$894*D$894</f>
        <v>0</v>
      </c>
      <c r="E882" s="269">
        <f t="shared" si="190"/>
        <v>0</v>
      </c>
      <c r="F882" s="269">
        <f t="shared" si="190"/>
        <v>0</v>
      </c>
      <c r="G882" s="7"/>
      <c r="H882" s="84"/>
    </row>
    <row r="883" spans="1:9">
      <c r="A883" s="83" t="s">
        <v>109</v>
      </c>
      <c r="B883" s="119"/>
      <c r="C883" s="8"/>
      <c r="D883" s="269">
        <f t="shared" ref="D883:F883" si="191">C883/C$894*D$894</f>
        <v>0</v>
      </c>
      <c r="E883" s="269">
        <f t="shared" si="191"/>
        <v>0</v>
      </c>
      <c r="F883" s="269">
        <f t="shared" si="191"/>
        <v>0</v>
      </c>
      <c r="G883" s="7"/>
      <c r="H883" s="84"/>
    </row>
    <row r="884" spans="1:9">
      <c r="A884" s="83" t="s">
        <v>105</v>
      </c>
      <c r="B884" s="119">
        <v>12.003</v>
      </c>
      <c r="C884" s="8">
        <v>34</v>
      </c>
      <c r="D884" s="269">
        <f t="shared" ref="D884:F884" si="192">C884/C$894*D$894</f>
        <v>101.99999999999999</v>
      </c>
      <c r="E884" s="269">
        <f t="shared" si="192"/>
        <v>6284.7903225806449</v>
      </c>
      <c r="F884" s="269">
        <f t="shared" si="192"/>
        <v>27.419354838709676</v>
      </c>
      <c r="G884" s="7">
        <f t="shared" si="187"/>
        <v>6414.2096774193542</v>
      </c>
      <c r="H884" s="84"/>
    </row>
    <row r="885" spans="1:9">
      <c r="A885" s="83" t="s">
        <v>106</v>
      </c>
      <c r="B885" s="119">
        <v>8.9749999999999996</v>
      </c>
      <c r="C885" s="6">
        <v>37</v>
      </c>
      <c r="D885" s="269">
        <f t="shared" ref="D885:F885" si="193">C885/C$894*D$894</f>
        <v>111</v>
      </c>
      <c r="E885" s="269">
        <f t="shared" si="193"/>
        <v>6839.3306451612907</v>
      </c>
      <c r="F885" s="269">
        <f t="shared" si="193"/>
        <v>29.838709677419356</v>
      </c>
      <c r="G885" s="7">
        <f t="shared" si="187"/>
        <v>6980.1693548387102</v>
      </c>
      <c r="H885" s="84"/>
    </row>
    <row r="886" spans="1:9">
      <c r="A886" s="83" t="s">
        <v>169</v>
      </c>
      <c r="B886" s="119"/>
      <c r="C886" s="6"/>
      <c r="D886" s="269">
        <f t="shared" ref="D886:F886" si="194">C886/C$894*D$894</f>
        <v>0</v>
      </c>
      <c r="E886" s="269">
        <f t="shared" si="194"/>
        <v>0</v>
      </c>
      <c r="F886" s="269">
        <f t="shared" si="194"/>
        <v>0</v>
      </c>
      <c r="G886" s="7"/>
      <c r="H886" s="84"/>
    </row>
    <row r="887" spans="1:9">
      <c r="A887" s="83" t="s">
        <v>107</v>
      </c>
      <c r="B887" s="119"/>
      <c r="C887" s="6"/>
      <c r="D887" s="269">
        <f t="shared" ref="D887:F887" si="195">C887/C$894*D$894</f>
        <v>0</v>
      </c>
      <c r="E887" s="269">
        <f t="shared" si="195"/>
        <v>0</v>
      </c>
      <c r="F887" s="269">
        <f t="shared" si="195"/>
        <v>0</v>
      </c>
      <c r="G887" s="7"/>
      <c r="H887" s="84"/>
    </row>
    <row r="888" spans="1:9">
      <c r="A888" s="83" t="s">
        <v>108</v>
      </c>
      <c r="B888" s="119">
        <v>15.259</v>
      </c>
      <c r="C888" s="6">
        <v>54</v>
      </c>
      <c r="D888" s="269">
        <f t="shared" ref="D888:F888" si="196">C888/C$894*D$894</f>
        <v>162</v>
      </c>
      <c r="E888" s="269">
        <f t="shared" si="196"/>
        <v>9981.7258064516136</v>
      </c>
      <c r="F888" s="269">
        <f t="shared" si="196"/>
        <v>43.548387096774199</v>
      </c>
      <c r="G888" s="7">
        <f t="shared" si="187"/>
        <v>10187.274193548388</v>
      </c>
      <c r="H888" s="84"/>
    </row>
    <row r="889" spans="1:9">
      <c r="A889" s="83" t="s">
        <v>137</v>
      </c>
      <c r="B889" s="119"/>
      <c r="C889" s="6"/>
      <c r="D889" s="269" t="e">
        <f t="shared" ref="D889:F893" si="197">C889/C$1189*D$1189</f>
        <v>#DIV/0!</v>
      </c>
      <c r="E889" s="269" t="e">
        <f t="shared" si="197"/>
        <v>#DIV/0!</v>
      </c>
      <c r="F889" s="269" t="e">
        <f t="shared" si="197"/>
        <v>#DIV/0!</v>
      </c>
      <c r="G889" s="6"/>
      <c r="H889" s="84"/>
    </row>
    <row r="890" spans="1:9">
      <c r="A890" s="94" t="s">
        <v>206</v>
      </c>
      <c r="B890" s="119"/>
      <c r="C890" s="6"/>
      <c r="D890" s="269" t="e">
        <f t="shared" si="197"/>
        <v>#DIV/0!</v>
      </c>
      <c r="E890" s="269" t="e">
        <f t="shared" si="197"/>
        <v>#DIV/0!</v>
      </c>
      <c r="F890" s="269" t="e">
        <f t="shared" si="197"/>
        <v>#DIV/0!</v>
      </c>
      <c r="G890" s="6"/>
      <c r="H890" s="254"/>
    </row>
    <row r="891" spans="1:9">
      <c r="A891" s="94" t="s">
        <v>376</v>
      </c>
      <c r="B891" s="119"/>
      <c r="C891" s="6"/>
      <c r="D891" s="269" t="e">
        <f t="shared" si="197"/>
        <v>#DIV/0!</v>
      </c>
      <c r="E891" s="269" t="e">
        <f t="shared" si="197"/>
        <v>#DIV/0!</v>
      </c>
      <c r="F891" s="269" t="e">
        <f t="shared" si="197"/>
        <v>#DIV/0!</v>
      </c>
      <c r="G891" s="7"/>
      <c r="H891" s="254"/>
    </row>
    <row r="892" spans="1:9">
      <c r="A892" s="94" t="s">
        <v>315</v>
      </c>
      <c r="B892" s="119"/>
      <c r="C892" s="6"/>
      <c r="D892" s="269" t="e">
        <f t="shared" si="197"/>
        <v>#DIV/0!</v>
      </c>
      <c r="E892" s="269" t="e">
        <f t="shared" si="197"/>
        <v>#DIV/0!</v>
      </c>
      <c r="F892" s="269" t="e">
        <f t="shared" si="197"/>
        <v>#DIV/0!</v>
      </c>
      <c r="G892" s="7"/>
      <c r="H892" s="261"/>
      <c r="I892" s="270"/>
    </row>
    <row r="893" spans="1:9">
      <c r="A893" s="435" t="s">
        <v>427</v>
      </c>
      <c r="B893" s="432"/>
      <c r="C893" s="88">
        <v>35</v>
      </c>
      <c r="D893" s="269" t="e">
        <f t="shared" si="197"/>
        <v>#DIV/0!</v>
      </c>
      <c r="E893" s="269" t="e">
        <f t="shared" si="197"/>
        <v>#DIV/0!</v>
      </c>
      <c r="F893" s="269" t="e">
        <f t="shared" si="197"/>
        <v>#DIV/0!</v>
      </c>
      <c r="G893" s="269" t="e">
        <f>SUM(D893:F893)</f>
        <v>#DIV/0!</v>
      </c>
      <c r="H893" s="261"/>
      <c r="I893" s="270"/>
    </row>
    <row r="894" spans="1:9">
      <c r="A894" s="434" t="s">
        <v>111</v>
      </c>
      <c r="B894" s="119"/>
      <c r="C894" s="6">
        <f>SUM(C875:C893)</f>
        <v>248</v>
      </c>
      <c r="D894" s="44">
        <v>744</v>
      </c>
      <c r="E894" s="44">
        <f>17532+28310</f>
        <v>45842</v>
      </c>
      <c r="F894" s="12">
        <v>200</v>
      </c>
      <c r="G894" s="12">
        <f>SUM(D894:F894)</f>
        <v>46786</v>
      </c>
      <c r="H894" s="284">
        <f>F879+F881+F884+F885+F888+F496+F498</f>
        <v>137.90322580645162</v>
      </c>
    </row>
    <row r="895" spans="1:9">
      <c r="A895" s="131" t="s">
        <v>428</v>
      </c>
      <c r="B895" s="126"/>
      <c r="C895" s="4"/>
      <c r="D895" s="3"/>
      <c r="E895" s="77" t="s">
        <v>70</v>
      </c>
      <c r="F895" s="72">
        <v>88562.03</v>
      </c>
      <c r="G895" s="70">
        <f>F895/F894</f>
        <v>442.81015000000002</v>
      </c>
      <c r="H895" s="71">
        <f>G895*H894</f>
        <v>61064.948104838717</v>
      </c>
    </row>
    <row r="896" spans="1:9">
      <c r="A896" s="102"/>
      <c r="B896" s="126"/>
      <c r="C896" s="4"/>
      <c r="D896" s="3"/>
      <c r="E896" s="77" t="s">
        <v>72</v>
      </c>
      <c r="F896" s="72">
        <v>23504.27</v>
      </c>
      <c r="G896" s="70">
        <f>F896/F894</f>
        <v>117.52135</v>
      </c>
      <c r="H896" s="71">
        <f>G896*H894</f>
        <v>16206.573266129033</v>
      </c>
    </row>
    <row r="897" spans="1:8">
      <c r="A897" s="3"/>
      <c r="B897" s="126"/>
      <c r="C897" s="4"/>
      <c r="D897" s="3"/>
      <c r="E897" s="77" t="s">
        <v>71</v>
      </c>
      <c r="F897" s="72">
        <v>6069.65</v>
      </c>
      <c r="G897" s="70">
        <f>F897/F894</f>
        <v>30.348249999999997</v>
      </c>
      <c r="H897" s="71">
        <f>G897*H894</f>
        <v>4185.1215725806451</v>
      </c>
    </row>
    <row r="898" spans="1:8">
      <c r="A898" s="3"/>
      <c r="B898" s="126"/>
      <c r="C898" s="4"/>
      <c r="D898" s="3"/>
      <c r="E898" s="77"/>
      <c r="F898" s="72"/>
      <c r="G898" s="70"/>
      <c r="H898" s="71"/>
    </row>
    <row r="899" spans="1:8">
      <c r="A899" s="3"/>
      <c r="B899" s="126"/>
      <c r="C899" s="4"/>
      <c r="D899" s="3"/>
      <c r="E899" s="77"/>
      <c r="F899" s="72"/>
      <c r="G899" s="70"/>
      <c r="H899" s="71"/>
    </row>
    <row r="900" spans="1:8">
      <c r="A900" s="3"/>
      <c r="B900" s="126"/>
      <c r="C900" s="4"/>
      <c r="D900" s="3"/>
      <c r="E900" s="77"/>
      <c r="F900" s="72"/>
      <c r="G900" s="70"/>
      <c r="H900" s="71"/>
    </row>
    <row r="901" spans="1:8">
      <c r="A901" s="3"/>
      <c r="B901" s="126"/>
      <c r="C901" s="4"/>
      <c r="D901" s="3"/>
      <c r="E901" s="77"/>
      <c r="F901" s="72"/>
      <c r="G901" s="70"/>
      <c r="H901" s="71"/>
    </row>
    <row r="902" spans="1:8">
      <c r="A902" s="3"/>
      <c r="B902" s="126"/>
      <c r="C902" s="4"/>
      <c r="D902" s="3"/>
      <c r="E902" s="77"/>
      <c r="F902" s="72"/>
      <c r="G902" s="70"/>
      <c r="H902" s="71"/>
    </row>
    <row r="903" spans="1:8">
      <c r="A903" s="3"/>
      <c r="B903" s="126"/>
      <c r="C903" s="4"/>
      <c r="D903" s="3"/>
      <c r="E903" s="77"/>
      <c r="F903" s="72"/>
      <c r="G903" s="70"/>
      <c r="H903" s="71"/>
    </row>
    <row r="904" spans="1:8">
      <c r="A904" s="3"/>
      <c r="B904" s="126"/>
      <c r="C904" s="4"/>
      <c r="D904" s="3"/>
      <c r="E904" s="77"/>
      <c r="F904" s="72"/>
      <c r="G904" s="70"/>
      <c r="H904" s="71"/>
    </row>
    <row r="905" spans="1:8">
      <c r="A905" s="3"/>
      <c r="B905" s="126"/>
      <c r="C905" s="4"/>
      <c r="D905" s="3"/>
      <c r="E905" s="77"/>
      <c r="F905" s="72"/>
      <c r="G905" s="70"/>
      <c r="H905" s="71"/>
    </row>
    <row r="906" spans="1:8">
      <c r="A906" s="3"/>
      <c r="B906" s="126"/>
      <c r="C906" s="4"/>
      <c r="D906" s="3"/>
      <c r="E906" s="77"/>
      <c r="F906" s="72"/>
      <c r="G906" s="70"/>
      <c r="H906" s="71"/>
    </row>
    <row r="907" spans="1:8">
      <c r="A907" s="3"/>
      <c r="B907" s="126"/>
      <c r="C907" s="4"/>
      <c r="D907" s="3"/>
      <c r="E907" s="77"/>
      <c r="F907" s="72"/>
      <c r="G907" s="70"/>
      <c r="H907" s="71"/>
    </row>
    <row r="908" spans="1:8">
      <c r="A908" s="3"/>
      <c r="B908" s="126"/>
      <c r="C908" s="4"/>
      <c r="D908" s="3"/>
      <c r="E908" s="77"/>
      <c r="F908" s="72"/>
      <c r="G908" s="70"/>
      <c r="H908" s="71"/>
    </row>
    <row r="909" spans="1:8">
      <c r="A909" s="3"/>
      <c r="B909" s="126"/>
      <c r="C909" s="4"/>
      <c r="D909" s="3"/>
      <c r="E909" s="77"/>
      <c r="F909" s="72"/>
      <c r="G909" s="70"/>
      <c r="H909" s="71"/>
    </row>
    <row r="910" spans="1:8">
      <c r="A910" s="3"/>
      <c r="B910" s="126"/>
      <c r="C910" s="4"/>
      <c r="D910" s="3"/>
      <c r="E910" s="77"/>
      <c r="F910" s="72"/>
      <c r="G910" s="70"/>
      <c r="H910" s="71"/>
    </row>
    <row r="911" spans="1:8">
      <c r="A911" s="3"/>
      <c r="B911" s="126"/>
      <c r="C911" s="4"/>
      <c r="D911" s="3"/>
      <c r="E911" s="77"/>
      <c r="F911" s="72"/>
      <c r="G911" s="70"/>
      <c r="H911" s="71"/>
    </row>
    <row r="912" spans="1:8">
      <c r="A912" s="3"/>
      <c r="B912" s="126"/>
      <c r="C912" s="4"/>
      <c r="D912" s="3"/>
      <c r="E912" s="77"/>
      <c r="F912" s="72"/>
      <c r="G912" s="70"/>
      <c r="H912" s="71"/>
    </row>
    <row r="913" spans="1:8">
      <c r="A913" s="3"/>
      <c r="B913" s="126"/>
      <c r="C913" s="4"/>
      <c r="D913" s="3"/>
      <c r="E913" s="77"/>
      <c r="F913" s="72"/>
      <c r="G913" s="70"/>
      <c r="H913" s="71"/>
    </row>
    <row r="914" spans="1:8">
      <c r="A914" s="3"/>
      <c r="B914" s="126"/>
      <c r="C914" s="4"/>
      <c r="D914" s="3"/>
      <c r="E914" s="77"/>
      <c r="F914" s="72"/>
      <c r="G914" s="70"/>
      <c r="H914" s="71"/>
    </row>
    <row r="915" spans="1:8">
      <c r="A915" s="3"/>
      <c r="B915" s="126"/>
      <c r="C915" s="4"/>
      <c r="D915" s="3"/>
      <c r="E915" s="77"/>
      <c r="F915" s="72"/>
      <c r="G915" s="70"/>
      <c r="H915" s="71"/>
    </row>
    <row r="916" spans="1:8">
      <c r="A916" s="3"/>
      <c r="B916" s="126"/>
      <c r="C916" s="4"/>
      <c r="D916" s="3"/>
      <c r="E916" s="77"/>
      <c r="F916" s="72"/>
      <c r="G916" s="70"/>
      <c r="H916" s="71"/>
    </row>
    <row r="917" spans="1:8">
      <c r="A917" s="3"/>
      <c r="B917" s="126"/>
      <c r="C917" s="4"/>
      <c r="D917" s="3"/>
      <c r="E917" s="77"/>
      <c r="F917" s="72"/>
      <c r="G917" s="70"/>
      <c r="H917" s="71"/>
    </row>
    <row r="918" spans="1:8">
      <c r="D918" s="22"/>
      <c r="E918" s="22"/>
      <c r="F918" s="22"/>
      <c r="G918" s="22"/>
      <c r="H918" s="84"/>
    </row>
    <row r="919" spans="1:8">
      <c r="A919" s="453" t="s">
        <v>397</v>
      </c>
      <c r="B919" s="453"/>
      <c r="C919" s="453"/>
      <c r="D919" s="453"/>
      <c r="E919" s="453"/>
      <c r="F919" s="453"/>
      <c r="G919" s="453"/>
      <c r="H919" s="84"/>
    </row>
    <row r="920" spans="1:8">
      <c r="A920" s="5" t="s">
        <v>4</v>
      </c>
      <c r="B920" s="105" t="s">
        <v>45</v>
      </c>
      <c r="C920" s="6" t="s">
        <v>5</v>
      </c>
      <c r="D920" s="6" t="s">
        <v>6</v>
      </c>
      <c r="E920" s="6" t="s">
        <v>7</v>
      </c>
      <c r="F920" s="6" t="s">
        <v>8</v>
      </c>
      <c r="G920" s="6" t="s">
        <v>9</v>
      </c>
      <c r="H920" s="84"/>
    </row>
    <row r="921" spans="1:8">
      <c r="A921" s="6" t="s">
        <v>180</v>
      </c>
      <c r="B921" s="105"/>
      <c r="C921" s="6"/>
      <c r="D921" s="7">
        <v>37966.28</v>
      </c>
      <c r="E921" s="7">
        <v>0</v>
      </c>
      <c r="F921" s="7">
        <f>SUM(F923:F925)</f>
        <v>100501.25</v>
      </c>
      <c r="G921" s="7">
        <f>SUM(D921:F921)</f>
        <v>138467.53</v>
      </c>
      <c r="H921" s="84"/>
    </row>
    <row r="922" spans="1:8">
      <c r="A922" s="10" t="s">
        <v>10</v>
      </c>
      <c r="B922" s="105"/>
      <c r="C922" s="6"/>
      <c r="D922" s="12">
        <v>37966.28</v>
      </c>
      <c r="E922" s="12">
        <v>0</v>
      </c>
      <c r="F922" s="12">
        <v>100501.25</v>
      </c>
      <c r="G922" s="12">
        <f>SUM(D922:F922)</f>
        <v>138467.53</v>
      </c>
      <c r="H922" s="84"/>
    </row>
    <row r="923" spans="1:8">
      <c r="A923" s="239" t="s">
        <v>382</v>
      </c>
      <c r="B923" s="120"/>
      <c r="C923" s="4"/>
      <c r="D923" s="3"/>
      <c r="E923" s="77" t="s">
        <v>70</v>
      </c>
      <c r="F923" s="3">
        <v>0</v>
      </c>
      <c r="G923" s="70">
        <f>F923/F922</f>
        <v>0</v>
      </c>
      <c r="H923" s="84"/>
    </row>
    <row r="924" spans="1:8">
      <c r="A924" s="19"/>
      <c r="B924" s="120"/>
      <c r="C924" s="4"/>
      <c r="D924" s="3"/>
      <c r="E924" s="77" t="s">
        <v>72</v>
      </c>
      <c r="F924" s="3">
        <v>0</v>
      </c>
      <c r="G924" s="70">
        <f>F924/F922</f>
        <v>0</v>
      </c>
      <c r="H924" s="84"/>
    </row>
    <row r="925" spans="1:8">
      <c r="A925" s="19"/>
      <c r="B925" s="120"/>
      <c r="C925" s="4"/>
      <c r="D925" s="3"/>
      <c r="E925" s="77" t="s">
        <v>71</v>
      </c>
      <c r="F925" s="3">
        <v>100501.25</v>
      </c>
      <c r="G925" s="70">
        <f>F925/F922</f>
        <v>1</v>
      </c>
      <c r="H925" s="84"/>
    </row>
    <row r="926" spans="1:8">
      <c r="A926" s="19"/>
      <c r="B926" s="120"/>
      <c r="C926" s="4"/>
      <c r="D926" s="3"/>
      <c r="E926" s="77"/>
      <c r="F926" s="3"/>
      <c r="G926" s="3"/>
      <c r="H926" s="84"/>
    </row>
    <row r="927" spans="1:8">
      <c r="A927" s="19"/>
      <c r="B927" s="120"/>
      <c r="C927" s="4"/>
      <c r="D927" s="3"/>
      <c r="E927" s="77"/>
      <c r="F927" s="3"/>
      <c r="G927" s="3"/>
      <c r="H927" s="84"/>
    </row>
    <row r="928" spans="1:8">
      <c r="A928" s="19"/>
      <c r="B928" s="120"/>
      <c r="C928" s="4"/>
      <c r="D928" s="3"/>
      <c r="E928" s="77"/>
      <c r="F928" s="3"/>
      <c r="G928" s="3"/>
      <c r="H928" s="84"/>
    </row>
    <row r="929" spans="1:8">
      <c r="A929" s="19"/>
      <c r="B929" s="120"/>
      <c r="C929" s="4"/>
      <c r="D929" s="3"/>
      <c r="E929" s="77"/>
      <c r="F929" s="3"/>
      <c r="G929" s="3"/>
      <c r="H929" s="84"/>
    </row>
    <row r="930" spans="1:8">
      <c r="A930" s="19"/>
      <c r="B930" s="120"/>
      <c r="C930" s="4"/>
      <c r="D930" s="3"/>
      <c r="E930" s="77"/>
      <c r="F930" s="3"/>
      <c r="G930" s="3"/>
      <c r="H930" s="84"/>
    </row>
    <row r="931" spans="1:8">
      <c r="A931" s="19"/>
      <c r="B931" s="120"/>
      <c r="C931" s="4"/>
      <c r="D931" s="3"/>
      <c r="E931" s="77"/>
      <c r="F931" s="3"/>
      <c r="G931" s="3"/>
      <c r="H931" s="84"/>
    </row>
    <row r="932" spans="1:8">
      <c r="A932" s="19"/>
      <c r="B932" s="120"/>
      <c r="C932" s="4"/>
      <c r="D932" s="3"/>
      <c r="E932" s="77"/>
      <c r="F932" s="3"/>
      <c r="G932" s="3"/>
      <c r="H932" s="84"/>
    </row>
    <row r="933" spans="1:8">
      <c r="A933" s="19"/>
      <c r="B933" s="120"/>
      <c r="C933" s="4"/>
      <c r="D933" s="3"/>
      <c r="E933" s="77"/>
      <c r="F933" s="3"/>
      <c r="G933" s="3"/>
      <c r="H933" s="84"/>
    </row>
    <row r="934" spans="1:8">
      <c r="A934" s="19"/>
      <c r="B934" s="120"/>
      <c r="C934" s="4"/>
      <c r="D934" s="3"/>
      <c r="E934" s="77"/>
      <c r="F934" s="3"/>
      <c r="G934" s="3"/>
      <c r="H934" s="84"/>
    </row>
    <row r="935" spans="1:8">
      <c r="A935" s="19"/>
      <c r="B935" s="120"/>
      <c r="C935" s="4"/>
      <c r="D935" s="3"/>
      <c r="E935" s="77"/>
      <c r="F935" s="3"/>
      <c r="G935" s="3"/>
      <c r="H935" s="84"/>
    </row>
    <row r="936" spans="1:8">
      <c r="D936" s="22"/>
      <c r="E936" s="22"/>
      <c r="F936" s="22"/>
      <c r="G936" s="22"/>
      <c r="H936" s="84"/>
    </row>
    <row r="937" spans="1:8">
      <c r="D937" s="22"/>
      <c r="E937" s="22"/>
      <c r="F937" s="22"/>
      <c r="G937" s="22"/>
      <c r="H937" s="84"/>
    </row>
    <row r="938" spans="1:8">
      <c r="A938" s="453" t="s">
        <v>398</v>
      </c>
      <c r="B938" s="453"/>
      <c r="C938" s="453"/>
      <c r="D938" s="453"/>
      <c r="E938" s="453"/>
      <c r="F938" s="453"/>
      <c r="G938" s="453"/>
      <c r="H938" s="84"/>
    </row>
    <row r="939" spans="1:8">
      <c r="A939" s="5" t="s">
        <v>4</v>
      </c>
      <c r="B939" s="133" t="s">
        <v>45</v>
      </c>
      <c r="C939" s="6" t="s">
        <v>5</v>
      </c>
      <c r="D939" s="6" t="s">
        <v>6</v>
      </c>
      <c r="E939" s="6" t="s">
        <v>7</v>
      </c>
      <c r="F939" s="6" t="s">
        <v>8</v>
      </c>
      <c r="G939" s="6" t="s">
        <v>9</v>
      </c>
      <c r="H939" s="84"/>
    </row>
    <row r="940" spans="1:8">
      <c r="A940" s="6" t="s">
        <v>188</v>
      </c>
      <c r="B940" s="134"/>
      <c r="C940" s="6"/>
      <c r="D940" s="6"/>
      <c r="E940" s="6"/>
      <c r="F940" s="6"/>
      <c r="G940" s="6"/>
      <c r="H940" s="84"/>
    </row>
    <row r="941" spans="1:8">
      <c r="A941" s="6" t="s">
        <v>189</v>
      </c>
      <c r="B941" s="134"/>
      <c r="C941" s="6"/>
      <c r="D941" s="6"/>
      <c r="E941" s="6"/>
      <c r="F941" s="6"/>
      <c r="G941" s="6"/>
      <c r="H941" s="84"/>
    </row>
    <row r="942" spans="1:8">
      <c r="A942" s="6" t="s">
        <v>189</v>
      </c>
      <c r="B942" s="134"/>
      <c r="C942" s="6"/>
      <c r="D942" s="6"/>
      <c r="E942" s="6"/>
      <c r="F942" s="6"/>
      <c r="G942" s="6"/>
      <c r="H942" s="84"/>
    </row>
    <row r="943" spans="1:8">
      <c r="A943" s="6" t="s">
        <v>78</v>
      </c>
      <c r="B943" s="134"/>
      <c r="C943" s="6"/>
      <c r="D943" s="6"/>
      <c r="E943" s="6"/>
      <c r="F943" s="6"/>
      <c r="G943" s="6"/>
      <c r="H943" s="84"/>
    </row>
    <row r="944" spans="1:8">
      <c r="A944" s="6" t="s">
        <v>122</v>
      </c>
      <c r="B944" s="134"/>
      <c r="C944" s="6"/>
      <c r="D944" s="6"/>
      <c r="E944" s="6"/>
      <c r="F944" s="6"/>
      <c r="G944" s="6"/>
      <c r="H944" s="84"/>
    </row>
    <row r="945" spans="1:9">
      <c r="A945" s="6" t="s">
        <v>75</v>
      </c>
      <c r="B945" s="134"/>
      <c r="C945" s="6"/>
      <c r="D945" s="6"/>
      <c r="E945" s="6"/>
      <c r="F945" s="6"/>
      <c r="G945" s="6"/>
      <c r="H945" s="84"/>
    </row>
    <row r="946" spans="1:9">
      <c r="A946" s="6" t="s">
        <v>79</v>
      </c>
      <c r="B946" s="134"/>
      <c r="C946" s="6"/>
      <c r="D946" s="6"/>
      <c r="E946" s="6"/>
      <c r="F946" s="6"/>
      <c r="G946" s="6"/>
      <c r="H946" s="84"/>
    </row>
    <row r="947" spans="1:9">
      <c r="A947" s="6" t="s">
        <v>80</v>
      </c>
      <c r="B947" s="134"/>
      <c r="C947" s="6"/>
      <c r="D947" s="6"/>
      <c r="E947" s="6"/>
      <c r="F947" s="6"/>
      <c r="G947" s="6"/>
      <c r="H947" s="84"/>
    </row>
    <row r="948" spans="1:9">
      <c r="A948" s="6" t="s">
        <v>81</v>
      </c>
      <c r="B948" s="134"/>
      <c r="C948" s="6"/>
      <c r="D948" s="6"/>
      <c r="E948" s="6"/>
      <c r="F948" s="6"/>
      <c r="G948" s="6"/>
      <c r="H948" s="84"/>
    </row>
    <row r="949" spans="1:9">
      <c r="A949" s="6" t="s">
        <v>82</v>
      </c>
      <c r="B949" s="134"/>
      <c r="C949" s="6"/>
      <c r="D949" s="6"/>
      <c r="E949" s="6"/>
      <c r="F949" s="6"/>
      <c r="G949" s="6"/>
      <c r="H949" s="84"/>
    </row>
    <row r="950" spans="1:9">
      <c r="A950" s="6" t="s">
        <v>83</v>
      </c>
      <c r="B950" s="134"/>
      <c r="C950" s="6"/>
      <c r="D950" s="6"/>
      <c r="E950" s="6"/>
      <c r="F950" s="6"/>
      <c r="G950" s="6"/>
      <c r="H950" s="84"/>
    </row>
    <row r="951" spans="1:9">
      <c r="A951" s="6" t="s">
        <v>122</v>
      </c>
      <c r="B951" s="134"/>
      <c r="C951" s="6"/>
      <c r="D951" s="6"/>
      <c r="E951" s="6"/>
      <c r="F951" s="6"/>
      <c r="G951" s="6"/>
      <c r="H951" s="84"/>
    </row>
    <row r="952" spans="1:9">
      <c r="A952" s="6" t="s">
        <v>190</v>
      </c>
      <c r="B952" s="134"/>
      <c r="C952" s="6"/>
      <c r="D952" s="6"/>
      <c r="E952" s="6"/>
      <c r="F952" s="6"/>
      <c r="G952" s="6"/>
      <c r="H952" s="84"/>
    </row>
    <row r="953" spans="1:9">
      <c r="A953" s="6" t="s">
        <v>84</v>
      </c>
      <c r="B953" s="134"/>
      <c r="C953" s="6"/>
      <c r="D953" s="6"/>
      <c r="E953" s="6"/>
      <c r="F953" s="6"/>
      <c r="G953" s="6"/>
      <c r="H953" s="84"/>
    </row>
    <row r="954" spans="1:9">
      <c r="A954" s="6" t="s">
        <v>85</v>
      </c>
      <c r="B954" s="134"/>
      <c r="C954" s="6"/>
      <c r="D954" s="6"/>
      <c r="E954" s="6"/>
      <c r="F954" s="6"/>
      <c r="G954" s="6"/>
      <c r="H954" s="84"/>
    </row>
    <row r="955" spans="1:9">
      <c r="A955" s="6" t="s">
        <v>89</v>
      </c>
      <c r="B955" s="134"/>
      <c r="C955" s="10"/>
      <c r="D955" s="6"/>
      <c r="E955" s="6"/>
      <c r="F955" s="6"/>
      <c r="G955" s="6"/>
      <c r="H955" s="84"/>
    </row>
    <row r="956" spans="1:9">
      <c r="A956" s="6" t="s">
        <v>86</v>
      </c>
      <c r="B956" s="134"/>
      <c r="C956" s="10"/>
      <c r="D956" s="6"/>
      <c r="E956" s="6"/>
      <c r="F956" s="6"/>
      <c r="G956" s="6"/>
      <c r="H956" s="84"/>
    </row>
    <row r="957" spans="1:9">
      <c r="A957" s="6" t="s">
        <v>87</v>
      </c>
      <c r="B957" s="134"/>
      <c r="C957" s="10"/>
      <c r="D957" s="6"/>
      <c r="E957" s="6"/>
      <c r="F957" s="6"/>
      <c r="G957" s="6"/>
      <c r="H957" s="84"/>
    </row>
    <row r="958" spans="1:9">
      <c r="A958" s="6" t="s">
        <v>88</v>
      </c>
      <c r="B958" s="134"/>
      <c r="C958" s="10"/>
      <c r="D958" s="6"/>
      <c r="E958" s="6"/>
      <c r="F958" s="6"/>
      <c r="G958" s="6"/>
      <c r="H958" s="84"/>
    </row>
    <row r="959" spans="1:9">
      <c r="A959" s="6" t="s">
        <v>90</v>
      </c>
      <c r="B959" s="134"/>
      <c r="C959" s="10"/>
      <c r="D959" s="6"/>
      <c r="E959" s="6"/>
      <c r="F959" s="6"/>
      <c r="G959" s="6"/>
      <c r="H959" s="254"/>
    </row>
    <row r="960" spans="1:9">
      <c r="A960" s="54" t="s">
        <v>424</v>
      </c>
      <c r="B960" s="134"/>
      <c r="C960" s="6"/>
      <c r="D960" s="7">
        <v>703.59</v>
      </c>
      <c r="E960" s="7">
        <v>0</v>
      </c>
      <c r="F960" s="7">
        <v>135204.9</v>
      </c>
      <c r="G960" s="7">
        <v>135908.49</v>
      </c>
      <c r="H960" s="261"/>
      <c r="I960" s="270"/>
    </row>
    <row r="961" spans="1:8">
      <c r="A961" s="6" t="s">
        <v>57</v>
      </c>
      <c r="B961" s="134"/>
      <c r="C961" s="6"/>
      <c r="D961" s="6"/>
      <c r="E961" s="6"/>
      <c r="F961" s="6"/>
      <c r="G961" s="6"/>
      <c r="H961" s="284"/>
    </row>
    <row r="962" spans="1:8">
      <c r="A962" s="54" t="s">
        <v>323</v>
      </c>
      <c r="B962" s="134"/>
      <c r="C962" s="6"/>
      <c r="D962" s="7">
        <v>703.59</v>
      </c>
      <c r="E962" s="7">
        <v>0</v>
      </c>
      <c r="F962" s="7">
        <v>135204.9</v>
      </c>
      <c r="G962" s="7">
        <v>135908.49</v>
      </c>
      <c r="H962" s="71"/>
    </row>
    <row r="963" spans="1:8">
      <c r="A963" s="10" t="s">
        <v>10</v>
      </c>
      <c r="B963" s="135"/>
      <c r="C963" s="10"/>
      <c r="D963" s="12">
        <v>703.59</v>
      </c>
      <c r="E963" s="12">
        <v>0</v>
      </c>
      <c r="F963" s="12">
        <f>SUM(F964:F966)</f>
        <v>135204.9</v>
      </c>
      <c r="G963" s="12">
        <f>SUM(D963:F963)</f>
        <v>135908.49</v>
      </c>
      <c r="H963" s="71"/>
    </row>
    <row r="964" spans="1:8">
      <c r="A964" s="101" t="s">
        <v>425</v>
      </c>
      <c r="B964" s="121"/>
      <c r="C964" s="47"/>
      <c r="D964" s="47"/>
      <c r="E964" s="77" t="s">
        <v>70</v>
      </c>
      <c r="F964" s="74">
        <v>135204.9</v>
      </c>
      <c r="G964" s="73">
        <f>F964/F963</f>
        <v>1</v>
      </c>
      <c r="H964" s="71"/>
    </row>
    <row r="965" spans="1:8">
      <c r="D965" s="22"/>
      <c r="E965" s="77" t="s">
        <v>72</v>
      </c>
      <c r="F965" s="74">
        <v>0</v>
      </c>
      <c r="G965" s="73">
        <f>F965/F963</f>
        <v>0</v>
      </c>
      <c r="H965" s="84"/>
    </row>
    <row r="966" spans="1:8">
      <c r="D966" s="22"/>
      <c r="E966" s="77" t="s">
        <v>71</v>
      </c>
      <c r="F966" s="74">
        <v>0</v>
      </c>
      <c r="G966" s="73">
        <f>F966/F963</f>
        <v>0</v>
      </c>
      <c r="H966" s="84"/>
    </row>
    <row r="967" spans="1:8">
      <c r="D967" s="22"/>
      <c r="E967" s="22"/>
      <c r="F967" s="22"/>
      <c r="G967" s="22"/>
      <c r="H967" s="84"/>
    </row>
  </sheetData>
  <mergeCells count="18">
    <mergeCell ref="A938:G938"/>
    <mergeCell ref="A680:G680"/>
    <mergeCell ref="A741:G741"/>
    <mergeCell ref="A823:G823"/>
    <mergeCell ref="A869:G869"/>
    <mergeCell ref="A919:G919"/>
    <mergeCell ref="A562:G562"/>
    <mergeCell ref="A374:G374"/>
    <mergeCell ref="A435:G435"/>
    <mergeCell ref="A496:G496"/>
    <mergeCell ref="A523:G523"/>
    <mergeCell ref="A553:G553"/>
    <mergeCell ref="A268:G268"/>
    <mergeCell ref="A77:G77"/>
    <mergeCell ref="A139:G139"/>
    <mergeCell ref="A200:G200"/>
    <mergeCell ref="A228:G228"/>
    <mergeCell ref="A258:G258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I1" workbookViewId="0">
      <selection activeCell="K19" sqref="K19"/>
    </sheetView>
  </sheetViews>
  <sheetFormatPr defaultRowHeight="14.4"/>
  <cols>
    <col min="7" max="7" width="10.44140625" style="393" bestFit="1" customWidth="1"/>
    <col min="11" max="11" width="11.6640625" bestFit="1" customWidth="1"/>
  </cols>
  <sheetData>
    <row r="1" spans="1:11">
      <c r="A1" s="390" t="s">
        <v>371</v>
      </c>
      <c r="B1" s="390" t="s">
        <v>370</v>
      </c>
      <c r="C1" s="390"/>
      <c r="E1" s="390" t="s">
        <v>372</v>
      </c>
      <c r="F1" s="390" t="s">
        <v>370</v>
      </c>
      <c r="G1" s="391"/>
      <c r="I1" s="390" t="s">
        <v>400</v>
      </c>
      <c r="J1" s="390" t="s">
        <v>370</v>
      </c>
      <c r="K1" s="391"/>
    </row>
    <row r="2" spans="1:11">
      <c r="A2" s="388" t="s">
        <v>357</v>
      </c>
      <c r="B2" s="388">
        <v>115</v>
      </c>
      <c r="C2" s="388"/>
      <c r="E2" s="388" t="s">
        <v>357</v>
      </c>
      <c r="F2" s="388">
        <v>77.7</v>
      </c>
      <c r="G2" s="392">
        <f>F2/F$18*G$18</f>
        <v>1290.3150078328983</v>
      </c>
      <c r="I2" s="388" t="s">
        <v>357</v>
      </c>
      <c r="J2" s="388">
        <v>79</v>
      </c>
      <c r="K2" s="392">
        <f>J2/J$18*K$18</f>
        <v>1128.0294005212859</v>
      </c>
    </row>
    <row r="3" spans="1:11">
      <c r="A3" s="388" t="s">
        <v>3</v>
      </c>
      <c r="B3" s="388">
        <v>79</v>
      </c>
      <c r="C3" s="388"/>
      <c r="E3" s="388" t="s">
        <v>3</v>
      </c>
      <c r="F3" s="388">
        <v>19.600000000000001</v>
      </c>
      <c r="G3" s="392">
        <f t="shared" ref="G3:G17" si="0">F3/F$18*G$18</f>
        <v>325.48486684073112</v>
      </c>
      <c r="I3" s="388" t="s">
        <v>3</v>
      </c>
      <c r="J3" s="388">
        <v>16</v>
      </c>
      <c r="K3" s="392">
        <f t="shared" ref="K3:K17" si="1">J3/J$18*K$18</f>
        <v>228.46165073848826</v>
      </c>
    </row>
    <row r="4" spans="1:11">
      <c r="A4" s="388" t="s">
        <v>331</v>
      </c>
      <c r="B4" s="388">
        <v>158</v>
      </c>
      <c r="C4" s="388"/>
      <c r="E4" s="388" t="s">
        <v>331</v>
      </c>
      <c r="F4" s="388">
        <v>128.5</v>
      </c>
      <c r="G4" s="392">
        <f t="shared" si="0"/>
        <v>2133.91864229765</v>
      </c>
      <c r="I4" s="388" t="s">
        <v>180</v>
      </c>
      <c r="J4" s="388">
        <v>73</v>
      </c>
      <c r="K4" s="392">
        <f t="shared" si="1"/>
        <v>1042.3562814943527</v>
      </c>
    </row>
    <row r="5" spans="1:11">
      <c r="A5" s="388" t="s">
        <v>358</v>
      </c>
      <c r="B5" s="388">
        <v>111</v>
      </c>
      <c r="C5" s="388"/>
      <c r="E5" s="388" t="s">
        <v>358</v>
      </c>
      <c r="F5" s="388">
        <v>76.5</v>
      </c>
      <c r="G5" s="392">
        <f t="shared" si="0"/>
        <v>1270.3873629242821</v>
      </c>
      <c r="I5" s="388" t="s">
        <v>358</v>
      </c>
      <c r="J5" s="388">
        <v>77</v>
      </c>
      <c r="K5" s="392">
        <f t="shared" si="1"/>
        <v>1099.4716941789748</v>
      </c>
    </row>
    <row r="6" spans="1:11">
      <c r="A6" s="388" t="s">
        <v>43</v>
      </c>
      <c r="B6" s="388">
        <v>158</v>
      </c>
      <c r="C6" s="388"/>
      <c r="E6" s="388" t="s">
        <v>43</v>
      </c>
      <c r="F6" s="388">
        <v>99.5</v>
      </c>
      <c r="G6" s="392">
        <f t="shared" si="0"/>
        <v>1652.3338903394256</v>
      </c>
      <c r="I6" s="388" t="s">
        <v>43</v>
      </c>
      <c r="J6" s="388">
        <v>146</v>
      </c>
      <c r="K6" s="392">
        <f t="shared" si="1"/>
        <v>2084.7125629887055</v>
      </c>
    </row>
    <row r="7" spans="1:11">
      <c r="A7" s="388" t="s">
        <v>359</v>
      </c>
      <c r="B7" s="388">
        <v>17</v>
      </c>
      <c r="C7" s="388"/>
      <c r="E7" s="388" t="s">
        <v>359</v>
      </c>
      <c r="F7" s="388">
        <v>11.7</v>
      </c>
      <c r="G7" s="392">
        <f t="shared" si="0"/>
        <v>194.29453785900785</v>
      </c>
      <c r="I7" s="388" t="s">
        <v>359</v>
      </c>
      <c r="J7" s="388">
        <v>12</v>
      </c>
      <c r="K7" s="392">
        <f t="shared" si="1"/>
        <v>171.34623805386622</v>
      </c>
    </row>
    <row r="8" spans="1:11">
      <c r="A8" s="388" t="s">
        <v>360</v>
      </c>
      <c r="B8" s="388">
        <v>183</v>
      </c>
      <c r="C8" s="388"/>
      <c r="E8" s="388" t="s">
        <v>360</v>
      </c>
      <c r="F8" s="388">
        <v>159.19999999999999</v>
      </c>
      <c r="G8" s="392">
        <f t="shared" si="0"/>
        <v>2643.7342245430809</v>
      </c>
      <c r="I8" s="388" t="s">
        <v>360</v>
      </c>
      <c r="J8" s="422">
        <v>194</v>
      </c>
      <c r="K8" s="423">
        <f t="shared" si="1"/>
        <v>2770.0975152041701</v>
      </c>
    </row>
    <row r="9" spans="1:11">
      <c r="A9" s="388" t="s">
        <v>361</v>
      </c>
      <c r="B9" s="388">
        <v>68</v>
      </c>
      <c r="C9" s="388"/>
      <c r="E9" s="388" t="s">
        <v>361</v>
      </c>
      <c r="F9" s="388">
        <v>46.4</v>
      </c>
      <c r="G9" s="392">
        <f t="shared" si="0"/>
        <v>770.53560313315938</v>
      </c>
      <c r="I9" s="388" t="s">
        <v>361</v>
      </c>
      <c r="J9" s="388">
        <v>47</v>
      </c>
      <c r="K9" s="392">
        <f t="shared" si="1"/>
        <v>671.10609904430919</v>
      </c>
    </row>
    <row r="10" spans="1:11">
      <c r="A10" s="388" t="s">
        <v>362</v>
      </c>
      <c r="B10" s="388">
        <v>221</v>
      </c>
      <c r="C10" s="388"/>
      <c r="E10" s="388" t="s">
        <v>362</v>
      </c>
      <c r="F10" s="388">
        <v>145.4</v>
      </c>
      <c r="G10" s="392">
        <f t="shared" si="0"/>
        <v>2414.5663080939953</v>
      </c>
      <c r="I10" s="388" t="s">
        <v>362</v>
      </c>
      <c r="J10" s="388">
        <v>109</v>
      </c>
      <c r="K10" s="392">
        <f t="shared" si="1"/>
        <v>1556.3949956559513</v>
      </c>
    </row>
    <row r="11" spans="1:11">
      <c r="A11" s="388" t="s">
        <v>363</v>
      </c>
      <c r="B11" s="388">
        <v>35</v>
      </c>
      <c r="C11" s="388"/>
      <c r="E11" s="388" t="s">
        <v>363</v>
      </c>
      <c r="F11" s="388">
        <v>13.9</v>
      </c>
      <c r="G11" s="392">
        <f t="shared" si="0"/>
        <v>230.82855352480419</v>
      </c>
      <c r="I11" s="388" t="s">
        <v>363</v>
      </c>
      <c r="J11" s="388">
        <v>29</v>
      </c>
      <c r="K11" s="392">
        <f t="shared" si="1"/>
        <v>414.08674196350995</v>
      </c>
    </row>
    <row r="12" spans="1:11">
      <c r="A12" s="388" t="s">
        <v>364</v>
      </c>
      <c r="B12" s="388">
        <v>150</v>
      </c>
      <c r="C12" s="388"/>
      <c r="E12" s="388" t="s">
        <v>364</v>
      </c>
      <c r="F12" s="388">
        <v>102</v>
      </c>
      <c r="G12" s="392">
        <f t="shared" si="0"/>
        <v>1693.8498172323762</v>
      </c>
      <c r="I12" s="388" t="s">
        <v>364</v>
      </c>
      <c r="J12" s="388">
        <v>103</v>
      </c>
      <c r="K12" s="392">
        <f t="shared" si="1"/>
        <v>1470.721876629018</v>
      </c>
    </row>
    <row r="13" spans="1:11">
      <c r="A13" s="389" t="s">
        <v>365</v>
      </c>
      <c r="B13" s="388">
        <v>64</v>
      </c>
      <c r="C13" s="388"/>
      <c r="E13" s="389" t="s">
        <v>365</v>
      </c>
      <c r="F13" s="388">
        <v>52</v>
      </c>
      <c r="G13" s="392">
        <f t="shared" si="0"/>
        <v>863.53127937336819</v>
      </c>
      <c r="I13" s="389" t="s">
        <v>365</v>
      </c>
      <c r="J13" s="388">
        <v>24</v>
      </c>
      <c r="K13" s="392">
        <f t="shared" si="1"/>
        <v>342.69247610773243</v>
      </c>
    </row>
    <row r="14" spans="1:11">
      <c r="A14" s="388" t="s">
        <v>366</v>
      </c>
      <c r="B14" s="388">
        <v>16</v>
      </c>
      <c r="C14" s="388"/>
      <c r="E14" s="388" t="s">
        <v>366</v>
      </c>
      <c r="F14" s="388">
        <v>10.7</v>
      </c>
      <c r="G14" s="392">
        <f t="shared" si="0"/>
        <v>177.68816710182767</v>
      </c>
      <c r="I14" s="388" t="s">
        <v>366</v>
      </c>
      <c r="J14" s="388">
        <v>12</v>
      </c>
      <c r="K14" s="392">
        <f t="shared" si="1"/>
        <v>171.34623805386622</v>
      </c>
    </row>
    <row r="15" spans="1:11">
      <c r="A15" s="388" t="s">
        <v>367</v>
      </c>
      <c r="B15" s="388">
        <v>15</v>
      </c>
      <c r="C15" s="388"/>
      <c r="E15" s="388" t="s">
        <v>367</v>
      </c>
      <c r="F15" s="388">
        <v>11.2</v>
      </c>
      <c r="G15" s="392">
        <f t="shared" si="0"/>
        <v>185.99135248041773</v>
      </c>
      <c r="I15" s="388" t="s">
        <v>367</v>
      </c>
      <c r="J15" s="388">
        <v>12</v>
      </c>
      <c r="K15" s="392">
        <f t="shared" si="1"/>
        <v>171.34623805386622</v>
      </c>
    </row>
    <row r="16" spans="1:11">
      <c r="A16" s="389" t="s">
        <v>368</v>
      </c>
      <c r="B16" s="388">
        <v>57</v>
      </c>
      <c r="C16" s="388"/>
      <c r="E16" s="389" t="s">
        <v>368</v>
      </c>
      <c r="F16" s="388">
        <v>43.7</v>
      </c>
      <c r="G16" s="392">
        <f t="shared" si="0"/>
        <v>725.69840208877292</v>
      </c>
      <c r="I16" s="389" t="s">
        <v>368</v>
      </c>
      <c r="J16" s="388">
        <v>65</v>
      </c>
      <c r="K16" s="392">
        <f t="shared" si="1"/>
        <v>928.1254561251086</v>
      </c>
    </row>
    <row r="17" spans="1:11">
      <c r="A17" s="388" t="s">
        <v>369</v>
      </c>
      <c r="B17" s="388">
        <v>222</v>
      </c>
      <c r="C17" s="388"/>
      <c r="E17" s="388" t="s">
        <v>369</v>
      </c>
      <c r="F17" s="388">
        <v>151</v>
      </c>
      <c r="G17" s="392">
        <f t="shared" si="0"/>
        <v>2507.5619843342038</v>
      </c>
      <c r="I17" s="388" t="s">
        <v>369</v>
      </c>
      <c r="J17" s="388">
        <v>153</v>
      </c>
      <c r="K17" s="392">
        <f t="shared" si="1"/>
        <v>2184.6645351867942</v>
      </c>
    </row>
    <row r="18" spans="1:11">
      <c r="A18" s="388" t="s">
        <v>41</v>
      </c>
      <c r="B18" s="388">
        <f>SUM(B2:B17)</f>
        <v>1669</v>
      </c>
      <c r="C18" s="388"/>
      <c r="E18" s="388" t="s">
        <v>41</v>
      </c>
      <c r="F18" s="388">
        <f>SUM(F2:F17)</f>
        <v>1149</v>
      </c>
      <c r="G18" s="392">
        <v>19080.72</v>
      </c>
      <c r="I18" s="388" t="s">
        <v>41</v>
      </c>
      <c r="J18" s="388">
        <f>SUM(J2:J17)</f>
        <v>1151</v>
      </c>
      <c r="K18" s="392">
        <v>16434.96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6</vt:i4>
      </vt:variant>
    </vt:vector>
  </HeadingPairs>
  <TitlesOfParts>
    <vt:vector size="13" baseType="lpstr">
      <vt:lpstr>每月各项请示文件</vt:lpstr>
      <vt:lpstr>三项费用分配</vt:lpstr>
      <vt:lpstr>辅助费用分配</vt:lpstr>
      <vt:lpstr>能源分配</vt:lpstr>
      <vt:lpstr>工资分配</vt:lpstr>
      <vt:lpstr>折算能源</vt:lpstr>
      <vt:lpstr>研发</vt:lpstr>
      <vt:lpstr>辅助费用分配!Print_Area</vt:lpstr>
      <vt:lpstr>工资分配!Print_Area</vt:lpstr>
      <vt:lpstr>每月各项请示文件!Print_Area</vt:lpstr>
      <vt:lpstr>能源分配!Print_Area</vt:lpstr>
      <vt:lpstr>三项费用分配!Print_Area</vt:lpstr>
      <vt:lpstr>折算能源!Print_Area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dellTH</cp:lastModifiedBy>
  <cp:lastPrinted>2017-04-11T01:46:53Z</cp:lastPrinted>
  <dcterms:created xsi:type="dcterms:W3CDTF">2015-01-16T05:16:45Z</dcterms:created>
  <dcterms:modified xsi:type="dcterms:W3CDTF">2017-04-18T07:56:32Z</dcterms:modified>
</cp:coreProperties>
</file>