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5" windowWidth="6555" windowHeight="7920" tabRatio="833"/>
  </bookViews>
  <sheets>
    <sheet name="R" sheetId="6" r:id="rId1"/>
    <sheet name="R爪" sheetId="1" r:id="rId2"/>
    <sheet name="R保税" sheetId="3" r:id="rId3"/>
    <sheet name="Z" sheetId="4" r:id="rId4"/>
    <sheet name="Z板68" sheetId="7" r:id="rId5"/>
    <sheet name="Z保税" sheetId="5" r:id="rId6"/>
    <sheet name="CCV" sheetId="14" r:id="rId7"/>
  </sheets>
  <definedNames>
    <definedName name="_xlnm.Print_Area" localSheetId="6">CCV!$A$1:$R$24</definedName>
    <definedName name="_xlnm.Print_Area" localSheetId="0">'R'!$A$1:$R$57</definedName>
    <definedName name="_xlnm.Print_Area" localSheetId="2">R保税!$A$1:$R$39</definedName>
    <definedName name="_xlnm.Print_Area" localSheetId="1">R爪!$A$1:$R$39</definedName>
    <definedName name="_xlnm.Print_Titles" localSheetId="0">'R'!$1:$2</definedName>
    <definedName name="_xlnm.Print_Titles" localSheetId="3">Z!$1:$4</definedName>
  </definedNames>
  <calcPr calcId="145621"/>
</workbook>
</file>

<file path=xl/calcChain.xml><?xml version="1.0" encoding="utf-8"?>
<calcChain xmlns="http://schemas.openxmlformats.org/spreadsheetml/2006/main">
  <c r="O16" i="3" l="1"/>
  <c r="H49" i="6" l="1"/>
  <c r="O53" i="6"/>
  <c r="O5" i="6"/>
  <c r="O6" i="6"/>
  <c r="O10" i="6"/>
  <c r="O9" i="6"/>
  <c r="O46" i="6"/>
  <c r="O50" i="6"/>
  <c r="O22" i="6"/>
  <c r="O30" i="6"/>
  <c r="O36" i="6"/>
  <c r="O35" i="6"/>
  <c r="O40" i="6"/>
  <c r="O15" i="1"/>
  <c r="O8" i="1"/>
  <c r="O7" i="1"/>
  <c r="O33" i="6"/>
  <c r="O34" i="6"/>
  <c r="O21" i="6"/>
  <c r="O54" i="6"/>
  <c r="O28" i="6"/>
  <c r="O48" i="6"/>
  <c r="O32" i="6"/>
  <c r="O24" i="6"/>
  <c r="O26" i="6"/>
  <c r="O52" i="6"/>
  <c r="O43" i="6"/>
  <c r="O44" i="6"/>
  <c r="O17" i="1"/>
  <c r="O18" i="1"/>
  <c r="O41" i="6"/>
  <c r="O42" i="6"/>
  <c r="O19" i="1"/>
  <c r="O20" i="1"/>
  <c r="O37" i="6"/>
  <c r="O38" i="6"/>
  <c r="O14" i="3"/>
  <c r="O13" i="3"/>
  <c r="O15" i="3"/>
  <c r="O6" i="3"/>
  <c r="O5" i="3"/>
  <c r="O20" i="3"/>
  <c r="O19" i="3"/>
  <c r="O8" i="3"/>
  <c r="O7" i="3"/>
  <c r="O18" i="3"/>
  <c r="O17" i="3"/>
  <c r="N21" i="6"/>
  <c r="N31" i="6"/>
  <c r="N32" i="6"/>
  <c r="N29" i="6"/>
  <c r="N33" i="6"/>
  <c r="N46" i="6"/>
  <c r="N45" i="6"/>
  <c r="N23" i="6"/>
  <c r="N25" i="6"/>
  <c r="N24" i="6"/>
  <c r="N48" i="6"/>
  <c r="N50" i="6"/>
  <c r="N27" i="6"/>
  <c r="N22" i="6"/>
  <c r="N5" i="6"/>
  <c r="N35" i="6"/>
  <c r="N36" i="6"/>
  <c r="N38" i="6"/>
  <c r="N41" i="6"/>
  <c r="N12" i="1"/>
  <c r="N40" i="6"/>
  <c r="N11" i="1"/>
  <c r="N13" i="1"/>
  <c r="N39" i="6"/>
  <c r="N16" i="1"/>
  <c r="N6" i="3"/>
  <c r="N5" i="3"/>
  <c r="N15" i="3"/>
  <c r="N7" i="3"/>
  <c r="N8" i="3"/>
  <c r="N37" i="6"/>
  <c r="N44" i="6"/>
  <c r="N19" i="1"/>
  <c r="N9" i="6"/>
  <c r="N54" i="6"/>
  <c r="N34" i="6"/>
  <c r="M20" i="1"/>
  <c r="M44" i="6"/>
  <c r="M36" i="6"/>
  <c r="M46" i="6"/>
  <c r="M34" i="6"/>
  <c r="M54" i="6"/>
  <c r="M22" i="6"/>
  <c r="M16" i="6"/>
  <c r="M6" i="1"/>
  <c r="M14" i="6"/>
  <c r="M10" i="6"/>
  <c r="M12" i="6"/>
  <c r="M6" i="6"/>
  <c r="M18" i="6"/>
  <c r="M8" i="3"/>
  <c r="L15" i="6"/>
  <c r="L5" i="6"/>
  <c r="L49" i="6"/>
  <c r="L33" i="6"/>
  <c r="L21" i="6"/>
  <c r="L41" i="6"/>
  <c r="L20" i="1"/>
  <c r="L5" i="1"/>
  <c r="L53" i="6"/>
  <c r="L17" i="6"/>
  <c r="L45" i="6"/>
  <c r="K13" i="6"/>
  <c r="K17" i="6"/>
  <c r="K5" i="1"/>
  <c r="K15" i="6"/>
  <c r="K11" i="6"/>
  <c r="K5" i="6"/>
  <c r="K19" i="6"/>
  <c r="K45" i="6"/>
  <c r="K31" i="6"/>
  <c r="K47" i="6"/>
  <c r="K21" i="6"/>
  <c r="K25" i="6"/>
  <c r="K23" i="6"/>
  <c r="K53" i="6"/>
  <c r="K33" i="6"/>
  <c r="K35" i="6"/>
  <c r="K41" i="6"/>
  <c r="K43" i="6"/>
  <c r="K37" i="6"/>
  <c r="K20" i="1"/>
  <c r="K5" i="3"/>
  <c r="K9" i="6"/>
  <c r="K51" i="6"/>
  <c r="K27" i="6"/>
  <c r="K49" i="6"/>
  <c r="K29" i="6"/>
  <c r="J15" i="6"/>
  <c r="J5" i="6"/>
  <c r="J33" i="6"/>
  <c r="J45" i="6"/>
  <c r="J5" i="1"/>
  <c r="J17" i="6"/>
  <c r="K41" i="4" l="1"/>
  <c r="K16" i="4"/>
  <c r="G7" i="1"/>
  <c r="G8" i="3"/>
  <c r="G7" i="3"/>
  <c r="H9" i="14"/>
  <c r="H7" i="14"/>
  <c r="F6" i="14"/>
  <c r="F9" i="14" l="1"/>
  <c r="H6" i="14" l="1"/>
  <c r="F33" i="6" l="1"/>
  <c r="E11" i="1" l="1"/>
  <c r="I39" i="6" l="1"/>
  <c r="O55" i="6" l="1"/>
  <c r="I6" i="14" l="1"/>
  <c r="F40" i="4" l="1"/>
  <c r="Q8" i="6"/>
  <c r="I8" i="6"/>
  <c r="Q7" i="6"/>
  <c r="I7" i="6"/>
  <c r="R7" i="6" l="1"/>
  <c r="Q48" i="6"/>
  <c r="I48" i="6"/>
  <c r="Q47" i="6"/>
  <c r="I47" i="6"/>
  <c r="R47" i="6" l="1"/>
  <c r="J11" i="7"/>
  <c r="P11" i="7" s="1"/>
  <c r="O11" i="7"/>
  <c r="O12" i="7"/>
  <c r="J12" i="7"/>
  <c r="G11" i="7"/>
  <c r="G12" i="7"/>
  <c r="G27" i="4"/>
  <c r="P12" i="7" l="1"/>
  <c r="Q7" i="14"/>
  <c r="Q6" i="14"/>
  <c r="Q5" i="14"/>
  <c r="O22" i="14"/>
  <c r="P22" i="14"/>
  <c r="H55" i="6" l="1"/>
  <c r="O26" i="4" l="1"/>
  <c r="O27" i="4"/>
  <c r="O28" i="4"/>
  <c r="O29" i="4"/>
  <c r="O30" i="4"/>
  <c r="O31" i="4"/>
  <c r="P31" i="4" s="1"/>
  <c r="O32" i="4"/>
  <c r="O33" i="4"/>
  <c r="O34" i="4"/>
  <c r="J26" i="4"/>
  <c r="J27" i="4"/>
  <c r="J28" i="4"/>
  <c r="J29" i="4"/>
  <c r="J30" i="4"/>
  <c r="J31" i="4"/>
  <c r="P29" i="4"/>
  <c r="P28" i="4" l="1"/>
  <c r="P27" i="4"/>
  <c r="P26" i="4"/>
  <c r="P30" i="4"/>
  <c r="O10" i="7"/>
  <c r="O13" i="7"/>
  <c r="O14" i="7"/>
  <c r="O15" i="7"/>
  <c r="O16" i="7"/>
  <c r="O17" i="7"/>
  <c r="I16" i="14" l="1"/>
  <c r="I17" i="14"/>
  <c r="I18" i="14"/>
  <c r="I14" i="14"/>
  <c r="I15" i="14"/>
  <c r="I12" i="14"/>
  <c r="I13" i="14"/>
  <c r="I8" i="14" l="1"/>
  <c r="Q51" i="6" l="1"/>
  <c r="Q52" i="6"/>
  <c r="I51" i="6"/>
  <c r="I52" i="6"/>
  <c r="Q29" i="6"/>
  <c r="Q30" i="6"/>
  <c r="I29" i="6"/>
  <c r="I30" i="6"/>
  <c r="N37" i="3" l="1"/>
  <c r="O16" i="4" l="1"/>
  <c r="Q9" i="14" l="1"/>
  <c r="Q10" i="14"/>
  <c r="Q8" i="14"/>
  <c r="Q11" i="14"/>
  <c r="Q12" i="14"/>
  <c r="Q13" i="14"/>
  <c r="Q14" i="14"/>
  <c r="Q15" i="14"/>
  <c r="Q16" i="14"/>
  <c r="Q17" i="14"/>
  <c r="Q18" i="14"/>
  <c r="Q19" i="14"/>
  <c r="Q20" i="14"/>
  <c r="Q21" i="14"/>
  <c r="O5" i="5"/>
  <c r="Q22" i="14" l="1"/>
  <c r="Q33" i="6"/>
  <c r="R51" i="6"/>
  <c r="R29" i="6"/>
  <c r="G55" i="6"/>
  <c r="G37" i="1"/>
  <c r="G37" i="3"/>
  <c r="R8" i="14" l="1"/>
  <c r="I7" i="14"/>
  <c r="I11" i="14"/>
  <c r="R11" i="14" s="1"/>
  <c r="R6" i="14"/>
  <c r="I10" i="14"/>
  <c r="R10" i="14" s="1"/>
  <c r="I9" i="14"/>
  <c r="R9" i="14" s="1"/>
  <c r="I5" i="14"/>
  <c r="R5" i="14" s="1"/>
  <c r="R7" i="14"/>
  <c r="I33" i="6"/>
  <c r="Q34" i="6"/>
  <c r="I34" i="6"/>
  <c r="R12" i="14"/>
  <c r="R13" i="14"/>
  <c r="R14" i="14"/>
  <c r="R15" i="14"/>
  <c r="R16" i="14"/>
  <c r="N40" i="4"/>
  <c r="P55" i="6"/>
  <c r="I15" i="6"/>
  <c r="Q15" i="6"/>
  <c r="Q16" i="6"/>
  <c r="I16" i="6"/>
  <c r="F22" i="14"/>
  <c r="G22" i="14"/>
  <c r="H22" i="14"/>
  <c r="I19" i="14"/>
  <c r="I20" i="14"/>
  <c r="I21" i="14"/>
  <c r="E22" i="14"/>
  <c r="J22" i="14"/>
  <c r="L22" i="14"/>
  <c r="N22" i="14"/>
  <c r="R17" i="14"/>
  <c r="R18" i="14"/>
  <c r="R19" i="14"/>
  <c r="R20" i="14"/>
  <c r="R21" i="14"/>
  <c r="M22" i="14"/>
  <c r="Q6" i="3"/>
  <c r="I5" i="3"/>
  <c r="Q5" i="3"/>
  <c r="I6" i="3"/>
  <c r="F37" i="1"/>
  <c r="F55" i="6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39" i="4"/>
  <c r="G38" i="4"/>
  <c r="G37" i="4"/>
  <c r="G36" i="4"/>
  <c r="G35" i="4"/>
  <c r="G34" i="4"/>
  <c r="G33" i="4"/>
  <c r="G32" i="4"/>
  <c r="G31" i="4"/>
  <c r="G30" i="4"/>
  <c r="G29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0" i="7"/>
  <c r="G9" i="7"/>
  <c r="G8" i="7"/>
  <c r="G7" i="7"/>
  <c r="G6" i="7"/>
  <c r="G5" i="7"/>
  <c r="J5" i="5"/>
  <c r="J18" i="7"/>
  <c r="J19" i="7"/>
  <c r="J20" i="7"/>
  <c r="J21" i="7"/>
  <c r="J22" i="7"/>
  <c r="J23" i="7"/>
  <c r="J24" i="7"/>
  <c r="J25" i="7"/>
  <c r="J26" i="7"/>
  <c r="J27" i="7"/>
  <c r="K33" i="7"/>
  <c r="J7" i="5"/>
  <c r="J9" i="5"/>
  <c r="J13" i="5"/>
  <c r="J6" i="5"/>
  <c r="J10" i="5"/>
  <c r="J8" i="5"/>
  <c r="J11" i="5"/>
  <c r="J12" i="5"/>
  <c r="J14" i="5"/>
  <c r="J15" i="5"/>
  <c r="P15" i="5" s="1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O7" i="5"/>
  <c r="O12" i="5"/>
  <c r="O9" i="5"/>
  <c r="O6" i="5"/>
  <c r="O8" i="5"/>
  <c r="O10" i="5"/>
  <c r="O11" i="5"/>
  <c r="O13" i="5"/>
  <c r="O14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17" i="4"/>
  <c r="O8" i="4"/>
  <c r="J8" i="4"/>
  <c r="O7" i="4"/>
  <c r="O9" i="4"/>
  <c r="O10" i="4"/>
  <c r="O11" i="4"/>
  <c r="O12" i="4"/>
  <c r="J55" i="6"/>
  <c r="O6" i="7"/>
  <c r="O7" i="7"/>
  <c r="P7" i="7" s="1"/>
  <c r="O8" i="7"/>
  <c r="O9" i="7"/>
  <c r="O5" i="7"/>
  <c r="I20" i="6"/>
  <c r="O6" i="4"/>
  <c r="O13" i="4"/>
  <c r="O14" i="4"/>
  <c r="O15" i="4"/>
  <c r="O18" i="4"/>
  <c r="O19" i="4"/>
  <c r="O20" i="4"/>
  <c r="O21" i="4"/>
  <c r="O22" i="4"/>
  <c r="O23" i="4"/>
  <c r="O24" i="4"/>
  <c r="O25" i="4"/>
  <c r="O35" i="4"/>
  <c r="O36" i="4"/>
  <c r="O37" i="4"/>
  <c r="O38" i="4"/>
  <c r="O39" i="4"/>
  <c r="P5" i="5"/>
  <c r="F37" i="3"/>
  <c r="J17" i="4"/>
  <c r="P17" i="4" s="1"/>
  <c r="J18" i="4"/>
  <c r="P18" i="4" s="1"/>
  <c r="J19" i="4"/>
  <c r="P19" i="4" s="1"/>
  <c r="J20" i="4"/>
  <c r="P20" i="4" s="1"/>
  <c r="J21" i="4"/>
  <c r="P21" i="4" s="1"/>
  <c r="J15" i="4"/>
  <c r="J16" i="4"/>
  <c r="P16" i="4" s="1"/>
  <c r="H40" i="4"/>
  <c r="I8" i="1"/>
  <c r="I7" i="1"/>
  <c r="I53" i="6"/>
  <c r="I54" i="6"/>
  <c r="I5" i="6"/>
  <c r="I6" i="6"/>
  <c r="Q5" i="6"/>
  <c r="Q6" i="6"/>
  <c r="I9" i="6"/>
  <c r="I10" i="6"/>
  <c r="Q9" i="6"/>
  <c r="Q10" i="6"/>
  <c r="I11" i="6"/>
  <c r="I12" i="6"/>
  <c r="Q11" i="6"/>
  <c r="Q12" i="6"/>
  <c r="I13" i="6"/>
  <c r="I14" i="6"/>
  <c r="Q13" i="6"/>
  <c r="Q14" i="6"/>
  <c r="I17" i="6"/>
  <c r="I18" i="6"/>
  <c r="Q17" i="6"/>
  <c r="Q18" i="6"/>
  <c r="I19" i="6"/>
  <c r="Q19" i="6"/>
  <c r="Q20" i="6"/>
  <c r="I21" i="6"/>
  <c r="I22" i="6"/>
  <c r="Q21" i="6"/>
  <c r="Q22" i="6"/>
  <c r="I23" i="6"/>
  <c r="I24" i="6"/>
  <c r="Q23" i="6"/>
  <c r="Q24" i="6"/>
  <c r="I25" i="6"/>
  <c r="I26" i="6"/>
  <c r="Q25" i="6"/>
  <c r="Q26" i="6"/>
  <c r="I27" i="6"/>
  <c r="I28" i="6"/>
  <c r="Q27" i="6"/>
  <c r="Q28" i="6"/>
  <c r="I31" i="6"/>
  <c r="I32" i="6"/>
  <c r="Q31" i="6"/>
  <c r="Q32" i="6"/>
  <c r="I35" i="6"/>
  <c r="I36" i="6"/>
  <c r="Q35" i="6"/>
  <c r="Q36" i="6"/>
  <c r="I37" i="6"/>
  <c r="I38" i="6"/>
  <c r="Q37" i="6"/>
  <c r="Q38" i="6"/>
  <c r="I40" i="6"/>
  <c r="Q39" i="6"/>
  <c r="Q40" i="6"/>
  <c r="I41" i="6"/>
  <c r="I42" i="6"/>
  <c r="Q41" i="6"/>
  <c r="Q42" i="6"/>
  <c r="I43" i="6"/>
  <c r="I44" i="6"/>
  <c r="Q43" i="6"/>
  <c r="Q44" i="6"/>
  <c r="I45" i="6"/>
  <c r="I46" i="6"/>
  <c r="Q45" i="6"/>
  <c r="Q46" i="6"/>
  <c r="I49" i="6"/>
  <c r="I50" i="6"/>
  <c r="Q49" i="6"/>
  <c r="Q50" i="6"/>
  <c r="Q53" i="6"/>
  <c r="Q54" i="6"/>
  <c r="Q7" i="3"/>
  <c r="Q8" i="3"/>
  <c r="I7" i="3"/>
  <c r="I8" i="3"/>
  <c r="Q9" i="3"/>
  <c r="Q10" i="3"/>
  <c r="I9" i="3"/>
  <c r="I10" i="3"/>
  <c r="Q11" i="3"/>
  <c r="Q12" i="3"/>
  <c r="I11" i="3"/>
  <c r="I12" i="3"/>
  <c r="Q13" i="3"/>
  <c r="Q14" i="3"/>
  <c r="I13" i="3"/>
  <c r="I14" i="3"/>
  <c r="Q15" i="3"/>
  <c r="Q16" i="3"/>
  <c r="I15" i="3"/>
  <c r="I16" i="3"/>
  <c r="Q17" i="3"/>
  <c r="Q18" i="3"/>
  <c r="I17" i="3"/>
  <c r="I18" i="3"/>
  <c r="J5" i="4"/>
  <c r="O5" i="4"/>
  <c r="J9" i="4"/>
  <c r="P9" i="4" s="1"/>
  <c r="J10" i="4"/>
  <c r="J11" i="4"/>
  <c r="P11" i="4" s="1"/>
  <c r="J12" i="4"/>
  <c r="J13" i="4"/>
  <c r="P13" i="4" s="1"/>
  <c r="J14" i="4"/>
  <c r="J22" i="4"/>
  <c r="J23" i="4"/>
  <c r="J24" i="4"/>
  <c r="J25" i="4"/>
  <c r="J32" i="4"/>
  <c r="P32" i="4" s="1"/>
  <c r="J33" i="4"/>
  <c r="P33" i="4" s="1"/>
  <c r="J34" i="4"/>
  <c r="P34" i="4" s="1"/>
  <c r="J35" i="4"/>
  <c r="J36" i="4"/>
  <c r="P36" i="4" s="1"/>
  <c r="J37" i="4"/>
  <c r="J38" i="4"/>
  <c r="J39" i="4"/>
  <c r="P10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N29" i="5"/>
  <c r="M29" i="5"/>
  <c r="L29" i="5"/>
  <c r="I29" i="5"/>
  <c r="H29" i="5"/>
  <c r="G27" i="5"/>
  <c r="G28" i="5"/>
  <c r="F29" i="5"/>
  <c r="E29" i="5"/>
  <c r="J5" i="7"/>
  <c r="J6" i="7"/>
  <c r="J7" i="7"/>
  <c r="J8" i="7"/>
  <c r="J9" i="7"/>
  <c r="J10" i="7"/>
  <c r="P10" i="7" s="1"/>
  <c r="J13" i="7"/>
  <c r="P13" i="7" s="1"/>
  <c r="J14" i="7"/>
  <c r="P14" i="7" s="1"/>
  <c r="J15" i="7"/>
  <c r="P15" i="7" s="1"/>
  <c r="J16" i="7"/>
  <c r="J17" i="7"/>
  <c r="J28" i="7"/>
  <c r="P28" i="7" s="1"/>
  <c r="J29" i="7"/>
  <c r="J30" i="7"/>
  <c r="J31" i="7"/>
  <c r="J32" i="7"/>
  <c r="Q5" i="1"/>
  <c r="Q6" i="1"/>
  <c r="I5" i="1"/>
  <c r="I6" i="1"/>
  <c r="Q7" i="1"/>
  <c r="Q8" i="1"/>
  <c r="Q9" i="1"/>
  <c r="Q10" i="1"/>
  <c r="I9" i="1"/>
  <c r="I10" i="1"/>
  <c r="R9" i="1" s="1"/>
  <c r="Q11" i="1"/>
  <c r="Q12" i="1"/>
  <c r="I11" i="1"/>
  <c r="I12" i="1"/>
  <c r="Q13" i="1"/>
  <c r="Q14" i="1"/>
  <c r="I13" i="1"/>
  <c r="I14" i="1"/>
  <c r="Q15" i="1"/>
  <c r="Q16" i="1"/>
  <c r="I15" i="1"/>
  <c r="I16" i="1"/>
  <c r="Q17" i="1"/>
  <c r="Q18" i="1"/>
  <c r="I17" i="1"/>
  <c r="I18" i="1"/>
  <c r="Q19" i="1"/>
  <c r="Q20" i="1"/>
  <c r="I19" i="1"/>
  <c r="I20" i="1"/>
  <c r="Q21" i="1"/>
  <c r="Q22" i="1"/>
  <c r="I21" i="1"/>
  <c r="I22" i="1"/>
  <c r="R21" i="1" s="1"/>
  <c r="Q23" i="1"/>
  <c r="Q24" i="1"/>
  <c r="I23" i="1"/>
  <c r="I24" i="1"/>
  <c r="R23" i="1"/>
  <c r="Q25" i="1"/>
  <c r="Q26" i="1"/>
  <c r="I25" i="1"/>
  <c r="I26" i="1"/>
  <c r="R25" i="1" s="1"/>
  <c r="Q27" i="1"/>
  <c r="I27" i="1"/>
  <c r="R27" i="1" s="1"/>
  <c r="Q28" i="1"/>
  <c r="I28" i="1"/>
  <c r="R28" i="1" s="1"/>
  <c r="Q29" i="1"/>
  <c r="I29" i="1"/>
  <c r="R29" i="1" s="1"/>
  <c r="Q30" i="1"/>
  <c r="I30" i="1"/>
  <c r="R30" i="1" s="1"/>
  <c r="Q31" i="1"/>
  <c r="I31" i="1"/>
  <c r="R31" i="1"/>
  <c r="Q32" i="1"/>
  <c r="I32" i="1"/>
  <c r="R32" i="1" s="1"/>
  <c r="Q33" i="1"/>
  <c r="I33" i="1"/>
  <c r="R33" i="1"/>
  <c r="Q34" i="1"/>
  <c r="I34" i="1"/>
  <c r="R34" i="1" s="1"/>
  <c r="Q35" i="1"/>
  <c r="I35" i="1"/>
  <c r="R35" i="1"/>
  <c r="Q36" i="1"/>
  <c r="I36" i="1"/>
  <c r="R36" i="1" s="1"/>
  <c r="E37" i="3"/>
  <c r="H3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J37" i="3"/>
  <c r="K37" i="3"/>
  <c r="L37" i="3"/>
  <c r="M37" i="3"/>
  <c r="P37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H37" i="1"/>
  <c r="J37" i="1"/>
  <c r="K37" i="1"/>
  <c r="L37" i="1"/>
  <c r="M37" i="1"/>
  <c r="N37" i="1"/>
  <c r="O37" i="1"/>
  <c r="P37" i="1"/>
  <c r="E37" i="1"/>
  <c r="O37" i="3"/>
  <c r="K29" i="5"/>
  <c r="K55" i="6"/>
  <c r="L55" i="6"/>
  <c r="M55" i="6"/>
  <c r="N55" i="6"/>
  <c r="E55" i="6"/>
  <c r="E40" i="4"/>
  <c r="I40" i="4"/>
  <c r="K40" i="4"/>
  <c r="L40" i="4"/>
  <c r="M40" i="4"/>
  <c r="O18" i="7"/>
  <c r="O19" i="7"/>
  <c r="P19" i="7" s="1"/>
  <c r="O20" i="7"/>
  <c r="O21" i="7"/>
  <c r="P21" i="7" s="1"/>
  <c r="O22" i="7"/>
  <c r="O23" i="7"/>
  <c r="P23" i="7" s="1"/>
  <c r="O24" i="7"/>
  <c r="O25" i="7"/>
  <c r="P25" i="7" s="1"/>
  <c r="O26" i="7"/>
  <c r="O27" i="7"/>
  <c r="P27" i="7" s="1"/>
  <c r="O28" i="7"/>
  <c r="O29" i="7"/>
  <c r="P29" i="7" s="1"/>
  <c r="O30" i="7"/>
  <c r="O32" i="7"/>
  <c r="N33" i="7"/>
  <c r="M33" i="7"/>
  <c r="L33" i="7"/>
  <c r="I33" i="7"/>
  <c r="H33" i="7"/>
  <c r="F33" i="7"/>
  <c r="E33" i="7"/>
  <c r="P32" i="7"/>
  <c r="P31" i="7"/>
  <c r="P30" i="7"/>
  <c r="P26" i="7"/>
  <c r="P24" i="7"/>
  <c r="P22" i="7"/>
  <c r="P20" i="7"/>
  <c r="P18" i="7"/>
  <c r="P17" i="7"/>
  <c r="P16" i="7"/>
  <c r="P23" i="4" l="1"/>
  <c r="P5" i="4"/>
  <c r="P15" i="4"/>
  <c r="R13" i="1"/>
  <c r="P22" i="4"/>
  <c r="O33" i="7"/>
  <c r="P6" i="5"/>
  <c r="P12" i="5"/>
  <c r="O40" i="4"/>
  <c r="R7" i="1"/>
  <c r="P8" i="7"/>
  <c r="R11" i="6"/>
  <c r="P8" i="5"/>
  <c r="P9" i="5"/>
  <c r="P14" i="5"/>
  <c r="P11" i="5"/>
  <c r="P13" i="5"/>
  <c r="P7" i="5"/>
  <c r="J29" i="5"/>
  <c r="P29" i="5" s="1"/>
  <c r="P5" i="7"/>
  <c r="P39" i="4"/>
  <c r="P37" i="4"/>
  <c r="P35" i="4"/>
  <c r="P12" i="4"/>
  <c r="P10" i="4"/>
  <c r="P8" i="4"/>
  <c r="P14" i="4"/>
  <c r="R9" i="3"/>
  <c r="R15" i="3"/>
  <c r="R11" i="3"/>
  <c r="R15" i="1"/>
  <c r="R17" i="1"/>
  <c r="R13" i="6"/>
  <c r="R19" i="6"/>
  <c r="R21" i="6"/>
  <c r="R19" i="1"/>
  <c r="R11" i="1"/>
  <c r="I37" i="1"/>
  <c r="I55" i="6"/>
  <c r="R5" i="1"/>
  <c r="R5" i="3"/>
  <c r="I37" i="3"/>
  <c r="P9" i="7"/>
  <c r="J33" i="7"/>
  <c r="P33" i="7" s="1"/>
  <c r="P6" i="7"/>
  <c r="G33" i="7"/>
  <c r="P38" i="4"/>
  <c r="G40" i="4"/>
  <c r="G29" i="5"/>
  <c r="R22" i="14"/>
  <c r="I22" i="14"/>
  <c r="R9" i="6"/>
  <c r="R7" i="3"/>
  <c r="R17" i="3"/>
  <c r="R23" i="6"/>
  <c r="R5" i="6"/>
  <c r="R15" i="6"/>
  <c r="R13" i="3"/>
  <c r="Q37" i="3"/>
  <c r="Q37" i="1"/>
  <c r="Q55" i="6"/>
  <c r="P25" i="4"/>
  <c r="P24" i="4"/>
  <c r="R17" i="6"/>
  <c r="R19" i="3"/>
  <c r="R43" i="6"/>
  <c r="R41" i="6"/>
  <c r="R39" i="6"/>
  <c r="R37" i="6"/>
  <c r="R35" i="6"/>
  <c r="R31" i="6"/>
  <c r="R27" i="6"/>
  <c r="R25" i="6"/>
  <c r="R53" i="6"/>
  <c r="R33" i="6"/>
  <c r="R45" i="6"/>
  <c r="R49" i="6"/>
  <c r="J7" i="4"/>
  <c r="P7" i="4" s="1"/>
  <c r="J6" i="4"/>
  <c r="R37" i="1" l="1"/>
  <c r="R37" i="3"/>
  <c r="R55" i="6"/>
  <c r="P6" i="4"/>
  <c r="P40" i="4" s="1"/>
  <c r="J40" i="4"/>
</calcChain>
</file>

<file path=xl/comments1.xml><?xml version="1.0" encoding="utf-8"?>
<comments xmlns="http://schemas.openxmlformats.org/spreadsheetml/2006/main">
  <authors>
    <author>panchengling</author>
  </authors>
  <commentList>
    <comment ref="D5" authorId="0">
      <text>
        <r>
          <rPr>
            <sz val="9"/>
            <color indexed="81"/>
            <rFont val="宋体"/>
            <family val="3"/>
            <charset val="134"/>
          </rPr>
          <t xml:space="preserve">含SFL6001
</t>
        </r>
      </text>
    </comment>
    <comment ref="D9" authorId="0">
      <text>
        <r>
          <rPr>
            <b/>
            <sz val="9"/>
            <color indexed="81"/>
            <rFont val="宋体"/>
            <family val="3"/>
            <charset val="134"/>
          </rPr>
          <t>含SFL6002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21" authorId="0">
      <text>
        <r>
          <rPr>
            <sz val="9"/>
            <color indexed="81"/>
            <rFont val="宋体"/>
            <family val="3"/>
            <charset val="134"/>
          </rPr>
          <t xml:space="preserve">含SFL6201
</t>
        </r>
      </text>
    </comment>
    <comment ref="D33" authorId="0">
      <text>
        <r>
          <rPr>
            <sz val="9"/>
            <color indexed="81"/>
            <rFont val="宋体"/>
            <family val="3"/>
            <charset val="134"/>
          </rPr>
          <t xml:space="preserve">含SFL6203
</t>
        </r>
      </text>
    </comment>
  </commentList>
</comments>
</file>

<file path=xl/comments2.xml><?xml version="1.0" encoding="utf-8"?>
<comments xmlns="http://schemas.openxmlformats.org/spreadsheetml/2006/main">
  <authors>
    <author>潘成玲</author>
  </authors>
  <commentList>
    <comment ref="E11" authorId="0">
      <text>
        <r>
          <rPr>
            <b/>
            <sz val="9"/>
            <color indexed="81"/>
            <rFont val="宋体"/>
            <family val="3"/>
            <charset val="134"/>
          </rPr>
          <t>保税转入结存44000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潘成玲</author>
  </authors>
  <commentList>
    <comment ref="J6" authorId="0">
      <text>
        <r>
          <rPr>
            <b/>
            <sz val="9"/>
            <color indexed="81"/>
            <rFont val="宋体"/>
            <family val="3"/>
            <charset val="134"/>
          </rPr>
          <t>未开窗</t>
        </r>
      </text>
    </comment>
  </commentList>
</comments>
</file>

<file path=xl/sharedStrings.xml><?xml version="1.0" encoding="utf-8"?>
<sst xmlns="http://schemas.openxmlformats.org/spreadsheetml/2006/main" count="732" uniqueCount="500">
  <si>
    <t>WKB/KDC</t>
  </si>
  <si>
    <t>KAW/KDC</t>
  </si>
  <si>
    <t>NTTC</t>
  </si>
  <si>
    <t>NTTC/NCY</t>
  </si>
  <si>
    <t>研磨</t>
    <phoneticPr fontId="2" type="noConversion"/>
  </si>
  <si>
    <t>插铆钉</t>
    <phoneticPr fontId="2" type="noConversion"/>
  </si>
  <si>
    <t>最终清洗</t>
    <phoneticPr fontId="2" type="noConversion"/>
  </si>
  <si>
    <t>最终包装</t>
    <phoneticPr fontId="2" type="noConversion"/>
  </si>
  <si>
    <t>保留品</t>
    <phoneticPr fontId="2" type="noConversion"/>
  </si>
  <si>
    <t>客户</t>
    <phoneticPr fontId="2" type="noConversion"/>
  </si>
  <si>
    <t>型式</t>
    <phoneticPr fontId="2" type="noConversion"/>
  </si>
  <si>
    <t>上存</t>
    <phoneticPr fontId="2" type="noConversion"/>
  </si>
  <si>
    <t>本月产量</t>
    <phoneticPr fontId="2" type="noConversion"/>
  </si>
  <si>
    <t>成品入库</t>
    <phoneticPr fontId="2" type="noConversion"/>
  </si>
  <si>
    <t>报废</t>
    <phoneticPr fontId="2" type="noConversion"/>
  </si>
  <si>
    <t>帐存</t>
    <phoneticPr fontId="2" type="noConversion"/>
  </si>
  <si>
    <t>实存</t>
    <phoneticPr fontId="2" type="noConversion"/>
  </si>
  <si>
    <t>差异</t>
    <phoneticPr fontId="2" type="noConversion"/>
  </si>
  <si>
    <t>TTL</t>
    <phoneticPr fontId="2" type="noConversion"/>
  </si>
  <si>
    <t>冲压</t>
    <phoneticPr fontId="2" type="noConversion"/>
  </si>
  <si>
    <t>保留品</t>
    <phoneticPr fontId="2" type="noConversion"/>
  </si>
  <si>
    <t>FZC-9178-78-A</t>
    <phoneticPr fontId="2" type="noConversion"/>
  </si>
  <si>
    <t>FZC-9173-30</t>
    <phoneticPr fontId="2" type="noConversion"/>
  </si>
  <si>
    <t>FZC-9198-49</t>
    <phoneticPr fontId="2" type="noConversion"/>
  </si>
  <si>
    <t>FZC-9211-49-1</t>
    <phoneticPr fontId="2" type="noConversion"/>
  </si>
  <si>
    <t>FZC-9185-20</t>
    <phoneticPr fontId="2" type="noConversion"/>
  </si>
  <si>
    <t>单位：只</t>
    <phoneticPr fontId="2" type="noConversion"/>
  </si>
  <si>
    <t>核准：</t>
    <phoneticPr fontId="2" type="noConversion"/>
  </si>
  <si>
    <t>审核：</t>
    <phoneticPr fontId="2" type="noConversion"/>
  </si>
  <si>
    <t>作成:潘成玲</t>
    <phoneticPr fontId="2" type="noConversion"/>
  </si>
  <si>
    <t>外观检查</t>
    <phoneticPr fontId="2" type="noConversion"/>
  </si>
  <si>
    <t>清洗入库</t>
    <phoneticPr fontId="2" type="noConversion"/>
  </si>
  <si>
    <t>清洗</t>
    <phoneticPr fontId="2" type="noConversion"/>
  </si>
  <si>
    <t>WKB</t>
    <phoneticPr fontId="2" type="noConversion"/>
  </si>
  <si>
    <t>688ZL-X1(JL)</t>
    <phoneticPr fontId="2" type="noConversion"/>
  </si>
  <si>
    <t>688Z-W(JL)</t>
    <phoneticPr fontId="2" type="noConversion"/>
  </si>
  <si>
    <t>625-5Z-W(JL)</t>
    <phoneticPr fontId="2" type="noConversion"/>
  </si>
  <si>
    <t>625-5ZL-W(JL)</t>
    <phoneticPr fontId="2" type="noConversion"/>
  </si>
  <si>
    <t>625-10Z-W-X1(JL)</t>
    <phoneticPr fontId="2" type="noConversion"/>
  </si>
  <si>
    <t>830011-6ZSU7-W(JL)</t>
    <phoneticPr fontId="2" type="noConversion"/>
  </si>
  <si>
    <t>608-33Z-W(JL)</t>
    <phoneticPr fontId="2" type="noConversion"/>
  </si>
  <si>
    <t>624ZSU7-W(JL)</t>
    <phoneticPr fontId="2" type="noConversion"/>
  </si>
  <si>
    <t>608Z-W(JL)</t>
    <phoneticPr fontId="2" type="noConversion"/>
  </si>
  <si>
    <t>6200Z-W(JL)</t>
    <phoneticPr fontId="2" type="noConversion"/>
  </si>
  <si>
    <t>W688Z-X2-W(JL)</t>
    <phoneticPr fontId="2" type="noConversion"/>
  </si>
  <si>
    <t>W688Z-X4-W(JL)</t>
    <phoneticPr fontId="2" type="noConversion"/>
  </si>
  <si>
    <t>作成：潘成玲</t>
    <phoneticPr fontId="2" type="noConversion"/>
  </si>
  <si>
    <t>KAW</t>
    <phoneticPr fontId="2" type="noConversion"/>
  </si>
  <si>
    <t>6804ZL-W-X1</t>
    <phoneticPr fontId="2" type="noConversion"/>
  </si>
  <si>
    <t>6805Z-W-X1</t>
    <phoneticPr fontId="2" type="noConversion"/>
  </si>
  <si>
    <t>6806Z-C8-W-X1</t>
    <phoneticPr fontId="2" type="noConversion"/>
  </si>
  <si>
    <t>6806Z-KZ-W-X1</t>
    <phoneticPr fontId="2" type="noConversion"/>
  </si>
  <si>
    <t>6806Z-W-X1</t>
    <phoneticPr fontId="2" type="noConversion"/>
  </si>
  <si>
    <t>6807ZL1-KZ-W-X1</t>
    <phoneticPr fontId="2" type="noConversion"/>
  </si>
  <si>
    <t>6807ZL1-4M-W-X1</t>
    <phoneticPr fontId="2" type="noConversion"/>
  </si>
  <si>
    <t>NSK</t>
    <phoneticPr fontId="2" type="noConversion"/>
  </si>
  <si>
    <t>NTTC/TODO</t>
    <phoneticPr fontId="2" type="noConversion"/>
  </si>
  <si>
    <t>NTTC</t>
    <phoneticPr fontId="2" type="noConversion"/>
  </si>
  <si>
    <t>WKB/KDC</t>
    <phoneticPr fontId="2" type="noConversion"/>
  </si>
  <si>
    <t>NTN</t>
    <phoneticPr fontId="2" type="noConversion"/>
  </si>
  <si>
    <t>落料</t>
    <phoneticPr fontId="2" type="noConversion"/>
  </si>
  <si>
    <t>成型</t>
    <phoneticPr fontId="2" type="noConversion"/>
  </si>
  <si>
    <t>6001 D1(JL)</t>
    <phoneticPr fontId="2" type="noConversion"/>
  </si>
  <si>
    <t>6001 D2(JL)</t>
    <phoneticPr fontId="2" type="noConversion"/>
  </si>
  <si>
    <t>608 D1(JL)-C</t>
    <phoneticPr fontId="2" type="noConversion"/>
  </si>
  <si>
    <t>608 D2(JL)-C</t>
    <phoneticPr fontId="2" type="noConversion"/>
  </si>
  <si>
    <t>TDK</t>
    <phoneticPr fontId="2" type="noConversion"/>
  </si>
  <si>
    <t>6301E D1(JL)</t>
    <phoneticPr fontId="2" type="noConversion"/>
  </si>
  <si>
    <t>6301E D2(JL)</t>
    <phoneticPr fontId="2" type="noConversion"/>
  </si>
  <si>
    <t>KDC</t>
    <phoneticPr fontId="2" type="noConversion"/>
  </si>
  <si>
    <t>606 D1(JL)</t>
    <phoneticPr fontId="2" type="noConversion"/>
  </si>
  <si>
    <t>606 D2(JL)</t>
    <phoneticPr fontId="2" type="noConversion"/>
  </si>
  <si>
    <t>638 D1(JL)</t>
    <phoneticPr fontId="2" type="noConversion"/>
  </si>
  <si>
    <t>638 D2(JL)</t>
    <phoneticPr fontId="2" type="noConversion"/>
  </si>
  <si>
    <t>698 D1(JL)</t>
    <phoneticPr fontId="2" type="noConversion"/>
  </si>
  <si>
    <t>698 D2(JL)</t>
    <phoneticPr fontId="2" type="noConversion"/>
  </si>
  <si>
    <t>6000 D1(JL)</t>
    <phoneticPr fontId="2" type="noConversion"/>
  </si>
  <si>
    <t>6000 D2(JL)</t>
    <phoneticPr fontId="2" type="noConversion"/>
  </si>
  <si>
    <t>629 D1</t>
    <phoneticPr fontId="2" type="noConversion"/>
  </si>
  <si>
    <t>629 D2</t>
    <phoneticPr fontId="2" type="noConversion"/>
  </si>
  <si>
    <t>608 D1-C</t>
    <phoneticPr fontId="2" type="noConversion"/>
  </si>
  <si>
    <t>608 D2-C</t>
    <phoneticPr fontId="2" type="noConversion"/>
  </si>
  <si>
    <t>698 D1</t>
    <phoneticPr fontId="2" type="noConversion"/>
  </si>
  <si>
    <t>698 D2</t>
    <phoneticPr fontId="2" type="noConversion"/>
  </si>
  <si>
    <t>606 D1</t>
    <phoneticPr fontId="2" type="noConversion"/>
  </si>
  <si>
    <t>606 D2</t>
    <phoneticPr fontId="2" type="noConversion"/>
  </si>
  <si>
    <t>638 D1</t>
    <phoneticPr fontId="2" type="noConversion"/>
  </si>
  <si>
    <t>638 D2</t>
    <phoneticPr fontId="2" type="noConversion"/>
  </si>
  <si>
    <t>6000 D1</t>
    <phoneticPr fontId="2" type="noConversion"/>
  </si>
  <si>
    <t>6000 D2</t>
    <phoneticPr fontId="2" type="noConversion"/>
  </si>
  <si>
    <t>6900 D1</t>
    <phoneticPr fontId="2" type="noConversion"/>
  </si>
  <si>
    <t>6900 D2</t>
    <phoneticPr fontId="2" type="noConversion"/>
  </si>
  <si>
    <t>6901 D1</t>
    <phoneticPr fontId="2" type="noConversion"/>
  </si>
  <si>
    <t>6901 D2</t>
    <phoneticPr fontId="2" type="noConversion"/>
  </si>
  <si>
    <t>626 D1</t>
    <phoneticPr fontId="2" type="noConversion"/>
  </si>
  <si>
    <t>626 D2</t>
    <phoneticPr fontId="2" type="noConversion"/>
  </si>
  <si>
    <t>688 D1</t>
    <phoneticPr fontId="2" type="noConversion"/>
  </si>
  <si>
    <t>688 D2</t>
    <phoneticPr fontId="2" type="noConversion"/>
  </si>
  <si>
    <t>NSK/SFL-PT</t>
    <phoneticPr fontId="2" type="noConversion"/>
  </si>
  <si>
    <t>6001 D1</t>
    <phoneticPr fontId="2" type="noConversion"/>
  </si>
  <si>
    <t>6001 D2</t>
    <phoneticPr fontId="2" type="noConversion"/>
  </si>
  <si>
    <t>6002 D1</t>
    <phoneticPr fontId="2" type="noConversion"/>
  </si>
  <si>
    <t>6002 D2</t>
    <phoneticPr fontId="2" type="noConversion"/>
  </si>
  <si>
    <t>6003 D1</t>
    <phoneticPr fontId="2" type="noConversion"/>
  </si>
  <si>
    <t>6003 D2</t>
    <phoneticPr fontId="2" type="noConversion"/>
  </si>
  <si>
    <t>6200JA D1</t>
    <phoneticPr fontId="2" type="noConversion"/>
  </si>
  <si>
    <t>6200JA D2</t>
    <phoneticPr fontId="2" type="noConversion"/>
  </si>
  <si>
    <t>6201JA D1</t>
    <phoneticPr fontId="2" type="noConversion"/>
  </si>
  <si>
    <t>6201JA D2</t>
    <phoneticPr fontId="2" type="noConversion"/>
  </si>
  <si>
    <t>6202JA D1</t>
    <phoneticPr fontId="2" type="noConversion"/>
  </si>
  <si>
    <t>6202JA D2</t>
    <phoneticPr fontId="2" type="noConversion"/>
  </si>
  <si>
    <t>IMV6201JA D1</t>
    <phoneticPr fontId="2" type="noConversion"/>
  </si>
  <si>
    <t>IMV6201JA D2</t>
    <phoneticPr fontId="2" type="noConversion"/>
  </si>
  <si>
    <t>NTTC/NCY/DNCY/SFL-PT</t>
    <phoneticPr fontId="2" type="noConversion"/>
  </si>
  <si>
    <t>6201E D1</t>
    <phoneticPr fontId="2" type="noConversion"/>
  </si>
  <si>
    <t>6201E D2</t>
    <phoneticPr fontId="2" type="noConversion"/>
  </si>
  <si>
    <t>6201X1 D1</t>
    <phoneticPr fontId="2" type="noConversion"/>
  </si>
  <si>
    <t>6201X1 D2</t>
    <phoneticPr fontId="2" type="noConversion"/>
  </si>
  <si>
    <t>研磨1</t>
    <phoneticPr fontId="2" type="noConversion"/>
  </si>
  <si>
    <t>热处理</t>
    <phoneticPr fontId="2" type="noConversion"/>
  </si>
  <si>
    <t>研磨</t>
    <phoneticPr fontId="2" type="noConversion"/>
  </si>
  <si>
    <t>插铆钉</t>
    <phoneticPr fontId="2" type="noConversion"/>
  </si>
  <si>
    <t>最终清洗</t>
    <phoneticPr fontId="2" type="noConversion"/>
  </si>
  <si>
    <t>最终包装</t>
    <phoneticPr fontId="2" type="noConversion"/>
  </si>
  <si>
    <t>保留品</t>
    <phoneticPr fontId="2" type="noConversion"/>
  </si>
  <si>
    <t>SFL</t>
    <phoneticPr fontId="2" type="noConversion"/>
  </si>
  <si>
    <t>6202SFL D1</t>
    <phoneticPr fontId="2" type="noConversion"/>
  </si>
  <si>
    <t>6202SFL D2</t>
    <phoneticPr fontId="2" type="noConversion"/>
  </si>
  <si>
    <t>NTTC/NCY/DNCY</t>
    <phoneticPr fontId="2" type="noConversion"/>
  </si>
  <si>
    <t>6202E D1</t>
    <phoneticPr fontId="2" type="noConversion"/>
  </si>
  <si>
    <t>6202E D2</t>
    <phoneticPr fontId="2" type="noConversion"/>
  </si>
  <si>
    <t>6202X2 D1</t>
    <phoneticPr fontId="2" type="noConversion"/>
  </si>
  <si>
    <t>6202X2 D2</t>
    <phoneticPr fontId="2" type="noConversion"/>
  </si>
  <si>
    <t>6200J3E D1</t>
    <phoneticPr fontId="2" type="noConversion"/>
  </si>
  <si>
    <t>6200J3E D2</t>
    <phoneticPr fontId="2" type="noConversion"/>
  </si>
  <si>
    <t>NTTC/NCY/SFL</t>
    <phoneticPr fontId="2" type="noConversion"/>
  </si>
  <si>
    <t>6203E D1</t>
    <phoneticPr fontId="2" type="noConversion"/>
  </si>
  <si>
    <t>6203E D2</t>
    <phoneticPr fontId="2" type="noConversion"/>
  </si>
  <si>
    <t>KAW</t>
    <phoneticPr fontId="2" type="noConversion"/>
  </si>
  <si>
    <t>6202 D1</t>
    <phoneticPr fontId="2" type="noConversion"/>
  </si>
  <si>
    <t>6202 D2</t>
    <phoneticPr fontId="2" type="noConversion"/>
  </si>
  <si>
    <t>6902 D1</t>
    <phoneticPr fontId="2" type="noConversion"/>
  </si>
  <si>
    <t>6902 D2</t>
    <phoneticPr fontId="2" type="noConversion"/>
  </si>
  <si>
    <t>6201 D1</t>
    <phoneticPr fontId="2" type="noConversion"/>
  </si>
  <si>
    <t>6201 D2</t>
    <phoneticPr fontId="2" type="noConversion"/>
  </si>
  <si>
    <t>6904 D1</t>
    <phoneticPr fontId="2" type="noConversion"/>
  </si>
  <si>
    <t>6904 D2</t>
    <phoneticPr fontId="2" type="noConversion"/>
  </si>
  <si>
    <t>6004 D1</t>
    <phoneticPr fontId="2" type="noConversion"/>
  </si>
  <si>
    <t>6004 D2</t>
    <phoneticPr fontId="2" type="noConversion"/>
  </si>
  <si>
    <t>6301E D1</t>
    <phoneticPr fontId="2" type="noConversion"/>
  </si>
  <si>
    <t>6301E D2</t>
    <phoneticPr fontId="2" type="noConversion"/>
  </si>
  <si>
    <t>6300E D1</t>
    <phoneticPr fontId="2" type="noConversion"/>
  </si>
  <si>
    <t>6300E D2</t>
    <phoneticPr fontId="2" type="noConversion"/>
  </si>
  <si>
    <t>NSK</t>
    <phoneticPr fontId="2" type="noConversion"/>
  </si>
  <si>
    <t>NCY/DNCY</t>
    <phoneticPr fontId="2" type="noConversion"/>
  </si>
  <si>
    <t>6900 D1(JL)</t>
    <phoneticPr fontId="2" type="noConversion"/>
  </si>
  <si>
    <t>6900 D2(JL)</t>
    <phoneticPr fontId="2" type="noConversion"/>
  </si>
  <si>
    <t>KDC</t>
    <phoneticPr fontId="2" type="noConversion"/>
  </si>
  <si>
    <t>6302E D1</t>
    <phoneticPr fontId="2" type="noConversion"/>
  </si>
  <si>
    <t>NCY</t>
    <phoneticPr fontId="2" type="noConversion"/>
  </si>
  <si>
    <t>保留品</t>
    <phoneticPr fontId="2" type="noConversion"/>
  </si>
  <si>
    <t>FZC-9178-11-3（开窗加工）</t>
  </si>
  <si>
    <t>那智</t>
    <phoneticPr fontId="2" type="noConversion"/>
  </si>
  <si>
    <t>那智</t>
    <phoneticPr fontId="2" type="noConversion"/>
  </si>
  <si>
    <t>那智</t>
    <phoneticPr fontId="2" type="noConversion"/>
  </si>
  <si>
    <t>序号</t>
    <phoneticPr fontId="2" type="noConversion"/>
  </si>
  <si>
    <t>CCV-02</t>
    <phoneticPr fontId="2" type="noConversion"/>
  </si>
  <si>
    <t>CCV-01</t>
    <phoneticPr fontId="2" type="noConversion"/>
  </si>
  <si>
    <t>CCV-06</t>
    <phoneticPr fontId="2" type="noConversion"/>
  </si>
  <si>
    <t>CCV-05</t>
    <phoneticPr fontId="2" type="noConversion"/>
  </si>
  <si>
    <t>CCV-03</t>
    <phoneticPr fontId="2" type="noConversion"/>
  </si>
  <si>
    <t>CCV-04</t>
    <phoneticPr fontId="2" type="noConversion"/>
  </si>
  <si>
    <t>序号</t>
    <phoneticPr fontId="2" type="noConversion"/>
  </si>
  <si>
    <t>Z-03</t>
    <phoneticPr fontId="2" type="noConversion"/>
  </si>
  <si>
    <t>Z-46</t>
    <phoneticPr fontId="2" type="noConversion"/>
  </si>
  <si>
    <t>Z-33</t>
    <phoneticPr fontId="2" type="noConversion"/>
  </si>
  <si>
    <t>Z-35</t>
    <phoneticPr fontId="2" type="noConversion"/>
  </si>
  <si>
    <t>Z-31</t>
    <phoneticPr fontId="2" type="noConversion"/>
  </si>
  <si>
    <t>Z-50</t>
    <phoneticPr fontId="2" type="noConversion"/>
  </si>
  <si>
    <t>Z-25</t>
    <phoneticPr fontId="2" type="noConversion"/>
  </si>
  <si>
    <t>Z-29</t>
    <phoneticPr fontId="2" type="noConversion"/>
  </si>
  <si>
    <t>Z-23</t>
    <phoneticPr fontId="2" type="noConversion"/>
  </si>
  <si>
    <t>Z-27</t>
    <phoneticPr fontId="2" type="noConversion"/>
  </si>
  <si>
    <t>Z-18</t>
    <phoneticPr fontId="2" type="noConversion"/>
  </si>
  <si>
    <t>Z-49</t>
    <phoneticPr fontId="2" type="noConversion"/>
  </si>
  <si>
    <t>Z-47</t>
    <phoneticPr fontId="2" type="noConversion"/>
  </si>
  <si>
    <t>Z-34</t>
    <phoneticPr fontId="2" type="noConversion"/>
  </si>
  <si>
    <t>Z-36</t>
    <phoneticPr fontId="2" type="noConversion"/>
  </si>
  <si>
    <t>Z-32</t>
    <phoneticPr fontId="2" type="noConversion"/>
  </si>
  <si>
    <t>Z-51</t>
    <phoneticPr fontId="2" type="noConversion"/>
  </si>
  <si>
    <t>Z-26</t>
    <phoneticPr fontId="2" type="noConversion"/>
  </si>
  <si>
    <t>Z-30</t>
    <phoneticPr fontId="2" type="noConversion"/>
  </si>
  <si>
    <t>Z-24</t>
    <phoneticPr fontId="2" type="noConversion"/>
  </si>
  <si>
    <t>Z-28</t>
    <phoneticPr fontId="2" type="noConversion"/>
  </si>
  <si>
    <t>Z-44</t>
    <phoneticPr fontId="2" type="noConversion"/>
  </si>
  <si>
    <t>Z-45</t>
    <phoneticPr fontId="2" type="noConversion"/>
  </si>
  <si>
    <t>R-01</t>
    <phoneticPr fontId="2" type="noConversion"/>
  </si>
  <si>
    <t>R-05</t>
    <phoneticPr fontId="2" type="noConversion"/>
  </si>
  <si>
    <t>R-07</t>
    <phoneticPr fontId="2" type="noConversion"/>
  </si>
  <si>
    <t>R-45</t>
    <phoneticPr fontId="2" type="noConversion"/>
  </si>
  <si>
    <t>R-47</t>
    <phoneticPr fontId="2" type="noConversion"/>
  </si>
  <si>
    <t>R-49</t>
    <phoneticPr fontId="2" type="noConversion"/>
  </si>
  <si>
    <t>R-33</t>
    <phoneticPr fontId="2" type="noConversion"/>
  </si>
  <si>
    <t>R-53</t>
    <phoneticPr fontId="2" type="noConversion"/>
  </si>
  <si>
    <t>R-35</t>
    <phoneticPr fontId="2" type="noConversion"/>
  </si>
  <si>
    <t>R-55</t>
    <phoneticPr fontId="2" type="noConversion"/>
  </si>
  <si>
    <t>R-59</t>
    <phoneticPr fontId="2" type="noConversion"/>
  </si>
  <si>
    <t>R-31</t>
    <phoneticPr fontId="2" type="noConversion"/>
  </si>
  <si>
    <t>R-37</t>
    <phoneticPr fontId="2" type="noConversion"/>
  </si>
  <si>
    <t>R-13</t>
    <phoneticPr fontId="2" type="noConversion"/>
  </si>
  <si>
    <t>R-17</t>
    <phoneticPr fontId="2" type="noConversion"/>
  </si>
  <si>
    <t>R-11</t>
    <phoneticPr fontId="2" type="noConversion"/>
  </si>
  <si>
    <t>R-19</t>
    <phoneticPr fontId="2" type="noConversion"/>
  </si>
  <si>
    <t>R-09</t>
    <phoneticPr fontId="2" type="noConversion"/>
  </si>
  <si>
    <t>R-41</t>
    <phoneticPr fontId="2" type="noConversion"/>
  </si>
  <si>
    <t>R-39</t>
    <phoneticPr fontId="2" type="noConversion"/>
  </si>
  <si>
    <t>R-61</t>
    <phoneticPr fontId="2" type="noConversion"/>
  </si>
  <si>
    <t>R-51</t>
    <phoneticPr fontId="2" type="noConversion"/>
  </si>
  <si>
    <t>R-02</t>
    <phoneticPr fontId="2" type="noConversion"/>
  </si>
  <si>
    <t>R-06</t>
    <phoneticPr fontId="2" type="noConversion"/>
  </si>
  <si>
    <t>R-08</t>
    <phoneticPr fontId="2" type="noConversion"/>
  </si>
  <si>
    <t>R-46</t>
    <phoneticPr fontId="2" type="noConversion"/>
  </si>
  <si>
    <t>R-48</t>
    <phoneticPr fontId="2" type="noConversion"/>
  </si>
  <si>
    <t>R-50</t>
    <phoneticPr fontId="2" type="noConversion"/>
  </si>
  <si>
    <t>R-34</t>
    <phoneticPr fontId="2" type="noConversion"/>
  </si>
  <si>
    <t>R-54</t>
    <phoneticPr fontId="2" type="noConversion"/>
  </si>
  <si>
    <t>R-36</t>
    <phoneticPr fontId="2" type="noConversion"/>
  </si>
  <si>
    <t>R-56</t>
    <phoneticPr fontId="2" type="noConversion"/>
  </si>
  <si>
    <t>R-60</t>
    <phoneticPr fontId="2" type="noConversion"/>
  </si>
  <si>
    <t>R-32</t>
    <phoneticPr fontId="2" type="noConversion"/>
  </si>
  <si>
    <t>R-38</t>
    <phoneticPr fontId="2" type="noConversion"/>
  </si>
  <si>
    <t>R-14</t>
    <phoneticPr fontId="2" type="noConversion"/>
  </si>
  <si>
    <t>R-18</t>
    <phoneticPr fontId="2" type="noConversion"/>
  </si>
  <si>
    <t>R-12</t>
    <phoneticPr fontId="2" type="noConversion"/>
  </si>
  <si>
    <t>R-20</t>
    <phoneticPr fontId="2" type="noConversion"/>
  </si>
  <si>
    <t>R-10</t>
    <phoneticPr fontId="2" type="noConversion"/>
  </si>
  <si>
    <t>R-42</t>
    <phoneticPr fontId="2" type="noConversion"/>
  </si>
  <si>
    <t>R-40</t>
    <phoneticPr fontId="2" type="noConversion"/>
  </si>
  <si>
    <t>R-62</t>
    <phoneticPr fontId="2" type="noConversion"/>
  </si>
  <si>
    <t>R-52</t>
    <phoneticPr fontId="2" type="noConversion"/>
  </si>
  <si>
    <t>MR-09</t>
    <phoneticPr fontId="2" type="noConversion"/>
  </si>
  <si>
    <t>MR-10</t>
    <phoneticPr fontId="2" type="noConversion"/>
  </si>
  <si>
    <t>MR-05</t>
    <phoneticPr fontId="2" type="noConversion"/>
  </si>
  <si>
    <t>MR-06</t>
    <phoneticPr fontId="2" type="noConversion"/>
  </si>
  <si>
    <t>MR-17</t>
    <phoneticPr fontId="2" type="noConversion"/>
  </si>
  <si>
    <t>MR-18</t>
    <phoneticPr fontId="2" type="noConversion"/>
  </si>
  <si>
    <t>MR-01</t>
    <phoneticPr fontId="2" type="noConversion"/>
  </si>
  <si>
    <t>MR-02</t>
    <phoneticPr fontId="2" type="noConversion"/>
  </si>
  <si>
    <t>MR-11</t>
    <phoneticPr fontId="2" type="noConversion"/>
  </si>
  <si>
    <t>MR-12</t>
    <phoneticPr fontId="2" type="noConversion"/>
  </si>
  <si>
    <t>MR-21</t>
    <phoneticPr fontId="2" type="noConversion"/>
  </si>
  <si>
    <t>MR-22</t>
    <phoneticPr fontId="2" type="noConversion"/>
  </si>
  <si>
    <t>MR-25</t>
    <phoneticPr fontId="2" type="noConversion"/>
  </si>
  <si>
    <t>MR-26</t>
    <phoneticPr fontId="2" type="noConversion"/>
  </si>
  <si>
    <t>MR-29</t>
    <phoneticPr fontId="2" type="noConversion"/>
  </si>
  <si>
    <t>MR-30</t>
    <phoneticPr fontId="2" type="noConversion"/>
  </si>
  <si>
    <t>MR-31</t>
    <phoneticPr fontId="2" type="noConversion"/>
  </si>
  <si>
    <t>MR-32</t>
    <phoneticPr fontId="2" type="noConversion"/>
  </si>
  <si>
    <t>MR-15</t>
    <phoneticPr fontId="2" type="noConversion"/>
  </si>
  <si>
    <t>MR-16</t>
    <phoneticPr fontId="2" type="noConversion"/>
  </si>
  <si>
    <t>R-03</t>
    <phoneticPr fontId="2" type="noConversion"/>
  </si>
  <si>
    <t>R-04</t>
    <phoneticPr fontId="2" type="noConversion"/>
  </si>
  <si>
    <t>MR-07</t>
    <phoneticPr fontId="2" type="noConversion"/>
  </si>
  <si>
    <t>MR-08</t>
    <phoneticPr fontId="2" type="noConversion"/>
  </si>
  <si>
    <t>R-43</t>
    <phoneticPr fontId="2" type="noConversion"/>
  </si>
  <si>
    <t>R-44</t>
    <phoneticPr fontId="2" type="noConversion"/>
  </si>
  <si>
    <t>MR-03</t>
    <phoneticPr fontId="2" type="noConversion"/>
  </si>
  <si>
    <t>MR-04</t>
    <phoneticPr fontId="2" type="noConversion"/>
  </si>
  <si>
    <t>MR-13</t>
    <phoneticPr fontId="2" type="noConversion"/>
  </si>
  <si>
    <t>MR-14</t>
    <phoneticPr fontId="2" type="noConversion"/>
  </si>
  <si>
    <t>MR-19</t>
    <phoneticPr fontId="2" type="noConversion"/>
  </si>
  <si>
    <t>MR-20</t>
    <phoneticPr fontId="2" type="noConversion"/>
  </si>
  <si>
    <t>MR-23</t>
    <phoneticPr fontId="2" type="noConversion"/>
  </si>
  <si>
    <t>MR-24</t>
    <phoneticPr fontId="2" type="noConversion"/>
  </si>
  <si>
    <t>MR-27</t>
    <phoneticPr fontId="2" type="noConversion"/>
  </si>
  <si>
    <t>MR-28</t>
    <phoneticPr fontId="2" type="noConversion"/>
  </si>
  <si>
    <t>629Z*</t>
    <phoneticPr fontId="2" type="noConversion"/>
  </si>
  <si>
    <t>6000Z1</t>
    <phoneticPr fontId="2" type="noConversion"/>
  </si>
  <si>
    <t>6001Z</t>
    <phoneticPr fontId="2" type="noConversion"/>
  </si>
  <si>
    <t>6001Z（返回品）</t>
    <phoneticPr fontId="2" type="noConversion"/>
  </si>
  <si>
    <t>6002Z</t>
    <phoneticPr fontId="2" type="noConversion"/>
  </si>
  <si>
    <t>6003Z</t>
    <phoneticPr fontId="2" type="noConversion"/>
  </si>
  <si>
    <t>6004Z</t>
    <phoneticPr fontId="2" type="noConversion"/>
  </si>
  <si>
    <t>6005Z</t>
    <phoneticPr fontId="2" type="noConversion"/>
  </si>
  <si>
    <t>6200Z</t>
    <phoneticPr fontId="2" type="noConversion"/>
  </si>
  <si>
    <t>6201Z</t>
    <phoneticPr fontId="2" type="noConversion"/>
  </si>
  <si>
    <t>6201Z（返回品）</t>
    <phoneticPr fontId="2" type="noConversion"/>
  </si>
  <si>
    <t>6202Z</t>
    <phoneticPr fontId="2" type="noConversion"/>
  </si>
  <si>
    <t>6202Z（返回品）</t>
    <phoneticPr fontId="2" type="noConversion"/>
  </si>
  <si>
    <t>6203Z</t>
    <phoneticPr fontId="2" type="noConversion"/>
  </si>
  <si>
    <t>6204Z</t>
    <phoneticPr fontId="2" type="noConversion"/>
  </si>
  <si>
    <t>6301Z</t>
    <phoneticPr fontId="2" type="noConversion"/>
  </si>
  <si>
    <t>WD6200Z</t>
    <phoneticPr fontId="2" type="noConversion"/>
  </si>
  <si>
    <t>WD6201Z</t>
    <phoneticPr fontId="2" type="noConversion"/>
  </si>
  <si>
    <t>WD6202Z</t>
    <phoneticPr fontId="2" type="noConversion"/>
  </si>
  <si>
    <t>6202ZE</t>
    <phoneticPr fontId="2" type="noConversion"/>
  </si>
  <si>
    <t>H-12BX3712S3ZE-J</t>
    <phoneticPr fontId="2" type="noConversion"/>
  </si>
  <si>
    <t>6202ZE-J</t>
    <phoneticPr fontId="2" type="noConversion"/>
  </si>
  <si>
    <t>6205ZE-J</t>
    <phoneticPr fontId="2" type="noConversion"/>
  </si>
  <si>
    <t>6302ZE-J</t>
    <phoneticPr fontId="2" type="noConversion"/>
  </si>
  <si>
    <t>688ZL-X1</t>
    <phoneticPr fontId="2" type="noConversion"/>
  </si>
  <si>
    <t>688Z-W</t>
    <phoneticPr fontId="2" type="noConversion"/>
  </si>
  <si>
    <t>625-5Z-W</t>
    <phoneticPr fontId="2" type="noConversion"/>
  </si>
  <si>
    <t>625-5ZL-W</t>
    <phoneticPr fontId="2" type="noConversion"/>
  </si>
  <si>
    <t>625-10Z-W-X1</t>
    <phoneticPr fontId="2" type="noConversion"/>
  </si>
  <si>
    <t>830011-1ZSU7-W</t>
    <phoneticPr fontId="2" type="noConversion"/>
  </si>
  <si>
    <t>608-33Z-W</t>
    <phoneticPr fontId="2" type="noConversion"/>
  </si>
  <si>
    <t>624ZSU7-W</t>
    <phoneticPr fontId="2" type="noConversion"/>
  </si>
  <si>
    <t>608Z-W</t>
    <phoneticPr fontId="2" type="noConversion"/>
  </si>
  <si>
    <t>6200Z-W</t>
    <phoneticPr fontId="2" type="noConversion"/>
  </si>
  <si>
    <t>6806Z</t>
    <phoneticPr fontId="2" type="noConversion"/>
  </si>
  <si>
    <t>Z-04</t>
    <phoneticPr fontId="2" type="noConversion"/>
  </si>
  <si>
    <t>Z-06</t>
    <phoneticPr fontId="2" type="noConversion"/>
  </si>
  <si>
    <t>Z-08</t>
    <phoneticPr fontId="2" type="noConversion"/>
  </si>
  <si>
    <t>Z-09</t>
    <phoneticPr fontId="2" type="noConversion"/>
  </si>
  <si>
    <t>Z-10</t>
    <phoneticPr fontId="2" type="noConversion"/>
  </si>
  <si>
    <t>Z-11</t>
    <phoneticPr fontId="2" type="noConversion"/>
  </si>
  <si>
    <t>Z-12</t>
    <phoneticPr fontId="2" type="noConversion"/>
  </si>
  <si>
    <t>Z-13</t>
    <phoneticPr fontId="2" type="noConversion"/>
  </si>
  <si>
    <t>Z-14</t>
    <phoneticPr fontId="2" type="noConversion"/>
  </si>
  <si>
    <t>Z-15</t>
    <phoneticPr fontId="2" type="noConversion"/>
  </si>
  <si>
    <t>Z-16</t>
    <phoneticPr fontId="2" type="noConversion"/>
  </si>
  <si>
    <t>Z-17</t>
    <phoneticPr fontId="2" type="noConversion"/>
  </si>
  <si>
    <t>Z-52</t>
    <phoneticPr fontId="2" type="noConversion"/>
  </si>
  <si>
    <t>Z-53</t>
    <phoneticPr fontId="2" type="noConversion"/>
  </si>
  <si>
    <t>Z-54</t>
    <phoneticPr fontId="2" type="noConversion"/>
  </si>
  <si>
    <t>Z-56</t>
    <phoneticPr fontId="2" type="noConversion"/>
  </si>
  <si>
    <t>Z-55</t>
    <phoneticPr fontId="2" type="noConversion"/>
  </si>
  <si>
    <t>Z-57</t>
    <phoneticPr fontId="2" type="noConversion"/>
  </si>
  <si>
    <t>Z-61</t>
    <phoneticPr fontId="2" type="noConversion"/>
  </si>
  <si>
    <t>Z-62</t>
    <phoneticPr fontId="2" type="noConversion"/>
  </si>
  <si>
    <t>Z-48</t>
    <phoneticPr fontId="2" type="noConversion"/>
  </si>
  <si>
    <t>Z-37</t>
    <phoneticPr fontId="2" type="noConversion"/>
  </si>
  <si>
    <t>Z-38</t>
    <phoneticPr fontId="2" type="noConversion"/>
  </si>
  <si>
    <t>Z-40</t>
    <phoneticPr fontId="2" type="noConversion"/>
  </si>
  <si>
    <t>Z-41</t>
    <phoneticPr fontId="2" type="noConversion"/>
  </si>
  <si>
    <t>Z-39</t>
    <phoneticPr fontId="2" type="noConversion"/>
  </si>
  <si>
    <t>Z-43</t>
    <phoneticPr fontId="2" type="noConversion"/>
  </si>
  <si>
    <t>Z-42</t>
    <phoneticPr fontId="2" type="noConversion"/>
  </si>
  <si>
    <t>未研磨</t>
    <phoneticPr fontId="2" type="noConversion"/>
  </si>
  <si>
    <t>外观已检查</t>
    <phoneticPr fontId="2" type="noConversion"/>
  </si>
  <si>
    <t>已研磨未检查</t>
    <phoneticPr fontId="2" type="noConversion"/>
  </si>
  <si>
    <t>6807ZL1-KZ-W-X1返回品</t>
    <phoneticPr fontId="2" type="noConversion"/>
  </si>
  <si>
    <t>6302XE D1</t>
    <phoneticPr fontId="2" type="noConversion"/>
  </si>
  <si>
    <t>6001 D1</t>
    <phoneticPr fontId="2" type="noConversion"/>
  </si>
  <si>
    <t>6001 D2</t>
    <phoneticPr fontId="2" type="noConversion"/>
  </si>
  <si>
    <t>6205E D1</t>
    <phoneticPr fontId="2" type="noConversion"/>
  </si>
  <si>
    <t>6205E D2</t>
    <phoneticPr fontId="2" type="noConversion"/>
  </si>
  <si>
    <t>6302E D2</t>
    <phoneticPr fontId="2" type="noConversion"/>
  </si>
  <si>
    <t>6302XE D2</t>
    <phoneticPr fontId="2" type="noConversion"/>
  </si>
  <si>
    <t>2015/1 在  制  品  盘  点  汇 总  表——  波 形 保 持 架</t>
    <phoneticPr fontId="2" type="noConversion"/>
  </si>
  <si>
    <t>2015/1 在  制  品  盘  点  汇 总  表—— 爪 式 保 持 架</t>
    <phoneticPr fontId="2" type="noConversion"/>
  </si>
  <si>
    <t xml:space="preserve">      日期：2015.1.30                                                  </t>
    <phoneticPr fontId="2" type="noConversion"/>
  </si>
  <si>
    <t xml:space="preserve">      日期：2015.1.30                                                                 </t>
    <phoneticPr fontId="2" type="noConversion"/>
  </si>
  <si>
    <t>2015/1 在  制  品  盘  点  汇  总  表——   保  持  架</t>
    <phoneticPr fontId="2" type="noConversion"/>
  </si>
  <si>
    <t xml:space="preserve">      日期：2015.1.30                                                                                                 </t>
    <phoneticPr fontId="2" type="noConversion"/>
  </si>
  <si>
    <t>2015/1 在  制  品  盘   点  汇  总  表——密  封  板</t>
    <phoneticPr fontId="2" type="noConversion"/>
  </si>
  <si>
    <t xml:space="preserve">      日期：2015.1.30</t>
    <phoneticPr fontId="2" type="noConversion"/>
  </si>
  <si>
    <t xml:space="preserve">      日期：2015.1.30                           </t>
    <phoneticPr fontId="2" type="noConversion"/>
  </si>
  <si>
    <t>2015/1 在  制  品  盘  点  汇  总  表——密  封  板</t>
    <phoneticPr fontId="2" type="noConversion"/>
  </si>
  <si>
    <t xml:space="preserve"> 日期：2015.1.30                                                                  </t>
    <phoneticPr fontId="2" type="noConversion"/>
  </si>
  <si>
    <t>2015/1 在  制  品  盘  点  汇  总  表——   汽车件</t>
    <phoneticPr fontId="2" type="noConversion"/>
  </si>
  <si>
    <t xml:space="preserve">      日期：2015/1.30                                                                                                             </t>
    <phoneticPr fontId="2" type="noConversion"/>
  </si>
  <si>
    <t>存货编码</t>
    <phoneticPr fontId="2" type="noConversion"/>
  </si>
  <si>
    <t>R-6001-01</t>
    <phoneticPr fontId="2" type="noConversion"/>
  </si>
  <si>
    <t>R-6001-02</t>
    <phoneticPr fontId="2" type="noConversion"/>
  </si>
  <si>
    <t>R-6002-D1</t>
    <phoneticPr fontId="2" type="noConversion"/>
  </si>
  <si>
    <t>R-6003-D1</t>
    <phoneticPr fontId="2" type="noConversion"/>
  </si>
  <si>
    <t>R-6003-D2</t>
    <phoneticPr fontId="2" type="noConversion"/>
  </si>
  <si>
    <t>R-JA-6200-01</t>
    <phoneticPr fontId="2" type="noConversion"/>
  </si>
  <si>
    <t>R-JA-6200-02</t>
  </si>
  <si>
    <t>R-JA-6201-01</t>
    <phoneticPr fontId="2" type="noConversion"/>
  </si>
  <si>
    <t>R-JA-6201-02</t>
  </si>
  <si>
    <t>R-JA-6202-01</t>
    <phoneticPr fontId="2" type="noConversion"/>
  </si>
  <si>
    <t>R-JA-6202-02</t>
  </si>
  <si>
    <t>R-E-6201-01</t>
    <phoneticPr fontId="2" type="noConversion"/>
  </si>
  <si>
    <t>R-E-6201-02</t>
  </si>
  <si>
    <t>R-X-6201-01</t>
    <phoneticPr fontId="2" type="noConversion"/>
  </si>
  <si>
    <t>R-X-6201-02</t>
  </si>
  <si>
    <t>R-E-6202-01</t>
    <phoneticPr fontId="2" type="noConversion"/>
  </si>
  <si>
    <t>R-E-6202-02</t>
  </si>
  <si>
    <t>R-X-6202-01</t>
    <phoneticPr fontId="2" type="noConversion"/>
  </si>
  <si>
    <t>R-X-6202-02</t>
  </si>
  <si>
    <t>R-E-6205-01</t>
    <phoneticPr fontId="2" type="noConversion"/>
  </si>
  <si>
    <t>R-E-6205-02</t>
  </si>
  <si>
    <t>R-E-6200J3-01</t>
    <phoneticPr fontId="2" type="noConversion"/>
  </si>
  <si>
    <t>R-E-6200J3-02</t>
  </si>
  <si>
    <t>R-E-6203-01</t>
    <phoneticPr fontId="2" type="noConversion"/>
  </si>
  <si>
    <t>R-E-6203-02</t>
  </si>
  <si>
    <t>R-6202-01</t>
    <phoneticPr fontId="2" type="noConversion"/>
  </si>
  <si>
    <t>R-6202-02</t>
  </si>
  <si>
    <t>R-6902-01</t>
    <phoneticPr fontId="2" type="noConversion"/>
  </si>
  <si>
    <t>R-6902-02</t>
  </si>
  <si>
    <t>R-6201-01</t>
    <phoneticPr fontId="2" type="noConversion"/>
  </si>
  <si>
    <t>R-6201-02</t>
  </si>
  <si>
    <t>R-6904-01</t>
    <phoneticPr fontId="2" type="noConversion"/>
  </si>
  <si>
    <t>R-6904-02</t>
  </si>
  <si>
    <t>R-6004-01</t>
    <phoneticPr fontId="2" type="noConversion"/>
  </si>
  <si>
    <t>R-6004-02</t>
  </si>
  <si>
    <t>R-E-6301-01</t>
    <phoneticPr fontId="2" type="noConversion"/>
  </si>
  <si>
    <t>R-E-6301-02</t>
  </si>
  <si>
    <t>R-E-6302-01</t>
    <phoneticPr fontId="2" type="noConversion"/>
  </si>
  <si>
    <t>R-E-6302-02</t>
  </si>
  <si>
    <t>R-E-6300-01</t>
    <phoneticPr fontId="2" type="noConversion"/>
  </si>
  <si>
    <t>R-E-6300-02</t>
  </si>
  <si>
    <t>R-X-6302-01</t>
    <phoneticPr fontId="2" type="noConversion"/>
  </si>
  <si>
    <t>R-X-6302-02</t>
  </si>
  <si>
    <t>R-S-6202-01</t>
    <phoneticPr fontId="2" type="noConversion"/>
  </si>
  <si>
    <t>R-S-6202-02</t>
  </si>
  <si>
    <t>存货编码</t>
    <phoneticPr fontId="2" type="noConversion"/>
  </si>
  <si>
    <t>R-6002-D2</t>
    <phoneticPr fontId="2" type="noConversion"/>
  </si>
  <si>
    <t>M-0-629-01</t>
    <phoneticPr fontId="2" type="noConversion"/>
  </si>
  <si>
    <t>M-0-629-02</t>
  </si>
  <si>
    <t>M-0-608-01</t>
    <phoneticPr fontId="2" type="noConversion"/>
  </si>
  <si>
    <t>M-0-608-02</t>
  </si>
  <si>
    <t>M-0-698-01</t>
    <phoneticPr fontId="2" type="noConversion"/>
  </si>
  <si>
    <t>M-0-698-02</t>
  </si>
  <si>
    <t>M-0-606-01</t>
    <phoneticPr fontId="2" type="noConversion"/>
  </si>
  <si>
    <t>M-0-606-02</t>
  </si>
  <si>
    <t>M-0-638-01</t>
    <phoneticPr fontId="2" type="noConversion"/>
  </si>
  <si>
    <t>M-0-638-02</t>
  </si>
  <si>
    <t>M-6000-01</t>
    <phoneticPr fontId="2" type="noConversion"/>
  </si>
  <si>
    <t>M-6000-02</t>
  </si>
  <si>
    <t>M-6900-01</t>
    <phoneticPr fontId="2" type="noConversion"/>
  </si>
  <si>
    <t>M-6900-02</t>
  </si>
  <si>
    <t>M-6901-01</t>
    <phoneticPr fontId="2" type="noConversion"/>
  </si>
  <si>
    <t>M-6901-02</t>
  </si>
  <si>
    <t>M-0-626-01</t>
    <phoneticPr fontId="2" type="noConversion"/>
  </si>
  <si>
    <t>M-0-626-02</t>
  </si>
  <si>
    <t>M-0-688-01</t>
    <phoneticPr fontId="2" type="noConversion"/>
  </si>
  <si>
    <t>M-0-688-02</t>
  </si>
  <si>
    <t>R-6001-11(JL)</t>
    <phoneticPr fontId="2" type="noConversion"/>
  </si>
  <si>
    <t>R-6001-12(JL)</t>
    <phoneticPr fontId="2" type="noConversion"/>
  </si>
  <si>
    <t>M-0-608-11(JL)</t>
    <phoneticPr fontId="2" type="noConversion"/>
  </si>
  <si>
    <t>M-0-608-12(JL)</t>
  </si>
  <si>
    <t>R-E-6301-11(JL)</t>
    <phoneticPr fontId="2" type="noConversion"/>
  </si>
  <si>
    <t>R-E-6301-12(JL)</t>
  </si>
  <si>
    <t>M-0-606-11(JL)</t>
    <phoneticPr fontId="2" type="noConversion"/>
  </si>
  <si>
    <t>M-0-606-12(JL)</t>
  </si>
  <si>
    <t>M-0-638-11(JL)</t>
    <phoneticPr fontId="2" type="noConversion"/>
  </si>
  <si>
    <t>M-0-638-12(JL)</t>
  </si>
  <si>
    <t>M-0-698-11(JL)</t>
    <phoneticPr fontId="2" type="noConversion"/>
  </si>
  <si>
    <t>M-0-698-12(JL)</t>
  </si>
  <si>
    <t>M-6000-11(JL)</t>
    <phoneticPr fontId="2" type="noConversion"/>
  </si>
  <si>
    <t>M-6000-12(JL)</t>
  </si>
  <si>
    <t>M-6900-11(JL)</t>
    <phoneticPr fontId="2" type="noConversion"/>
  </si>
  <si>
    <t>M-6900-12(JL)</t>
  </si>
  <si>
    <t>Z-0-629</t>
    <phoneticPr fontId="2" type="noConversion"/>
  </si>
  <si>
    <t>Z-6000-Z1</t>
    <phoneticPr fontId="2" type="noConversion"/>
  </si>
  <si>
    <t>Z-6001-Z</t>
  </si>
  <si>
    <t>Z-6002</t>
    <phoneticPr fontId="2" type="noConversion"/>
  </si>
  <si>
    <t>Z-6003</t>
    <phoneticPr fontId="2" type="noConversion"/>
  </si>
  <si>
    <t>Z-6004</t>
    <phoneticPr fontId="2" type="noConversion"/>
  </si>
  <si>
    <t>Z-6005</t>
    <phoneticPr fontId="2" type="noConversion"/>
  </si>
  <si>
    <t>Z-6200</t>
    <phoneticPr fontId="2" type="noConversion"/>
  </si>
  <si>
    <t>Z-6201</t>
    <phoneticPr fontId="2" type="noConversion"/>
  </si>
  <si>
    <t>Z-6202</t>
    <phoneticPr fontId="2" type="noConversion"/>
  </si>
  <si>
    <t>Z-6203</t>
    <phoneticPr fontId="2" type="noConversion"/>
  </si>
  <si>
    <t>Z-6204</t>
    <phoneticPr fontId="2" type="noConversion"/>
  </si>
  <si>
    <t>Z-6301</t>
    <phoneticPr fontId="2" type="noConversion"/>
  </si>
  <si>
    <t>Z-WD-6200</t>
    <phoneticPr fontId="2" type="noConversion"/>
  </si>
  <si>
    <t>Z-WD-6201</t>
    <phoneticPr fontId="2" type="noConversion"/>
  </si>
  <si>
    <t>Z-WD-6202</t>
    <phoneticPr fontId="2" type="noConversion"/>
  </si>
  <si>
    <t>Z-ZE-6202</t>
    <phoneticPr fontId="2" type="noConversion"/>
  </si>
  <si>
    <t>Z-ZE-12BX</t>
    <phoneticPr fontId="2" type="noConversion"/>
  </si>
  <si>
    <t>Z-ZE-6202-J</t>
    <phoneticPr fontId="2" type="noConversion"/>
  </si>
  <si>
    <t>Z-ZE-6205-J</t>
    <phoneticPr fontId="2" type="noConversion"/>
  </si>
  <si>
    <t>Z-ZE-6302-J</t>
    <phoneticPr fontId="2" type="noConversion"/>
  </si>
  <si>
    <t>Z-W-688ZL</t>
    <phoneticPr fontId="2" type="noConversion"/>
  </si>
  <si>
    <t>Z-W-688Z</t>
    <phoneticPr fontId="2" type="noConversion"/>
  </si>
  <si>
    <t>Z-W-625-5Z</t>
    <phoneticPr fontId="2" type="noConversion"/>
  </si>
  <si>
    <t>Z-W-625-5ZL</t>
    <phoneticPr fontId="2" type="noConversion"/>
  </si>
  <si>
    <t>Z-W-62510Z</t>
    <phoneticPr fontId="2" type="noConversion"/>
  </si>
  <si>
    <t>Z-W-83-6Z-7</t>
    <phoneticPr fontId="2" type="noConversion"/>
  </si>
  <si>
    <t>Z-W-608-33</t>
    <phoneticPr fontId="2" type="noConversion"/>
  </si>
  <si>
    <t>Z-W-624-7</t>
    <phoneticPr fontId="2" type="noConversion"/>
  </si>
  <si>
    <t>Z-W-608</t>
    <phoneticPr fontId="2" type="noConversion"/>
  </si>
  <si>
    <t>Z-W-6200</t>
    <phoneticPr fontId="2" type="noConversion"/>
  </si>
  <si>
    <t>Z-6806</t>
    <phoneticPr fontId="2" type="noConversion"/>
  </si>
  <si>
    <t>Z-W-6804</t>
    <phoneticPr fontId="2" type="noConversion"/>
  </si>
  <si>
    <t>Z-W-6805</t>
    <phoneticPr fontId="2" type="noConversion"/>
  </si>
  <si>
    <t>Z-W-6806-C8</t>
    <phoneticPr fontId="2" type="noConversion"/>
  </si>
  <si>
    <t>Z-W-6806-KZ</t>
    <phoneticPr fontId="2" type="noConversion"/>
  </si>
  <si>
    <t>Z-W-6806</t>
    <phoneticPr fontId="2" type="noConversion"/>
  </si>
  <si>
    <t>Z-W-6807-KZ</t>
    <phoneticPr fontId="2" type="noConversion"/>
  </si>
  <si>
    <t>Z-W-6807-4M</t>
    <phoneticPr fontId="2" type="noConversion"/>
  </si>
  <si>
    <t>Z-W-688ZL(JL)</t>
    <phoneticPr fontId="2" type="noConversion"/>
  </si>
  <si>
    <t>Z-W-688Z(JL)</t>
    <phoneticPr fontId="2" type="noConversion"/>
  </si>
  <si>
    <t>Z-W-625-5Z(JL)</t>
    <phoneticPr fontId="2" type="noConversion"/>
  </si>
  <si>
    <t>Z-W-625-5ZL(JL)</t>
    <phoneticPr fontId="2" type="noConversion"/>
  </si>
  <si>
    <t>Z-W-625-10Z(JL)</t>
    <phoneticPr fontId="2" type="noConversion"/>
  </si>
  <si>
    <t>Z-W-83-6Z-7(JL)</t>
    <phoneticPr fontId="2" type="noConversion"/>
  </si>
  <si>
    <t>Z-W-608-33(JL)</t>
    <phoneticPr fontId="2" type="noConversion"/>
  </si>
  <si>
    <t>Z-W-624-7(JL)</t>
    <phoneticPr fontId="2" type="noConversion"/>
  </si>
  <si>
    <t>Z-W-608(JL)</t>
    <phoneticPr fontId="2" type="noConversion"/>
  </si>
  <si>
    <t>Z-W-6200(JL)</t>
    <phoneticPr fontId="2" type="noConversion"/>
  </si>
  <si>
    <t>Z-W-688-X2(JL)</t>
    <phoneticPr fontId="2" type="noConversion"/>
  </si>
  <si>
    <t>Z-W-688-X4(JL)</t>
    <phoneticPr fontId="2" type="noConversion"/>
  </si>
  <si>
    <t>FZC-9178-11-3</t>
    <phoneticPr fontId="2" type="noConversion"/>
  </si>
  <si>
    <t>R-6001-01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</si>
</sst>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18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华文细黑"/>
      <family val="3"/>
      <charset val="134"/>
    </font>
    <font>
      <sz val="12"/>
      <name val="宋体"/>
      <family val="3"/>
      <charset val="134"/>
    </font>
    <font>
      <sz val="10"/>
      <name val="华文细黑"/>
      <family val="3"/>
      <charset val="134"/>
    </font>
    <font>
      <b/>
      <u/>
      <sz val="16"/>
      <name val="华文细黑"/>
      <family val="3"/>
      <charset val="134"/>
    </font>
    <font>
      <sz val="9.5"/>
      <name val="华文细黑"/>
      <family val="3"/>
      <charset val="134"/>
    </font>
    <font>
      <sz val="16"/>
      <name val="华文细黑"/>
      <family val="3"/>
      <charset val="134"/>
    </font>
    <font>
      <sz val="8"/>
      <name val="华文细黑"/>
      <family val="3"/>
      <charset val="134"/>
    </font>
    <font>
      <sz val="10"/>
      <name val="MS PGothic"/>
      <family val="2"/>
      <charset val="128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Times New Roman"/>
      <family val="1"/>
    </font>
    <font>
      <b/>
      <sz val="16"/>
      <name val="华文细黑"/>
      <family val="3"/>
      <charset val="134"/>
    </font>
    <font>
      <sz val="8"/>
      <color rgb="FFFF0000"/>
      <name val="华文细黑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56">
    <xf numFmtId="0" fontId="0" fillId="0" borderId="0" xfId="0"/>
    <xf numFmtId="41" fontId="3" fillId="0" borderId="0" xfId="0" applyNumberFormat="1" applyFont="1" applyFill="1"/>
    <xf numFmtId="41" fontId="7" fillId="0" borderId="0" xfId="0" applyNumberFormat="1" applyFont="1" applyFill="1" applyBorder="1"/>
    <xf numFmtId="41" fontId="3" fillId="0" borderId="0" xfId="0" applyNumberFormat="1" applyFont="1" applyFill="1" applyBorder="1"/>
    <xf numFmtId="41" fontId="8" fillId="0" borderId="0" xfId="0" applyNumberFormat="1" applyFont="1" applyFill="1"/>
    <xf numFmtId="41" fontId="9" fillId="0" borderId="1" xfId="1" applyNumberFormat="1" applyFont="1" applyFill="1" applyBorder="1" applyAlignment="1">
      <alignment vertical="center"/>
    </xf>
    <xf numFmtId="41" fontId="9" fillId="0" borderId="3" xfId="1" applyNumberFormat="1" applyFont="1" applyFill="1" applyBorder="1" applyAlignment="1">
      <alignment vertical="center" wrapText="1"/>
    </xf>
    <xf numFmtId="41" fontId="9" fillId="0" borderId="1" xfId="1" applyNumberFormat="1" applyFont="1" applyFill="1" applyBorder="1" applyAlignment="1">
      <alignment horizontal="right" vertical="center"/>
    </xf>
    <xf numFmtId="41" fontId="9" fillId="0" borderId="3" xfId="1" applyNumberFormat="1" applyFont="1" applyFill="1" applyBorder="1" applyAlignment="1">
      <alignment horizontal="right" vertical="center" wrapText="1"/>
    </xf>
    <xf numFmtId="41" fontId="9" fillId="0" borderId="4" xfId="1" applyNumberFormat="1" applyFont="1" applyFill="1" applyBorder="1" applyAlignment="1">
      <alignment vertical="center"/>
    </xf>
    <xf numFmtId="41" fontId="7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5" fillId="0" borderId="0" xfId="0" applyNumberFormat="1" applyFont="1" applyFill="1" applyAlignment="1">
      <alignment vertical="center"/>
    </xf>
    <xf numFmtId="41" fontId="9" fillId="0" borderId="7" xfId="1" applyNumberFormat="1" applyFont="1" applyFill="1" applyBorder="1" applyAlignment="1">
      <alignment vertical="center"/>
    </xf>
    <xf numFmtId="41" fontId="9" fillId="0" borderId="0" xfId="0" applyNumberFormat="1" applyFont="1" applyFill="1" applyAlignment="1">
      <alignment vertical="center"/>
    </xf>
    <xf numFmtId="41" fontId="3" fillId="0" borderId="0" xfId="0" applyNumberFormat="1" applyFont="1" applyFill="1" applyAlignment="1">
      <alignment vertical="center"/>
    </xf>
    <xf numFmtId="41" fontId="5" fillId="0" borderId="0" xfId="0" applyNumberFormat="1" applyFont="1" applyFill="1" applyBorder="1" applyAlignment="1">
      <alignment vertical="center"/>
    </xf>
    <xf numFmtId="41" fontId="9" fillId="0" borderId="0" xfId="0" applyNumberFormat="1" applyFont="1" applyFill="1" applyBorder="1" applyAlignment="1">
      <alignment vertical="center"/>
    </xf>
    <xf numFmtId="41" fontId="5" fillId="0" borderId="0" xfId="0" applyNumberFormat="1" applyFont="1" applyFill="1" applyAlignment="1">
      <alignment horizontal="right" vertical="center"/>
    </xf>
    <xf numFmtId="41" fontId="9" fillId="0" borderId="4" xfId="1" applyNumberFormat="1" applyFont="1" applyFill="1" applyBorder="1" applyAlignment="1">
      <alignment horizontal="right" vertical="center"/>
    </xf>
    <xf numFmtId="41" fontId="9" fillId="0" borderId="7" xfId="1" applyNumberFormat="1" applyFont="1" applyFill="1" applyBorder="1" applyAlignment="1">
      <alignment horizontal="right" vertical="center"/>
    </xf>
    <xf numFmtId="41" fontId="9" fillId="0" borderId="0" xfId="0" applyNumberFormat="1" applyFont="1" applyFill="1" applyAlignment="1">
      <alignment horizontal="center" vertical="center"/>
    </xf>
    <xf numFmtId="41" fontId="9" fillId="0" borderId="0" xfId="0" applyNumberFormat="1" applyFont="1" applyFill="1" applyAlignment="1">
      <alignment horizontal="right" vertical="center"/>
    </xf>
    <xf numFmtId="41" fontId="9" fillId="0" borderId="0" xfId="0" applyNumberFormat="1" applyFont="1" applyFill="1" applyBorder="1" applyAlignment="1">
      <alignment horizontal="center" vertical="center"/>
    </xf>
    <xf numFmtId="41" fontId="5" fillId="0" borderId="0" xfId="0" applyNumberFormat="1" applyFont="1" applyFill="1" applyBorder="1"/>
    <xf numFmtId="41" fontId="5" fillId="0" borderId="8" xfId="0" applyNumberFormat="1" applyFont="1" applyFill="1" applyBorder="1" applyAlignment="1">
      <alignment vertical="center"/>
    </xf>
    <xf numFmtId="41" fontId="5" fillId="0" borderId="1" xfId="1" applyNumberFormat="1" applyFont="1" applyFill="1" applyBorder="1" applyAlignment="1">
      <alignment horizontal="right" vertical="center"/>
    </xf>
    <xf numFmtId="41" fontId="5" fillId="0" borderId="6" xfId="1" applyNumberFormat="1" applyFont="1" applyFill="1" applyBorder="1" applyAlignment="1">
      <alignment horizontal="right" vertical="center"/>
    </xf>
    <xf numFmtId="41" fontId="5" fillId="0" borderId="1" xfId="0" applyNumberFormat="1" applyFont="1" applyFill="1" applyBorder="1" applyAlignment="1">
      <alignment vertical="center"/>
    </xf>
    <xf numFmtId="41" fontId="5" fillId="0" borderId="8" xfId="0" applyNumberFormat="1" applyFont="1" applyFill="1" applyBorder="1" applyAlignment="1">
      <alignment vertical="center" wrapText="1"/>
    </xf>
    <xf numFmtId="41" fontId="5" fillId="0" borderId="9" xfId="1" applyNumberFormat="1" applyFont="1" applyFill="1" applyBorder="1" applyAlignment="1">
      <alignment horizontal="right" vertical="center"/>
    </xf>
    <xf numFmtId="41" fontId="5" fillId="0" borderId="10" xfId="1" applyNumberFormat="1" applyFont="1" applyFill="1" applyBorder="1" applyAlignment="1">
      <alignment horizontal="right" vertical="center"/>
    </xf>
    <xf numFmtId="41" fontId="5" fillId="0" borderId="0" xfId="0" applyNumberFormat="1" applyFont="1" applyFill="1"/>
    <xf numFmtId="41" fontId="5" fillId="0" borderId="0" xfId="0" applyNumberFormat="1" applyFont="1" applyFill="1" applyBorder="1" applyAlignment="1">
      <alignment horizontal="center" vertical="center"/>
    </xf>
    <xf numFmtId="41" fontId="5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vertical="center"/>
    </xf>
    <xf numFmtId="41" fontId="9" fillId="0" borderId="0" xfId="1" applyNumberFormat="1" applyFont="1" applyFill="1" applyBorder="1" applyAlignment="1">
      <alignment horizontal="right" vertical="center"/>
    </xf>
    <xf numFmtId="41" fontId="5" fillId="0" borderId="1" xfId="2" applyNumberFormat="1" applyFont="1" applyFill="1" applyBorder="1" applyAlignment="1">
      <alignment horizontal="center" vertical="center"/>
    </xf>
    <xf numFmtId="41" fontId="9" fillId="0" borderId="3" xfId="1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41" fontId="5" fillId="4" borderId="1" xfId="0" applyNumberFormat="1" applyFont="1" applyFill="1" applyBorder="1" applyAlignment="1">
      <alignment vertical="center"/>
    </xf>
    <xf numFmtId="41" fontId="5" fillId="3" borderId="1" xfId="0" applyNumberFormat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horizontal="right" vertical="center"/>
    </xf>
    <xf numFmtId="41" fontId="9" fillId="0" borderId="9" xfId="1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>
      <alignment horizontal="right" vertical="center"/>
    </xf>
    <xf numFmtId="41" fontId="9" fillId="0" borderId="1" xfId="1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right" vertical="center"/>
    </xf>
    <xf numFmtId="49" fontId="5" fillId="0" borderId="1" xfId="0" applyNumberFormat="1" applyFont="1" applyFill="1" applyBorder="1" applyAlignment="1">
      <alignment vertical="center"/>
    </xf>
    <xf numFmtId="41" fontId="5" fillId="0" borderId="1" xfId="1" applyNumberFormat="1" applyFont="1" applyFill="1" applyBorder="1" applyAlignment="1">
      <alignment vertical="center"/>
    </xf>
    <xf numFmtId="41" fontId="5" fillId="0" borderId="3" xfId="1" applyNumberFormat="1" applyFont="1" applyFill="1" applyBorder="1" applyAlignment="1">
      <alignment vertical="center" wrapText="1"/>
    </xf>
    <xf numFmtId="41" fontId="5" fillId="0" borderId="4" xfId="1" applyNumberFormat="1" applyFont="1" applyFill="1" applyBorder="1" applyAlignment="1">
      <alignment vertical="center"/>
    </xf>
    <xf numFmtId="41" fontId="5" fillId="0" borderId="7" xfId="1" applyNumberFormat="1" applyFont="1" applyFill="1" applyBorder="1" applyAlignment="1">
      <alignment vertical="center"/>
    </xf>
    <xf numFmtId="41" fontId="5" fillId="0" borderId="0" xfId="0" applyNumberFormat="1" applyFont="1" applyFill="1" applyAlignment="1">
      <alignment horizontal="center" vertical="center"/>
    </xf>
    <xf numFmtId="0" fontId="11" fillId="0" borderId="8" xfId="0" applyFont="1" applyFill="1" applyBorder="1"/>
    <xf numFmtId="0" fontId="15" fillId="0" borderId="1" xfId="0" applyFont="1" applyFill="1" applyBorder="1"/>
    <xf numFmtId="0" fontId="10" fillId="0" borderId="11" xfId="0" applyFont="1" applyFill="1" applyBorder="1"/>
    <xf numFmtId="41" fontId="5" fillId="0" borderId="4" xfId="0" applyNumberFormat="1" applyFont="1" applyFill="1" applyBorder="1" applyAlignment="1">
      <alignment vertical="center"/>
    </xf>
    <xf numFmtId="41" fontId="5" fillId="0" borderId="0" xfId="0" quotePrefix="1" applyNumberFormat="1" applyFont="1" applyFill="1" applyBorder="1" applyAlignment="1">
      <alignment vertical="center"/>
    </xf>
    <xf numFmtId="41" fontId="5" fillId="0" borderId="0" xfId="0" applyNumberFormat="1" applyFont="1" applyFill="1" applyBorder="1" applyAlignment="1"/>
    <xf numFmtId="41" fontId="7" fillId="0" borderId="0" xfId="0" applyNumberFormat="1" applyFont="1" applyFill="1" applyBorder="1" applyAlignment="1"/>
    <xf numFmtId="41" fontId="3" fillId="0" borderId="0" xfId="0" applyNumberFormat="1" applyFont="1" applyFill="1" applyBorder="1" applyAlignment="1"/>
    <xf numFmtId="0" fontId="15" fillId="5" borderId="1" xfId="0" applyFont="1" applyFill="1" applyBorder="1"/>
    <xf numFmtId="41" fontId="5" fillId="5" borderId="1" xfId="1" applyNumberFormat="1" applyFont="1" applyFill="1" applyBorder="1" applyAlignment="1">
      <alignment vertical="center"/>
    </xf>
    <xf numFmtId="41" fontId="5" fillId="5" borderId="3" xfId="1" applyNumberFormat="1" applyFont="1" applyFill="1" applyBorder="1" applyAlignment="1">
      <alignment vertical="center" wrapText="1"/>
    </xf>
    <xf numFmtId="41" fontId="5" fillId="5" borderId="6" xfId="0" applyNumberFormat="1" applyFont="1" applyFill="1" applyBorder="1" applyAlignment="1">
      <alignment horizontal="center" vertical="center"/>
    </xf>
    <xf numFmtId="41" fontId="5" fillId="0" borderId="12" xfId="1" applyNumberFormat="1" applyFont="1" applyFill="1" applyBorder="1" applyAlignment="1">
      <alignment vertical="center"/>
    </xf>
    <xf numFmtId="41" fontId="5" fillId="6" borderId="1" xfId="2" applyNumberFormat="1" applyFont="1" applyFill="1" applyBorder="1" applyAlignment="1">
      <alignment horizontal="center" vertical="center"/>
    </xf>
    <xf numFmtId="41" fontId="9" fillId="6" borderId="1" xfId="1" applyNumberFormat="1" applyFont="1" applyFill="1" applyBorder="1" applyAlignment="1">
      <alignment vertical="center"/>
    </xf>
    <xf numFmtId="41" fontId="9" fillId="6" borderId="3" xfId="1" applyNumberFormat="1" applyFont="1" applyFill="1" applyBorder="1" applyAlignment="1">
      <alignment vertical="center"/>
    </xf>
    <xf numFmtId="41" fontId="9" fillId="6" borderId="4" xfId="1" applyNumberFormat="1" applyFont="1" applyFill="1" applyBorder="1" applyAlignment="1">
      <alignment vertical="center"/>
    </xf>
    <xf numFmtId="41" fontId="9" fillId="6" borderId="3" xfId="1" applyNumberFormat="1" applyFont="1" applyFill="1" applyBorder="1" applyAlignment="1">
      <alignment horizontal="right" vertical="center" wrapText="1"/>
    </xf>
    <xf numFmtId="41" fontId="9" fillId="6" borderId="1" xfId="1" applyNumberFormat="1" applyFont="1" applyFill="1" applyBorder="1" applyAlignment="1">
      <alignment horizontal="right" vertical="center"/>
    </xf>
    <xf numFmtId="41" fontId="9" fillId="6" borderId="4" xfId="1" applyNumberFormat="1" applyFont="1" applyFill="1" applyBorder="1" applyAlignment="1">
      <alignment horizontal="right" vertical="center"/>
    </xf>
    <xf numFmtId="41" fontId="5" fillId="7" borderId="1" xfId="2" applyNumberFormat="1" applyFont="1" applyFill="1" applyBorder="1" applyAlignment="1">
      <alignment horizontal="center" vertical="center"/>
    </xf>
    <xf numFmtId="41" fontId="9" fillId="7" borderId="1" xfId="1" applyNumberFormat="1" applyFont="1" applyFill="1" applyBorder="1" applyAlignment="1">
      <alignment vertical="center"/>
    </xf>
    <xf numFmtId="41" fontId="9" fillId="7" borderId="3" xfId="1" applyNumberFormat="1" applyFont="1" applyFill="1" applyBorder="1" applyAlignment="1">
      <alignment vertical="center"/>
    </xf>
    <xf numFmtId="41" fontId="9" fillId="7" borderId="4" xfId="1" applyNumberFormat="1" applyFont="1" applyFill="1" applyBorder="1" applyAlignment="1">
      <alignment vertical="center"/>
    </xf>
    <xf numFmtId="41" fontId="9" fillId="7" borderId="1" xfId="1" applyNumberFormat="1" applyFont="1" applyFill="1" applyBorder="1" applyAlignment="1">
      <alignment horizontal="right" vertical="center"/>
    </xf>
    <xf numFmtId="41" fontId="9" fillId="7" borderId="4" xfId="1" applyNumberFormat="1" applyFont="1" applyFill="1" applyBorder="1" applyAlignment="1">
      <alignment horizontal="right" vertical="center"/>
    </xf>
    <xf numFmtId="41" fontId="5" fillId="6" borderId="1" xfId="0" applyNumberFormat="1" applyFont="1" applyFill="1" applyBorder="1" applyAlignment="1">
      <alignment horizontal="center" vertical="center"/>
    </xf>
    <xf numFmtId="41" fontId="5" fillId="6" borderId="1" xfId="1" applyNumberFormat="1" applyFont="1" applyFill="1" applyBorder="1" applyAlignment="1">
      <alignment horizontal="right" vertical="center"/>
    </xf>
    <xf numFmtId="41" fontId="5" fillId="6" borderId="9" xfId="1" applyNumberFormat="1" applyFont="1" applyFill="1" applyBorder="1" applyAlignment="1">
      <alignment horizontal="right" vertical="center"/>
    </xf>
    <xf numFmtId="41" fontId="5" fillId="7" borderId="1" xfId="0" applyNumberFormat="1" applyFont="1" applyFill="1" applyBorder="1" applyAlignment="1">
      <alignment horizontal="center" vertical="center"/>
    </xf>
    <xf numFmtId="41" fontId="5" fillId="7" borderId="1" xfId="1" applyNumberFormat="1" applyFont="1" applyFill="1" applyBorder="1" applyAlignment="1">
      <alignment horizontal="right" vertical="center"/>
    </xf>
    <xf numFmtId="41" fontId="5" fillId="7" borderId="9" xfId="1" applyNumberFormat="1" applyFont="1" applyFill="1" applyBorder="1" applyAlignment="1">
      <alignment horizontal="right" vertical="center"/>
    </xf>
    <xf numFmtId="41" fontId="5" fillId="6" borderId="4" xfId="1" applyNumberFormat="1" applyFont="1" applyFill="1" applyBorder="1" applyAlignment="1">
      <alignment horizontal="right" vertical="center"/>
    </xf>
    <xf numFmtId="41" fontId="5" fillId="0" borderId="7" xfId="1" applyNumberFormat="1" applyFont="1" applyFill="1" applyBorder="1" applyAlignment="1">
      <alignment horizontal="right" vertical="center"/>
    </xf>
    <xf numFmtId="13" fontId="3" fillId="0" borderId="0" xfId="0" applyNumberFormat="1" applyFont="1" applyFill="1"/>
    <xf numFmtId="41" fontId="5" fillId="5" borderId="8" xfId="0" applyNumberFormat="1" applyFont="1" applyFill="1" applyBorder="1" applyAlignment="1">
      <alignment vertical="center"/>
    </xf>
    <xf numFmtId="0" fontId="10" fillId="8" borderId="1" xfId="0" applyFont="1" applyFill="1" applyBorder="1" applyAlignment="1">
      <alignment horizontal="center"/>
    </xf>
    <xf numFmtId="41" fontId="16" fillId="0" borderId="0" xfId="0" applyNumberFormat="1" applyFont="1" applyFill="1"/>
    <xf numFmtId="0" fontId="12" fillId="0" borderId="8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41" fontId="5" fillId="0" borderId="11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0" fontId="11" fillId="0" borderId="11" xfId="0" applyFont="1" applyFill="1" applyBorder="1"/>
    <xf numFmtId="41" fontId="9" fillId="0" borderId="11" xfId="0" applyNumberFormat="1" applyFont="1" applyFill="1" applyBorder="1" applyAlignment="1">
      <alignment horizontal="center" vertical="center"/>
    </xf>
    <xf numFmtId="41" fontId="5" fillId="0" borderId="11" xfId="0" applyNumberFormat="1" applyFont="1" applyFill="1" applyBorder="1" applyAlignment="1">
      <alignment vertical="center"/>
    </xf>
    <xf numFmtId="41" fontId="5" fillId="0" borderId="11" xfId="0" applyNumberFormat="1" applyFont="1" applyFill="1" applyBorder="1" applyAlignment="1">
      <alignment vertical="center" wrapText="1"/>
    </xf>
    <xf numFmtId="41" fontId="5" fillId="4" borderId="1" xfId="0" applyNumberFormat="1" applyFont="1" applyFill="1" applyBorder="1" applyAlignment="1">
      <alignment horizontal="center" vertical="center"/>
    </xf>
    <xf numFmtId="41" fontId="5" fillId="3" borderId="1" xfId="0" applyNumberFormat="1" applyFont="1" applyFill="1" applyBorder="1" applyAlignment="1">
      <alignment horizontal="center" vertical="center"/>
    </xf>
    <xf numFmtId="41" fontId="5" fillId="8" borderId="1" xfId="1" applyNumberFormat="1" applyFont="1" applyFill="1" applyBorder="1" applyAlignment="1">
      <alignment vertical="center"/>
    </xf>
    <xf numFmtId="41" fontId="5" fillId="8" borderId="8" xfId="0" applyNumberFormat="1" applyFont="1" applyFill="1" applyBorder="1" applyAlignment="1">
      <alignment vertical="center"/>
    </xf>
    <xf numFmtId="41" fontId="5" fillId="0" borderId="8" xfId="0" applyNumberFormat="1" applyFont="1" applyFill="1" applyBorder="1" applyAlignment="1">
      <alignment horizontal="center" vertical="center"/>
    </xf>
    <xf numFmtId="41" fontId="5" fillId="0" borderId="2" xfId="0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center" vertical="center"/>
    </xf>
    <xf numFmtId="41" fontId="5" fillId="0" borderId="5" xfId="0" applyNumberFormat="1" applyFont="1" applyFill="1" applyBorder="1" applyAlignment="1">
      <alignment horizontal="center" vertical="center"/>
    </xf>
    <xf numFmtId="41" fontId="5" fillId="0" borderId="6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41" fontId="9" fillId="8" borderId="3" xfId="1" applyNumberFormat="1" applyFont="1" applyFill="1" applyBorder="1" applyAlignment="1">
      <alignment horizontal="right" vertical="center" wrapText="1"/>
    </xf>
    <xf numFmtId="41" fontId="5" fillId="0" borderId="2" xfId="0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center" vertical="center"/>
    </xf>
    <xf numFmtId="41" fontId="5" fillId="0" borderId="5" xfId="0" applyNumberFormat="1" applyFont="1" applyFill="1" applyBorder="1" applyAlignment="1">
      <alignment horizontal="center" vertical="center"/>
    </xf>
    <xf numFmtId="41" fontId="5" fillId="0" borderId="6" xfId="0" applyNumberFormat="1" applyFont="1" applyFill="1" applyBorder="1" applyAlignment="1">
      <alignment horizontal="center" vertical="center"/>
    </xf>
    <xf numFmtId="41" fontId="17" fillId="0" borderId="1" xfId="1" applyNumberFormat="1" applyFont="1" applyFill="1" applyBorder="1" applyAlignment="1">
      <alignment vertical="center"/>
    </xf>
    <xf numFmtId="41" fontId="5" fillId="8" borderId="6" xfId="1" applyNumberFormat="1" applyFont="1" applyFill="1" applyBorder="1" applyAlignment="1">
      <alignment horizontal="right" vertical="center"/>
    </xf>
    <xf numFmtId="41" fontId="5" fillId="0" borderId="1" xfId="0" applyNumberFormat="1" applyFont="1" applyFill="1" applyBorder="1" applyAlignment="1">
      <alignment horizontal="center" vertical="center"/>
    </xf>
    <xf numFmtId="41" fontId="9" fillId="0" borderId="8" xfId="0" applyNumberFormat="1" applyFont="1" applyFill="1" applyBorder="1" applyAlignment="1">
      <alignment horizontal="center" vertical="center"/>
    </xf>
    <xf numFmtId="41" fontId="9" fillId="0" borderId="6" xfId="1" applyNumberFormat="1" applyFont="1" applyFill="1" applyBorder="1" applyAlignment="1">
      <alignment vertical="center"/>
    </xf>
    <xf numFmtId="41" fontId="6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left"/>
    </xf>
    <xf numFmtId="41" fontId="5" fillId="0" borderId="14" xfId="0" applyNumberFormat="1" applyFont="1" applyFill="1" applyBorder="1" applyAlignment="1">
      <alignment horizontal="center" vertical="center"/>
    </xf>
    <xf numFmtId="41" fontId="5" fillId="0" borderId="8" xfId="0" applyNumberFormat="1" applyFont="1" applyFill="1" applyBorder="1" applyAlignment="1">
      <alignment horizontal="center" vertical="center"/>
    </xf>
    <xf numFmtId="41" fontId="5" fillId="0" borderId="2" xfId="0" applyNumberFormat="1" applyFont="1" applyFill="1" applyBorder="1" applyAlignment="1">
      <alignment horizontal="center" vertical="center"/>
    </xf>
    <xf numFmtId="41" fontId="5" fillId="0" borderId="3" xfId="0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center" vertical="center"/>
    </xf>
    <xf numFmtId="41" fontId="5" fillId="0" borderId="15" xfId="0" applyNumberFormat="1" applyFont="1" applyFill="1" applyBorder="1" applyAlignment="1">
      <alignment horizontal="center" vertical="center"/>
    </xf>
    <xf numFmtId="41" fontId="5" fillId="0" borderId="16" xfId="0" applyNumberFormat="1" applyFont="1" applyFill="1" applyBorder="1" applyAlignment="1">
      <alignment horizontal="center" vertical="center"/>
    </xf>
    <xf numFmtId="41" fontId="9" fillId="0" borderId="19" xfId="0" applyNumberFormat="1" applyFont="1" applyFill="1" applyBorder="1" applyAlignment="1">
      <alignment horizontal="center" vertical="center" wrapText="1"/>
    </xf>
    <xf numFmtId="41" fontId="9" fillId="0" borderId="20" xfId="0" applyNumberFormat="1" applyFont="1" applyFill="1" applyBorder="1" applyAlignment="1">
      <alignment horizontal="center" vertical="center" wrapText="1"/>
    </xf>
    <xf numFmtId="41" fontId="9" fillId="8" borderId="8" xfId="0" applyNumberFormat="1" applyFont="1" applyFill="1" applyBorder="1" applyAlignment="1">
      <alignment horizontal="center" vertical="center"/>
    </xf>
    <xf numFmtId="41" fontId="9" fillId="0" borderId="13" xfId="0" applyNumberFormat="1" applyFont="1" applyFill="1" applyBorder="1" applyAlignment="1">
      <alignment horizontal="center" vertical="center"/>
    </xf>
    <xf numFmtId="41" fontId="9" fillId="0" borderId="24" xfId="0" applyNumberFormat="1" applyFont="1" applyFill="1" applyBorder="1" applyAlignment="1">
      <alignment horizontal="center" vertical="center"/>
    </xf>
    <xf numFmtId="41" fontId="9" fillId="0" borderId="4" xfId="0" applyNumberFormat="1" applyFont="1" applyFill="1" applyBorder="1" applyAlignment="1">
      <alignment horizontal="center" vertical="center"/>
    </xf>
    <xf numFmtId="41" fontId="9" fillId="0" borderId="17" xfId="1" applyNumberFormat="1" applyFont="1" applyFill="1" applyBorder="1" applyAlignment="1">
      <alignment horizontal="right" vertical="center"/>
    </xf>
    <xf numFmtId="41" fontId="9" fillId="0" borderId="18" xfId="1" applyNumberFormat="1" applyFont="1" applyFill="1" applyBorder="1" applyAlignment="1">
      <alignment horizontal="right" vertical="center"/>
    </xf>
    <xf numFmtId="41" fontId="9" fillId="0" borderId="6" xfId="1" applyNumberFormat="1" applyFont="1" applyFill="1" applyBorder="1" applyAlignment="1">
      <alignment horizontal="right" vertical="center"/>
    </xf>
    <xf numFmtId="41" fontId="9" fillId="0" borderId="1" xfId="0" applyNumberFormat="1" applyFont="1" applyFill="1" applyBorder="1" applyAlignment="1">
      <alignment horizontal="center" vertical="center"/>
    </xf>
    <xf numFmtId="41" fontId="17" fillId="8" borderId="6" xfId="1" applyNumberFormat="1" applyFont="1" applyFill="1" applyBorder="1" applyAlignment="1">
      <alignment vertical="center"/>
    </xf>
    <xf numFmtId="41" fontId="9" fillId="0" borderId="19" xfId="0" applyNumberFormat="1" applyFont="1" applyFill="1" applyBorder="1" applyAlignment="1">
      <alignment horizontal="center" vertical="center"/>
    </xf>
    <xf numFmtId="41" fontId="9" fillId="0" borderId="20" xfId="0" applyNumberFormat="1" applyFont="1" applyFill="1" applyBorder="1" applyAlignment="1">
      <alignment horizontal="center" vertical="center"/>
    </xf>
    <xf numFmtId="41" fontId="9" fillId="0" borderId="3" xfId="0" applyNumberFormat="1" applyFont="1" applyFill="1" applyBorder="1" applyAlignment="1">
      <alignment horizontal="center" vertical="center"/>
    </xf>
    <xf numFmtId="41" fontId="9" fillId="0" borderId="16" xfId="0" applyNumberFormat="1" applyFont="1" applyFill="1" applyBorder="1" applyAlignment="1">
      <alignment horizontal="center" vertical="center"/>
    </xf>
    <xf numFmtId="41" fontId="5" fillId="0" borderId="5" xfId="0" applyNumberFormat="1" applyFont="1" applyFill="1" applyBorder="1" applyAlignment="1">
      <alignment horizontal="center" vertical="center"/>
    </xf>
    <xf numFmtId="41" fontId="5" fillId="0" borderId="6" xfId="0" applyNumberFormat="1" applyFont="1" applyFill="1" applyBorder="1" applyAlignment="1">
      <alignment horizontal="center" vertical="center"/>
    </xf>
    <xf numFmtId="41" fontId="5" fillId="0" borderId="21" xfId="0" applyNumberFormat="1" applyFont="1" applyFill="1" applyBorder="1" applyAlignment="1">
      <alignment horizontal="center" vertical="center"/>
    </xf>
    <xf numFmtId="41" fontId="5" fillId="0" borderId="23" xfId="0" applyNumberFormat="1" applyFont="1" applyFill="1" applyBorder="1" applyAlignment="1">
      <alignment horizontal="center" vertical="center"/>
    </xf>
    <xf numFmtId="41" fontId="5" fillId="0" borderId="22" xfId="0" applyNumberFormat="1" applyFont="1" applyFill="1" applyBorder="1" applyAlignment="1">
      <alignment horizontal="center" vertical="center"/>
    </xf>
    <xf numFmtId="41" fontId="6" fillId="0" borderId="0" xfId="0" applyNumberFormat="1" applyFont="1" applyFill="1" applyAlignment="1">
      <alignment horizontal="center" vertical="center"/>
    </xf>
    <xf numFmtId="41" fontId="3" fillId="0" borderId="23" xfId="0" applyNumberFormat="1" applyFont="1" applyFill="1" applyBorder="1" applyAlignment="1">
      <alignment horizontal="left"/>
    </xf>
    <xf numFmtId="41" fontId="5" fillId="0" borderId="13" xfId="0" applyNumberFormat="1" applyFont="1" applyFill="1" applyBorder="1" applyAlignment="1">
      <alignment horizontal="center" vertical="center"/>
    </xf>
    <xf numFmtId="41" fontId="5" fillId="0" borderId="24" xfId="0" applyNumberFormat="1" applyFont="1" applyFill="1" applyBorder="1" applyAlignment="1">
      <alignment horizontal="center" vertical="center"/>
    </xf>
    <xf numFmtId="41" fontId="5" fillId="0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千位分隔" xfId="1" builtinId="3"/>
    <cellStyle name="千位分隔_Sheet1" xfId="2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7</xdr:col>
      <xdr:colOff>457200</xdr:colOff>
      <xdr:row>1</xdr:row>
      <xdr:rowOff>228600</xdr:rowOff>
    </xdr:to>
    <xdr:grpSp>
      <xdr:nvGrpSpPr>
        <xdr:cNvPr id="6928" name="Group 110"/>
        <xdr:cNvGrpSpPr>
          <a:grpSpLocks/>
        </xdr:cNvGrpSpPr>
      </xdr:nvGrpSpPr>
      <xdr:grpSpPr bwMode="auto">
        <a:xfrm>
          <a:off x="3498056" y="295275"/>
          <a:ext cx="2662238" cy="209550"/>
          <a:chOff x="285" y="31"/>
          <a:chExt cx="259" cy="23"/>
        </a:xfrm>
      </xdr:grpSpPr>
      <xdr:grpSp>
        <xdr:nvGrpSpPr>
          <xdr:cNvPr id="6929" name="Group 111"/>
          <xdr:cNvGrpSpPr>
            <a:grpSpLocks/>
          </xdr:cNvGrpSpPr>
        </xdr:nvGrpSpPr>
        <xdr:grpSpPr bwMode="auto">
          <a:xfrm>
            <a:off x="285" y="31"/>
            <a:ext cx="65" cy="23"/>
            <a:chOff x="285" y="31"/>
            <a:chExt cx="65" cy="23"/>
          </a:xfrm>
        </xdr:grpSpPr>
        <xdr:sp macro="[0]!组15_单击" textlink="">
          <xdr:nvSpPr>
            <xdr:cNvPr id="6256" name="Rectangle 112"/>
            <xdr:cNvSpPr>
              <a:spLocks noChangeArrowheads="1"/>
            </xdr:cNvSpPr>
          </xdr:nvSpPr>
          <xdr:spPr bwMode="auto">
            <a:xfrm>
              <a:off x="285" y="32"/>
              <a:ext cx="19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endParaRPr lang="zh-CN"/>
            </a:p>
          </xdr:txBody>
        </xdr:sp>
        <xdr:sp macro="" textlink="">
          <xdr:nvSpPr>
            <xdr:cNvPr id="6257" name="Rectangle 113"/>
            <xdr:cNvSpPr>
              <a:spLocks noChangeArrowheads="1"/>
            </xdr:cNvSpPr>
          </xdr:nvSpPr>
          <xdr:spPr bwMode="auto">
            <a:xfrm>
              <a:off x="309" y="31"/>
              <a:ext cx="41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保税</a:t>
              </a:r>
            </a:p>
          </xdr:txBody>
        </xdr:sp>
      </xdr:grpSp>
      <xdr:grpSp>
        <xdr:nvGrpSpPr>
          <xdr:cNvPr id="6930" name="Group 114"/>
          <xdr:cNvGrpSpPr>
            <a:grpSpLocks/>
          </xdr:cNvGrpSpPr>
        </xdr:nvGrpSpPr>
        <xdr:grpSpPr bwMode="auto">
          <a:xfrm>
            <a:off x="444" y="31"/>
            <a:ext cx="100" cy="23"/>
            <a:chOff x="444" y="31"/>
            <a:chExt cx="100" cy="23"/>
          </a:xfrm>
        </xdr:grpSpPr>
        <xdr:sp macro="" textlink="">
          <xdr:nvSpPr>
            <xdr:cNvPr id="6259" name="Rectangle 115"/>
            <xdr:cNvSpPr>
              <a:spLocks noChangeArrowheads="1"/>
            </xdr:cNvSpPr>
          </xdr:nvSpPr>
          <xdr:spPr bwMode="auto">
            <a:xfrm>
              <a:off x="444" y="32"/>
              <a:ext cx="19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√</a:t>
              </a:r>
            </a:p>
          </xdr:txBody>
        </xdr:sp>
        <xdr:sp macro="" textlink="">
          <xdr:nvSpPr>
            <xdr:cNvPr id="6260" name="Rectangle 116"/>
            <xdr:cNvSpPr>
              <a:spLocks noChangeArrowheads="1"/>
            </xdr:cNvSpPr>
          </xdr:nvSpPr>
          <xdr:spPr bwMode="auto">
            <a:xfrm>
              <a:off x="469" y="31"/>
              <a:ext cx="75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一般贸易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</xdr:rowOff>
    </xdr:from>
    <xdr:to>
      <xdr:col>8</xdr:col>
      <xdr:colOff>476250</xdr:colOff>
      <xdr:row>1</xdr:row>
      <xdr:rowOff>228600</xdr:rowOff>
    </xdr:to>
    <xdr:grpSp>
      <xdr:nvGrpSpPr>
        <xdr:cNvPr id="1274" name="Group 13"/>
        <xdr:cNvGrpSpPr>
          <a:grpSpLocks/>
        </xdr:cNvGrpSpPr>
      </xdr:nvGrpSpPr>
      <xdr:grpSpPr bwMode="auto">
        <a:xfrm>
          <a:off x="3988594" y="295275"/>
          <a:ext cx="2690812" cy="219075"/>
          <a:chOff x="285" y="31"/>
          <a:chExt cx="259" cy="23"/>
        </a:xfrm>
      </xdr:grpSpPr>
      <xdr:grpSp>
        <xdr:nvGrpSpPr>
          <xdr:cNvPr id="1275" name="Group 14"/>
          <xdr:cNvGrpSpPr>
            <a:grpSpLocks/>
          </xdr:cNvGrpSpPr>
        </xdr:nvGrpSpPr>
        <xdr:grpSpPr bwMode="auto">
          <a:xfrm>
            <a:off x="285" y="31"/>
            <a:ext cx="65" cy="23"/>
            <a:chOff x="285" y="31"/>
            <a:chExt cx="65" cy="23"/>
          </a:xfrm>
        </xdr:grpSpPr>
        <xdr:sp macro="[0]!组15_单击" textlink="">
          <xdr:nvSpPr>
            <xdr:cNvPr id="1039" name="Rectangle 15"/>
            <xdr:cNvSpPr>
              <a:spLocks noChangeArrowheads="1"/>
            </xdr:cNvSpPr>
          </xdr:nvSpPr>
          <xdr:spPr bwMode="auto">
            <a:xfrm>
              <a:off x="285" y="32"/>
              <a:ext cx="19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endParaRPr lang="zh-CN"/>
            </a:p>
          </xdr:txBody>
        </xdr:sp>
        <xdr:sp macro="" textlink="">
          <xdr:nvSpPr>
            <xdr:cNvPr id="1040" name="Rectangle 16"/>
            <xdr:cNvSpPr>
              <a:spLocks noChangeArrowheads="1"/>
            </xdr:cNvSpPr>
          </xdr:nvSpPr>
          <xdr:spPr bwMode="auto">
            <a:xfrm>
              <a:off x="309" y="31"/>
              <a:ext cx="41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保税</a:t>
              </a:r>
            </a:p>
          </xdr:txBody>
        </xdr:sp>
      </xdr:grpSp>
      <xdr:grpSp>
        <xdr:nvGrpSpPr>
          <xdr:cNvPr id="1276" name="Group 17"/>
          <xdr:cNvGrpSpPr>
            <a:grpSpLocks/>
          </xdr:cNvGrpSpPr>
        </xdr:nvGrpSpPr>
        <xdr:grpSpPr bwMode="auto">
          <a:xfrm>
            <a:off x="444" y="31"/>
            <a:ext cx="100" cy="23"/>
            <a:chOff x="444" y="31"/>
            <a:chExt cx="100" cy="23"/>
          </a:xfrm>
        </xdr:grpSpPr>
        <xdr:sp macro="" textlink="">
          <xdr:nvSpPr>
            <xdr:cNvPr id="1042" name="Rectangle 18"/>
            <xdr:cNvSpPr>
              <a:spLocks noChangeArrowheads="1"/>
            </xdr:cNvSpPr>
          </xdr:nvSpPr>
          <xdr:spPr bwMode="auto">
            <a:xfrm>
              <a:off x="444" y="32"/>
              <a:ext cx="19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√</a:t>
              </a:r>
            </a:p>
          </xdr:txBody>
        </xdr:sp>
        <xdr:sp macro="" textlink="">
          <xdr:nvSpPr>
            <xdr:cNvPr id="1043" name="Rectangle 19"/>
            <xdr:cNvSpPr>
              <a:spLocks noChangeArrowheads="1"/>
            </xdr:cNvSpPr>
          </xdr:nvSpPr>
          <xdr:spPr bwMode="auto">
            <a:xfrm>
              <a:off x="468" y="31"/>
              <a:ext cx="76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一般贸易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</xdr:rowOff>
    </xdr:from>
    <xdr:to>
      <xdr:col>8</xdr:col>
      <xdr:colOff>466725</xdr:colOff>
      <xdr:row>1</xdr:row>
      <xdr:rowOff>219075</xdr:rowOff>
    </xdr:to>
    <xdr:grpSp>
      <xdr:nvGrpSpPr>
        <xdr:cNvPr id="3199" name="Group 29"/>
        <xdr:cNvGrpSpPr>
          <a:grpSpLocks/>
        </xdr:cNvGrpSpPr>
      </xdr:nvGrpSpPr>
      <xdr:grpSpPr bwMode="auto">
        <a:xfrm>
          <a:off x="4298156" y="295275"/>
          <a:ext cx="2431257" cy="209550"/>
          <a:chOff x="285" y="31"/>
          <a:chExt cx="259" cy="23"/>
        </a:xfrm>
      </xdr:grpSpPr>
      <xdr:grpSp>
        <xdr:nvGrpSpPr>
          <xdr:cNvPr id="3201" name="Group 30"/>
          <xdr:cNvGrpSpPr>
            <a:grpSpLocks/>
          </xdr:cNvGrpSpPr>
        </xdr:nvGrpSpPr>
        <xdr:grpSpPr bwMode="auto">
          <a:xfrm>
            <a:off x="285" y="31"/>
            <a:ext cx="79" cy="21"/>
            <a:chOff x="285" y="31"/>
            <a:chExt cx="79" cy="21"/>
          </a:xfrm>
        </xdr:grpSpPr>
        <xdr:sp macro="[0]!组15_单击" textlink="">
          <xdr:nvSpPr>
            <xdr:cNvPr id="3103" name="Rectangle 31"/>
            <xdr:cNvSpPr>
              <a:spLocks noChangeArrowheads="1"/>
            </xdr:cNvSpPr>
          </xdr:nvSpPr>
          <xdr:spPr bwMode="auto">
            <a:xfrm>
              <a:off x="285" y="32"/>
              <a:ext cx="19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√</a:t>
              </a:r>
            </a:p>
          </xdr:txBody>
        </xdr:sp>
        <xdr:sp macro="" textlink="">
          <xdr:nvSpPr>
            <xdr:cNvPr id="3104" name="Rectangle 32"/>
            <xdr:cNvSpPr>
              <a:spLocks noChangeArrowheads="1"/>
            </xdr:cNvSpPr>
          </xdr:nvSpPr>
          <xdr:spPr bwMode="auto">
            <a:xfrm>
              <a:off x="309" y="31"/>
              <a:ext cx="55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保税</a:t>
              </a:r>
            </a:p>
          </xdr:txBody>
        </xdr:sp>
      </xdr:grpSp>
      <xdr:grpSp>
        <xdr:nvGrpSpPr>
          <xdr:cNvPr id="3202" name="Group 33"/>
          <xdr:cNvGrpSpPr>
            <a:grpSpLocks/>
          </xdr:cNvGrpSpPr>
        </xdr:nvGrpSpPr>
        <xdr:grpSpPr bwMode="auto">
          <a:xfrm>
            <a:off x="444" y="31"/>
            <a:ext cx="100" cy="23"/>
            <a:chOff x="444" y="31"/>
            <a:chExt cx="100" cy="23"/>
          </a:xfrm>
        </xdr:grpSpPr>
        <xdr:sp macro="" textlink="">
          <xdr:nvSpPr>
            <xdr:cNvPr id="3106" name="Rectangle 34"/>
            <xdr:cNvSpPr>
              <a:spLocks noChangeArrowheads="1"/>
            </xdr:cNvSpPr>
          </xdr:nvSpPr>
          <xdr:spPr bwMode="auto">
            <a:xfrm>
              <a:off x="444" y="32"/>
              <a:ext cx="19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endParaRPr lang="zh-CN"/>
            </a:p>
          </xdr:txBody>
        </xdr:sp>
        <xdr:sp macro="" textlink="">
          <xdr:nvSpPr>
            <xdr:cNvPr id="3107" name="Rectangle 35"/>
            <xdr:cNvSpPr>
              <a:spLocks noChangeArrowheads="1"/>
            </xdr:cNvSpPr>
          </xdr:nvSpPr>
          <xdr:spPr bwMode="auto">
            <a:xfrm>
              <a:off x="468" y="31"/>
              <a:ext cx="76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一般贸易</a:t>
              </a:r>
            </a:p>
          </xdr:txBody>
        </xdr:sp>
      </xdr:grpSp>
    </xdr:grpSp>
    <xdr:clientData/>
  </xdr:twoCellAnchor>
  <xdr:twoCellAnchor editAs="oneCell">
    <xdr:from>
      <xdr:col>17</xdr:col>
      <xdr:colOff>257175</xdr:colOff>
      <xdr:row>34</xdr:row>
      <xdr:rowOff>123825</xdr:rowOff>
    </xdr:from>
    <xdr:to>
      <xdr:col>17</xdr:col>
      <xdr:colOff>457200</xdr:colOff>
      <xdr:row>34</xdr:row>
      <xdr:rowOff>123825</xdr:rowOff>
    </xdr:to>
    <xdr:sp macro="" textlink="">
      <xdr:nvSpPr>
        <xdr:cNvPr id="3200" name="Text Box 110"/>
        <xdr:cNvSpPr txBox="1">
          <a:spLocks noChangeArrowheads="1"/>
        </xdr:cNvSpPr>
      </xdr:nvSpPr>
      <xdr:spPr bwMode="auto">
        <a:xfrm>
          <a:off x="10429875" y="7048500"/>
          <a:ext cx="2000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8</xdr:col>
      <xdr:colOff>438150</xdr:colOff>
      <xdr:row>1</xdr:row>
      <xdr:rowOff>200025</xdr:rowOff>
    </xdr:to>
    <xdr:grpSp>
      <xdr:nvGrpSpPr>
        <xdr:cNvPr id="4203" name="Group 25"/>
        <xdr:cNvGrpSpPr>
          <a:grpSpLocks/>
        </xdr:cNvGrpSpPr>
      </xdr:nvGrpSpPr>
      <xdr:grpSpPr bwMode="auto">
        <a:xfrm>
          <a:off x="4307681" y="295275"/>
          <a:ext cx="2750344" cy="190500"/>
          <a:chOff x="285" y="31"/>
          <a:chExt cx="259" cy="23"/>
        </a:xfrm>
      </xdr:grpSpPr>
      <xdr:grpSp>
        <xdr:nvGrpSpPr>
          <xdr:cNvPr id="4204" name="Group 26"/>
          <xdr:cNvGrpSpPr>
            <a:grpSpLocks/>
          </xdr:cNvGrpSpPr>
        </xdr:nvGrpSpPr>
        <xdr:grpSpPr bwMode="auto">
          <a:xfrm>
            <a:off x="285" y="31"/>
            <a:ext cx="65" cy="23"/>
            <a:chOff x="285" y="31"/>
            <a:chExt cx="65" cy="23"/>
          </a:xfrm>
        </xdr:grpSpPr>
        <xdr:sp macro="[0]!组15_单击" textlink="">
          <xdr:nvSpPr>
            <xdr:cNvPr id="4123" name="Rectangle 27"/>
            <xdr:cNvSpPr>
              <a:spLocks noChangeArrowheads="1"/>
            </xdr:cNvSpPr>
          </xdr:nvSpPr>
          <xdr:spPr bwMode="auto">
            <a:xfrm>
              <a:off x="285" y="32"/>
              <a:ext cx="19" cy="1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endParaRPr lang="zh-CN"/>
            </a:p>
          </xdr:txBody>
        </xdr:sp>
        <xdr:sp macro="" textlink="">
          <xdr:nvSpPr>
            <xdr:cNvPr id="4124" name="Rectangle 28"/>
            <xdr:cNvSpPr>
              <a:spLocks noChangeArrowheads="1"/>
            </xdr:cNvSpPr>
          </xdr:nvSpPr>
          <xdr:spPr bwMode="auto">
            <a:xfrm>
              <a:off x="309" y="31"/>
              <a:ext cx="40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保税</a:t>
              </a:r>
            </a:p>
          </xdr:txBody>
        </xdr:sp>
      </xdr:grpSp>
      <xdr:grpSp>
        <xdr:nvGrpSpPr>
          <xdr:cNvPr id="4205" name="Group 29"/>
          <xdr:cNvGrpSpPr>
            <a:grpSpLocks/>
          </xdr:cNvGrpSpPr>
        </xdr:nvGrpSpPr>
        <xdr:grpSpPr bwMode="auto">
          <a:xfrm>
            <a:off x="444" y="31"/>
            <a:ext cx="100" cy="23"/>
            <a:chOff x="444" y="31"/>
            <a:chExt cx="100" cy="23"/>
          </a:xfrm>
        </xdr:grpSpPr>
        <xdr:sp macro="" textlink="">
          <xdr:nvSpPr>
            <xdr:cNvPr id="4126" name="Rectangle 30"/>
            <xdr:cNvSpPr>
              <a:spLocks noChangeArrowheads="1"/>
            </xdr:cNvSpPr>
          </xdr:nvSpPr>
          <xdr:spPr bwMode="auto">
            <a:xfrm>
              <a:off x="444" y="32"/>
              <a:ext cx="19" cy="1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√</a:t>
              </a:r>
            </a:p>
          </xdr:txBody>
        </xdr:sp>
        <xdr:sp macro="" textlink="">
          <xdr:nvSpPr>
            <xdr:cNvPr id="4127" name="Rectangle 31"/>
            <xdr:cNvSpPr>
              <a:spLocks noChangeArrowheads="1"/>
            </xdr:cNvSpPr>
          </xdr:nvSpPr>
          <xdr:spPr bwMode="auto">
            <a:xfrm>
              <a:off x="468" y="31"/>
              <a:ext cx="76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一般贸易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8</xdr:col>
      <xdr:colOff>409575</xdr:colOff>
      <xdr:row>1</xdr:row>
      <xdr:rowOff>200025</xdr:rowOff>
    </xdr:to>
    <xdr:grpSp>
      <xdr:nvGrpSpPr>
        <xdr:cNvPr id="11295" name="Group 1"/>
        <xdr:cNvGrpSpPr>
          <a:grpSpLocks/>
        </xdr:cNvGrpSpPr>
      </xdr:nvGrpSpPr>
      <xdr:grpSpPr bwMode="auto">
        <a:xfrm>
          <a:off x="4783931" y="295275"/>
          <a:ext cx="2614613" cy="190500"/>
          <a:chOff x="285" y="31"/>
          <a:chExt cx="259" cy="23"/>
        </a:xfrm>
      </xdr:grpSpPr>
      <xdr:grpSp>
        <xdr:nvGrpSpPr>
          <xdr:cNvPr id="11296" name="Group 2"/>
          <xdr:cNvGrpSpPr>
            <a:grpSpLocks/>
          </xdr:cNvGrpSpPr>
        </xdr:nvGrpSpPr>
        <xdr:grpSpPr bwMode="auto">
          <a:xfrm>
            <a:off x="285" y="31"/>
            <a:ext cx="65" cy="23"/>
            <a:chOff x="285" y="31"/>
            <a:chExt cx="65" cy="23"/>
          </a:xfrm>
        </xdr:grpSpPr>
        <xdr:sp macro="" textlink="">
          <xdr:nvSpPr>
            <xdr:cNvPr id="11267" name="Rectangle 3"/>
            <xdr:cNvSpPr>
              <a:spLocks noChangeArrowheads="1"/>
            </xdr:cNvSpPr>
          </xdr:nvSpPr>
          <xdr:spPr bwMode="auto">
            <a:xfrm>
              <a:off x="285" y="32"/>
              <a:ext cx="19" cy="1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endParaRPr lang="zh-CN"/>
            </a:p>
          </xdr:txBody>
        </xdr:sp>
        <xdr:sp macro="" textlink="">
          <xdr:nvSpPr>
            <xdr:cNvPr id="11268" name="Rectangle 4"/>
            <xdr:cNvSpPr>
              <a:spLocks noChangeArrowheads="1"/>
            </xdr:cNvSpPr>
          </xdr:nvSpPr>
          <xdr:spPr bwMode="auto">
            <a:xfrm>
              <a:off x="309" y="31"/>
              <a:ext cx="44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保税</a:t>
              </a:r>
            </a:p>
          </xdr:txBody>
        </xdr:sp>
      </xdr:grpSp>
      <xdr:grpSp>
        <xdr:nvGrpSpPr>
          <xdr:cNvPr id="11297" name="Group 5"/>
          <xdr:cNvGrpSpPr>
            <a:grpSpLocks/>
          </xdr:cNvGrpSpPr>
        </xdr:nvGrpSpPr>
        <xdr:grpSpPr bwMode="auto">
          <a:xfrm>
            <a:off x="444" y="31"/>
            <a:ext cx="100" cy="23"/>
            <a:chOff x="444" y="31"/>
            <a:chExt cx="100" cy="23"/>
          </a:xfrm>
        </xdr:grpSpPr>
        <xdr:sp macro="" textlink="">
          <xdr:nvSpPr>
            <xdr:cNvPr id="11270" name="Rectangle 6"/>
            <xdr:cNvSpPr>
              <a:spLocks noChangeArrowheads="1"/>
            </xdr:cNvSpPr>
          </xdr:nvSpPr>
          <xdr:spPr bwMode="auto">
            <a:xfrm>
              <a:off x="444" y="32"/>
              <a:ext cx="19" cy="1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√</a:t>
              </a:r>
            </a:p>
          </xdr:txBody>
        </xdr:sp>
        <xdr:sp macro="" textlink="">
          <xdr:nvSpPr>
            <xdr:cNvPr id="11271" name="Rectangle 7"/>
            <xdr:cNvSpPr>
              <a:spLocks noChangeArrowheads="1"/>
            </xdr:cNvSpPr>
          </xdr:nvSpPr>
          <xdr:spPr bwMode="auto">
            <a:xfrm>
              <a:off x="468" y="31"/>
              <a:ext cx="76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一般贸易</a:t>
              </a: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66675</xdr:rowOff>
    </xdr:from>
    <xdr:to>
      <xdr:col>8</xdr:col>
      <xdr:colOff>0</xdr:colOff>
      <xdr:row>1</xdr:row>
      <xdr:rowOff>180975</xdr:rowOff>
    </xdr:to>
    <xdr:sp macro="" textlink="">
      <xdr:nvSpPr>
        <xdr:cNvPr id="5122" name="Rectangle 2"/>
        <xdr:cNvSpPr>
          <a:spLocks noChangeArrowheads="1"/>
        </xdr:cNvSpPr>
      </xdr:nvSpPr>
      <xdr:spPr bwMode="auto">
        <a:xfrm>
          <a:off x="5143500" y="352425"/>
          <a:ext cx="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1</a:t>
          </a:r>
        </a:p>
      </xdr:txBody>
    </xdr:sp>
    <xdr:clientData/>
  </xdr:twoCellAnchor>
  <xdr:twoCellAnchor>
    <xdr:from>
      <xdr:col>8</xdr:col>
      <xdr:colOff>0</xdr:colOff>
      <xdr:row>1</xdr:row>
      <xdr:rowOff>47625</xdr:rowOff>
    </xdr:from>
    <xdr:to>
      <xdr:col>8</xdr:col>
      <xdr:colOff>0</xdr:colOff>
      <xdr:row>1</xdr:row>
      <xdr:rowOff>152400</xdr:rowOff>
    </xdr:to>
    <xdr:grpSp>
      <xdr:nvGrpSpPr>
        <xdr:cNvPr id="5177" name="Group 3"/>
        <xdr:cNvGrpSpPr>
          <a:grpSpLocks/>
        </xdr:cNvGrpSpPr>
      </xdr:nvGrpSpPr>
      <xdr:grpSpPr bwMode="auto">
        <a:xfrm>
          <a:off x="6643688" y="333375"/>
          <a:ext cx="0" cy="104775"/>
          <a:chOff x="548" y="125"/>
          <a:chExt cx="21" cy="13"/>
        </a:xfrm>
      </xdr:grpSpPr>
      <xdr:sp macro="" textlink="">
        <xdr:nvSpPr>
          <xdr:cNvPr id="5185" name="Line 4"/>
          <xdr:cNvSpPr>
            <a:spLocks noChangeShapeType="1"/>
          </xdr:cNvSpPr>
        </xdr:nvSpPr>
        <xdr:spPr bwMode="auto">
          <a:xfrm>
            <a:off x="548" y="130"/>
            <a:ext cx="7" cy="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86" name="Line 5"/>
          <xdr:cNvSpPr>
            <a:spLocks noChangeShapeType="1"/>
          </xdr:cNvSpPr>
        </xdr:nvSpPr>
        <xdr:spPr bwMode="auto">
          <a:xfrm flipV="1">
            <a:off x="556" y="125"/>
            <a:ext cx="13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314325</xdr:colOff>
      <xdr:row>0</xdr:row>
      <xdr:rowOff>276225</xdr:rowOff>
    </xdr:from>
    <xdr:to>
      <xdr:col>9</xdr:col>
      <xdr:colOff>190500</xdr:colOff>
      <xdr:row>1</xdr:row>
      <xdr:rowOff>228600</xdr:rowOff>
    </xdr:to>
    <xdr:grpSp>
      <xdr:nvGrpSpPr>
        <xdr:cNvPr id="5178" name="Group 30"/>
        <xdr:cNvGrpSpPr>
          <a:grpSpLocks/>
        </xdr:cNvGrpSpPr>
      </xdr:nvGrpSpPr>
      <xdr:grpSpPr bwMode="auto">
        <a:xfrm>
          <a:off x="4743450" y="276225"/>
          <a:ext cx="2828925" cy="238125"/>
          <a:chOff x="285" y="31"/>
          <a:chExt cx="259" cy="23"/>
        </a:xfrm>
      </xdr:grpSpPr>
      <xdr:grpSp>
        <xdr:nvGrpSpPr>
          <xdr:cNvPr id="5179" name="Group 25"/>
          <xdr:cNvGrpSpPr>
            <a:grpSpLocks/>
          </xdr:cNvGrpSpPr>
        </xdr:nvGrpSpPr>
        <xdr:grpSpPr bwMode="auto">
          <a:xfrm>
            <a:off x="285" y="31"/>
            <a:ext cx="65" cy="23"/>
            <a:chOff x="285" y="31"/>
            <a:chExt cx="65" cy="23"/>
          </a:xfrm>
        </xdr:grpSpPr>
        <xdr:sp macro="[0]!组15_单击" textlink="">
          <xdr:nvSpPr>
            <xdr:cNvPr id="5137" name="Rectangle 17"/>
            <xdr:cNvSpPr>
              <a:spLocks noChangeArrowheads="1"/>
            </xdr:cNvSpPr>
          </xdr:nvSpPr>
          <xdr:spPr bwMode="auto">
            <a:xfrm>
              <a:off x="285" y="32"/>
              <a:ext cx="19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√</a:t>
              </a:r>
            </a:p>
          </xdr:txBody>
        </xdr:sp>
        <xdr:sp macro="" textlink="">
          <xdr:nvSpPr>
            <xdr:cNvPr id="5144" name="Rectangle 24"/>
            <xdr:cNvSpPr>
              <a:spLocks noChangeArrowheads="1"/>
            </xdr:cNvSpPr>
          </xdr:nvSpPr>
          <xdr:spPr bwMode="auto">
            <a:xfrm>
              <a:off x="309" y="31"/>
              <a:ext cx="41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保税</a:t>
              </a:r>
            </a:p>
          </xdr:txBody>
        </xdr:sp>
      </xdr:grpSp>
      <xdr:grpSp>
        <xdr:nvGrpSpPr>
          <xdr:cNvPr id="5180" name="Group 29"/>
          <xdr:cNvGrpSpPr>
            <a:grpSpLocks/>
          </xdr:cNvGrpSpPr>
        </xdr:nvGrpSpPr>
        <xdr:grpSpPr bwMode="auto">
          <a:xfrm>
            <a:off x="444" y="31"/>
            <a:ext cx="100" cy="23"/>
            <a:chOff x="444" y="31"/>
            <a:chExt cx="100" cy="23"/>
          </a:xfrm>
        </xdr:grpSpPr>
        <xdr:sp macro="" textlink="">
          <xdr:nvSpPr>
            <xdr:cNvPr id="5147" name="Rectangle 27"/>
            <xdr:cNvSpPr>
              <a:spLocks noChangeArrowheads="1"/>
            </xdr:cNvSpPr>
          </xdr:nvSpPr>
          <xdr:spPr bwMode="auto">
            <a:xfrm>
              <a:off x="444" y="32"/>
              <a:ext cx="19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endParaRPr lang="zh-CN"/>
            </a:p>
          </xdr:txBody>
        </xdr:sp>
        <xdr:sp macro="" textlink="">
          <xdr:nvSpPr>
            <xdr:cNvPr id="5148" name="Rectangle 28"/>
            <xdr:cNvSpPr>
              <a:spLocks noChangeArrowheads="1"/>
            </xdr:cNvSpPr>
          </xdr:nvSpPr>
          <xdr:spPr bwMode="auto">
            <a:xfrm>
              <a:off x="468" y="31"/>
              <a:ext cx="76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一般贸易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11"/>
  </sheetPr>
  <dimension ref="A1:R296"/>
  <sheetViews>
    <sheetView tabSelected="1" zoomScale="80" zoomScaleNormal="80" zoomScaleSheetLayoutView="80" workbookViewId="0">
      <pane xSplit="4" ySplit="4" topLeftCell="E5" activePane="bottomRight" state="frozen"/>
      <selection activeCell="R46" sqref="R46"/>
      <selection pane="topRight" activeCell="R46" sqref="R46"/>
      <selection pane="bottomLeft" activeCell="R46" sqref="R46"/>
      <selection pane="bottomRight" activeCell="F22" sqref="F22"/>
    </sheetView>
  </sheetViews>
  <sheetFormatPr defaultRowHeight="18" x14ac:dyDescent="0.3"/>
  <cols>
    <col min="1" max="2" width="10.625" style="3" customWidth="1"/>
    <col min="3" max="3" width="13.75" style="3" customWidth="1"/>
    <col min="4" max="4" width="10.75" style="3" customWidth="1"/>
    <col min="5" max="10" width="9.625" style="3" customWidth="1"/>
    <col min="11" max="11" width="9.625" style="62" customWidth="1"/>
    <col min="12" max="18" width="9.625" style="3" customWidth="1"/>
    <col min="19" max="19" width="10.25" style="3" bestFit="1" customWidth="1"/>
    <col min="20" max="16384" width="9" style="3"/>
  </cols>
  <sheetData>
    <row r="1" spans="1:18" s="92" customFormat="1" ht="22.5" x14ac:dyDescent="0.35">
      <c r="A1" s="122" t="s">
        <v>350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18" s="1" customFormat="1" ht="17.25" customHeight="1" thickBot="1" x14ac:dyDescent="0.35">
      <c r="A2" s="123" t="s">
        <v>353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</row>
    <row r="3" spans="1:18" s="12" customFormat="1" ht="14.25" x14ac:dyDescent="0.15">
      <c r="A3" s="124" t="s">
        <v>9</v>
      </c>
      <c r="B3" s="129" t="s">
        <v>165</v>
      </c>
      <c r="C3" s="129" t="s">
        <v>363</v>
      </c>
      <c r="D3" s="126" t="s">
        <v>10</v>
      </c>
      <c r="E3" s="113" t="s">
        <v>11</v>
      </c>
      <c r="F3" s="113" t="s">
        <v>12</v>
      </c>
      <c r="G3" s="126" t="s">
        <v>13</v>
      </c>
      <c r="H3" s="129" t="s">
        <v>14</v>
      </c>
      <c r="I3" s="113" t="s">
        <v>15</v>
      </c>
      <c r="J3" s="126" t="s">
        <v>16</v>
      </c>
      <c r="K3" s="126"/>
      <c r="L3" s="126"/>
      <c r="M3" s="126"/>
      <c r="N3" s="126"/>
      <c r="O3" s="126"/>
      <c r="P3" s="126"/>
      <c r="Q3" s="129" t="s">
        <v>18</v>
      </c>
      <c r="R3" s="115" t="s">
        <v>17</v>
      </c>
    </row>
    <row r="4" spans="1:18" s="12" customFormat="1" ht="14.25" x14ac:dyDescent="0.15">
      <c r="A4" s="125"/>
      <c r="B4" s="130"/>
      <c r="C4" s="130"/>
      <c r="D4" s="127"/>
      <c r="E4" s="114" t="s">
        <v>18</v>
      </c>
      <c r="F4" s="114" t="s">
        <v>60</v>
      </c>
      <c r="G4" s="128"/>
      <c r="H4" s="130"/>
      <c r="I4" s="114" t="s">
        <v>18</v>
      </c>
      <c r="J4" s="68" t="s">
        <v>60</v>
      </c>
      <c r="K4" s="75" t="s">
        <v>61</v>
      </c>
      <c r="L4" s="68" t="s">
        <v>4</v>
      </c>
      <c r="M4" s="75" t="s">
        <v>5</v>
      </c>
      <c r="N4" s="68" t="s">
        <v>6</v>
      </c>
      <c r="O4" s="75" t="s">
        <v>7</v>
      </c>
      <c r="P4" s="68" t="s">
        <v>8</v>
      </c>
      <c r="Q4" s="130"/>
      <c r="R4" s="116"/>
    </row>
    <row r="5" spans="1:18" s="12" customFormat="1" ht="14.25" x14ac:dyDescent="0.15">
      <c r="A5" s="120" t="s">
        <v>98</v>
      </c>
      <c r="B5" s="40" t="s">
        <v>196</v>
      </c>
      <c r="C5" s="40" t="s">
        <v>499</v>
      </c>
      <c r="D5" s="40" t="s">
        <v>99</v>
      </c>
      <c r="E5" s="5">
        <v>468118</v>
      </c>
      <c r="F5" s="5">
        <v>660000</v>
      </c>
      <c r="G5" s="5">
        <v>276000</v>
      </c>
      <c r="H5" s="5"/>
      <c r="I5" s="8">
        <f t="shared" ref="I5:I54" si="0">E5+F5-G5-H5</f>
        <v>852118</v>
      </c>
      <c r="J5" s="69">
        <f>204000</f>
        <v>204000</v>
      </c>
      <c r="K5" s="76">
        <f>96000+4800+29300+6000</f>
        <v>136100</v>
      </c>
      <c r="L5" s="69">
        <f>144000+312000</f>
        <v>456000</v>
      </c>
      <c r="M5" s="76"/>
      <c r="N5" s="69">
        <f>12000</f>
        <v>12000</v>
      </c>
      <c r="O5" s="76">
        <f>44118</f>
        <v>44118</v>
      </c>
      <c r="P5" s="69">
        <v>6000</v>
      </c>
      <c r="Q5" s="5">
        <f>SUM(J5:P5)</f>
        <v>858218</v>
      </c>
      <c r="R5" s="121">
        <f>Q5+Q6-I5-I6</f>
        <v>41386</v>
      </c>
    </row>
    <row r="6" spans="1:18" s="12" customFormat="1" ht="14.25" x14ac:dyDescent="0.15">
      <c r="A6" s="120"/>
      <c r="B6" s="40" t="s">
        <v>218</v>
      </c>
      <c r="C6" s="40" t="s">
        <v>365</v>
      </c>
      <c r="D6" s="40" t="s">
        <v>100</v>
      </c>
      <c r="E6" s="5">
        <v>155984</v>
      </c>
      <c r="F6" s="5"/>
      <c r="G6" s="5">
        <v>144000</v>
      </c>
      <c r="H6" s="48"/>
      <c r="I6" s="8">
        <f t="shared" si="0"/>
        <v>11984</v>
      </c>
      <c r="J6" s="69"/>
      <c r="K6" s="76"/>
      <c r="L6" s="69"/>
      <c r="M6" s="76">
        <f>2900</f>
        <v>2900</v>
      </c>
      <c r="N6" s="69"/>
      <c r="O6" s="76">
        <f>14490+29880</f>
        <v>44370</v>
      </c>
      <c r="P6" s="69"/>
      <c r="Q6" s="5">
        <f t="shared" ref="Q6:Q54" si="1">SUM(J6:P6)</f>
        <v>47270</v>
      </c>
      <c r="R6" s="121"/>
    </row>
    <row r="7" spans="1:18" s="14" customFormat="1" ht="15.95" customHeight="1" x14ac:dyDescent="0.15">
      <c r="A7" s="120" t="s">
        <v>33</v>
      </c>
      <c r="B7" s="40" t="s">
        <v>260</v>
      </c>
      <c r="C7" s="40" t="s">
        <v>364</v>
      </c>
      <c r="D7" s="40" t="s">
        <v>344</v>
      </c>
      <c r="E7" s="5">
        <v>0</v>
      </c>
      <c r="F7" s="6"/>
      <c r="G7" s="5"/>
      <c r="H7" s="5"/>
      <c r="I7" s="6">
        <f>E7+F7-G7-H7</f>
        <v>0</v>
      </c>
      <c r="J7" s="69"/>
      <c r="K7" s="76"/>
      <c r="L7" s="69"/>
      <c r="M7" s="76"/>
      <c r="N7" s="69"/>
      <c r="O7" s="76"/>
      <c r="P7" s="69"/>
      <c r="Q7" s="5">
        <f>SUM(J7:P7)</f>
        <v>0</v>
      </c>
      <c r="R7" s="121">
        <f>Q7+Q8-I7-I8</f>
        <v>0</v>
      </c>
    </row>
    <row r="8" spans="1:18" s="14" customFormat="1" ht="15.95" customHeight="1" x14ac:dyDescent="0.15">
      <c r="A8" s="120"/>
      <c r="B8" s="40" t="s">
        <v>261</v>
      </c>
      <c r="C8" s="40" t="s">
        <v>365</v>
      </c>
      <c r="D8" s="40" t="s">
        <v>345</v>
      </c>
      <c r="E8" s="5">
        <v>0</v>
      </c>
      <c r="F8" s="6"/>
      <c r="G8" s="5"/>
      <c r="H8" s="5"/>
      <c r="I8" s="6">
        <f>E8+F8-G8-H8</f>
        <v>0</v>
      </c>
      <c r="J8" s="69"/>
      <c r="K8" s="76"/>
      <c r="L8" s="69"/>
      <c r="M8" s="76"/>
      <c r="N8" s="69"/>
      <c r="O8" s="76"/>
      <c r="P8" s="69"/>
      <c r="Q8" s="5">
        <f t="shared" ref="Q8" si="2">SUM(J8:P8)</f>
        <v>0</v>
      </c>
      <c r="R8" s="121"/>
    </row>
    <row r="9" spans="1:18" s="12" customFormat="1" ht="14.25" x14ac:dyDescent="0.15">
      <c r="A9" s="120" t="s">
        <v>98</v>
      </c>
      <c r="B9" s="41" t="s">
        <v>197</v>
      </c>
      <c r="C9" s="41" t="s">
        <v>366</v>
      </c>
      <c r="D9" s="41" t="s">
        <v>101</v>
      </c>
      <c r="E9" s="5">
        <v>820810</v>
      </c>
      <c r="F9" s="5">
        <v>660000</v>
      </c>
      <c r="G9" s="5">
        <v>510000</v>
      </c>
      <c r="H9" s="5"/>
      <c r="I9" s="8">
        <f t="shared" si="0"/>
        <v>970810</v>
      </c>
      <c r="J9" s="69"/>
      <c r="K9" s="76">
        <f>164700+36000</f>
        <v>200700</v>
      </c>
      <c r="L9" s="69"/>
      <c r="M9" s="76"/>
      <c r="N9" s="69">
        <f>12000</f>
        <v>12000</v>
      </c>
      <c r="O9" s="76">
        <f>17992+35568</f>
        <v>53560</v>
      </c>
      <c r="P9" s="69">
        <v>60000</v>
      </c>
      <c r="Q9" s="5">
        <f t="shared" si="1"/>
        <v>326260</v>
      </c>
      <c r="R9" s="121">
        <f>Q9+Q10-I9-I10</f>
        <v>-13050</v>
      </c>
    </row>
    <row r="10" spans="1:18" s="12" customFormat="1" ht="14.25" x14ac:dyDescent="0.15">
      <c r="A10" s="120"/>
      <c r="B10" s="41" t="s">
        <v>219</v>
      </c>
      <c r="C10" s="41" t="s">
        <v>410</v>
      </c>
      <c r="D10" s="41" t="s">
        <v>102</v>
      </c>
      <c r="E10" s="5">
        <v>49275</v>
      </c>
      <c r="F10" s="5"/>
      <c r="G10" s="5">
        <v>630000</v>
      </c>
      <c r="H10" s="5"/>
      <c r="I10" s="8">
        <f t="shared" si="0"/>
        <v>-580725</v>
      </c>
      <c r="J10" s="69"/>
      <c r="K10" s="76"/>
      <c r="L10" s="69"/>
      <c r="M10" s="76">
        <f>6030</f>
        <v>6030</v>
      </c>
      <c r="N10" s="69"/>
      <c r="O10" s="76">
        <f>35910+8835</f>
        <v>44745</v>
      </c>
      <c r="P10" s="69"/>
      <c r="Q10" s="5">
        <f t="shared" si="1"/>
        <v>50775</v>
      </c>
      <c r="R10" s="121"/>
    </row>
    <row r="11" spans="1:18" s="12" customFormat="1" ht="14.25" x14ac:dyDescent="0.15">
      <c r="A11" s="120" t="s">
        <v>55</v>
      </c>
      <c r="B11" s="40" t="s">
        <v>198</v>
      </c>
      <c r="C11" s="40" t="s">
        <v>367</v>
      </c>
      <c r="D11" s="40" t="s">
        <v>103</v>
      </c>
      <c r="E11" s="5">
        <v>216000</v>
      </c>
      <c r="F11" s="5">
        <v>510000</v>
      </c>
      <c r="G11" s="5">
        <v>438000</v>
      </c>
      <c r="H11" s="5">
        <v>6000</v>
      </c>
      <c r="I11" s="8">
        <f t="shared" si="0"/>
        <v>282000</v>
      </c>
      <c r="J11" s="69"/>
      <c r="K11" s="76">
        <f>150+6000</f>
        <v>6150</v>
      </c>
      <c r="L11" s="69"/>
      <c r="M11" s="76"/>
      <c r="N11" s="69"/>
      <c r="O11" s="76"/>
      <c r="P11" s="69">
        <v>3300</v>
      </c>
      <c r="Q11" s="5">
        <f t="shared" si="1"/>
        <v>9450</v>
      </c>
      <c r="R11" s="121">
        <f>Q11+Q12-I11-I12</f>
        <v>-3015</v>
      </c>
    </row>
    <row r="12" spans="1:18" s="12" customFormat="1" ht="14.25" x14ac:dyDescent="0.15">
      <c r="A12" s="120"/>
      <c r="B12" s="40" t="s">
        <v>220</v>
      </c>
      <c r="C12" s="40" t="s">
        <v>368</v>
      </c>
      <c r="D12" s="40" t="s">
        <v>104</v>
      </c>
      <c r="E12" s="5">
        <v>50373</v>
      </c>
      <c r="F12" s="5"/>
      <c r="G12" s="5">
        <v>288000</v>
      </c>
      <c r="H12" s="5"/>
      <c r="I12" s="8">
        <f t="shared" si="0"/>
        <v>-237627</v>
      </c>
      <c r="J12" s="69"/>
      <c r="K12" s="76"/>
      <c r="L12" s="69"/>
      <c r="M12" s="76">
        <f>1870+30038</f>
        <v>31908</v>
      </c>
      <c r="N12" s="69"/>
      <c r="O12" s="76"/>
      <c r="P12" s="69"/>
      <c r="Q12" s="5">
        <f t="shared" si="1"/>
        <v>31908</v>
      </c>
      <c r="R12" s="121"/>
    </row>
    <row r="13" spans="1:18" s="12" customFormat="1" ht="14.25" x14ac:dyDescent="0.15">
      <c r="A13" s="120" t="s">
        <v>55</v>
      </c>
      <c r="B13" s="41" t="s">
        <v>199</v>
      </c>
      <c r="C13" s="41" t="s">
        <v>369</v>
      </c>
      <c r="D13" s="41" t="s">
        <v>105</v>
      </c>
      <c r="E13" s="5">
        <v>355300</v>
      </c>
      <c r="F13" s="5"/>
      <c r="G13" s="5">
        <v>168000</v>
      </c>
      <c r="H13" s="5"/>
      <c r="I13" s="8">
        <f t="shared" si="0"/>
        <v>187300</v>
      </c>
      <c r="J13" s="69"/>
      <c r="K13" s="76">
        <f>4200+54000</f>
        <v>58200</v>
      </c>
      <c r="L13" s="69"/>
      <c r="M13" s="76"/>
      <c r="N13" s="69"/>
      <c r="O13" s="76"/>
      <c r="P13" s="69"/>
      <c r="Q13" s="5">
        <f t="shared" si="1"/>
        <v>58200</v>
      </c>
      <c r="R13" s="121">
        <f>Q13+Q14-I13-I14</f>
        <v>2745</v>
      </c>
    </row>
    <row r="14" spans="1:18" s="12" customFormat="1" ht="14.25" x14ac:dyDescent="0.15">
      <c r="A14" s="120"/>
      <c r="B14" s="41" t="s">
        <v>221</v>
      </c>
      <c r="C14" s="41" t="s">
        <v>370</v>
      </c>
      <c r="D14" s="41" t="s">
        <v>106</v>
      </c>
      <c r="E14" s="5">
        <v>2166</v>
      </c>
      <c r="F14" s="5"/>
      <c r="G14" s="5">
        <v>108000</v>
      </c>
      <c r="H14" s="5"/>
      <c r="I14" s="8">
        <f t="shared" si="0"/>
        <v>-105834</v>
      </c>
      <c r="J14" s="69"/>
      <c r="K14" s="76"/>
      <c r="L14" s="69"/>
      <c r="M14" s="76">
        <f>2000+24011</f>
        <v>26011</v>
      </c>
      <c r="N14" s="69"/>
      <c r="O14" s="76"/>
      <c r="P14" s="69"/>
      <c r="Q14" s="5">
        <f t="shared" si="1"/>
        <v>26011</v>
      </c>
      <c r="R14" s="121"/>
    </row>
    <row r="15" spans="1:18" s="12" customFormat="1" ht="14.25" x14ac:dyDescent="0.15">
      <c r="A15" s="120" t="s">
        <v>55</v>
      </c>
      <c r="B15" s="40" t="s">
        <v>200</v>
      </c>
      <c r="C15" s="40" t="s">
        <v>371</v>
      </c>
      <c r="D15" s="40" t="s">
        <v>107</v>
      </c>
      <c r="E15" s="5">
        <v>7292500</v>
      </c>
      <c r="F15" s="5">
        <v>1426000</v>
      </c>
      <c r="G15" s="5">
        <v>2010000</v>
      </c>
      <c r="H15" s="5"/>
      <c r="I15" s="8">
        <f t="shared" si="0"/>
        <v>6708500</v>
      </c>
      <c r="J15" s="69">
        <f>288000+240000+1404000+852000</f>
        <v>2784000</v>
      </c>
      <c r="K15" s="76">
        <f>4300+246000+108000+32700+24000+138000</f>
        <v>553000</v>
      </c>
      <c r="L15" s="69">
        <f>132000+216000+288000+84000+780000+132000</f>
        <v>1632000</v>
      </c>
      <c r="M15" s="76"/>
      <c r="N15" s="69"/>
      <c r="O15" s="76"/>
      <c r="P15" s="69"/>
      <c r="Q15" s="5">
        <f t="shared" si="1"/>
        <v>4969000</v>
      </c>
      <c r="R15" s="121">
        <f>Q15+Q16-I15-I16</f>
        <v>71788</v>
      </c>
    </row>
    <row r="16" spans="1:18" s="12" customFormat="1" ht="14.25" x14ac:dyDescent="0.15">
      <c r="A16" s="120"/>
      <c r="B16" s="40" t="s">
        <v>222</v>
      </c>
      <c r="C16" s="40" t="s">
        <v>372</v>
      </c>
      <c r="D16" s="40" t="s">
        <v>108</v>
      </c>
      <c r="E16" s="5">
        <v>154799</v>
      </c>
      <c r="F16" s="5"/>
      <c r="G16" s="5">
        <v>1782000</v>
      </c>
      <c r="H16" s="5"/>
      <c r="I16" s="8">
        <f t="shared" si="0"/>
        <v>-1627201</v>
      </c>
      <c r="J16" s="69"/>
      <c r="K16" s="76"/>
      <c r="L16" s="69"/>
      <c r="M16" s="76">
        <f>3840+108064+72183</f>
        <v>184087</v>
      </c>
      <c r="N16" s="69"/>
      <c r="O16" s="76"/>
      <c r="P16" s="69"/>
      <c r="Q16" s="5">
        <f t="shared" si="1"/>
        <v>184087</v>
      </c>
      <c r="R16" s="121"/>
    </row>
    <row r="17" spans="1:18" s="12" customFormat="1" ht="14.25" x14ac:dyDescent="0.15">
      <c r="A17" s="120" t="s">
        <v>55</v>
      </c>
      <c r="B17" s="41" t="s">
        <v>201</v>
      </c>
      <c r="C17" s="41" t="s">
        <v>373</v>
      </c>
      <c r="D17" s="41" t="s">
        <v>109</v>
      </c>
      <c r="E17" s="5">
        <v>1750450</v>
      </c>
      <c r="F17" s="5">
        <v>2386000</v>
      </c>
      <c r="G17" s="5">
        <v>1266000</v>
      </c>
      <c r="H17" s="5">
        <v>66000</v>
      </c>
      <c r="I17" s="8">
        <f t="shared" si="0"/>
        <v>2804450</v>
      </c>
      <c r="J17" s="69">
        <f>294000</f>
        <v>294000</v>
      </c>
      <c r="K17" s="76">
        <f>4800+2400+324000+1900+6000+24000+180000</f>
        <v>543100</v>
      </c>
      <c r="L17" s="69">
        <f>726000</f>
        <v>726000</v>
      </c>
      <c r="M17" s="76"/>
      <c r="N17" s="69"/>
      <c r="O17" s="76"/>
      <c r="P17" s="69"/>
      <c r="Q17" s="5">
        <f t="shared" si="1"/>
        <v>1563100</v>
      </c>
      <c r="R17" s="121">
        <f>Q17+Q18-I17-I18</f>
        <v>6292</v>
      </c>
    </row>
    <row r="18" spans="1:18" s="12" customFormat="1" ht="14.25" x14ac:dyDescent="0.15">
      <c r="A18" s="120"/>
      <c r="B18" s="41" t="s">
        <v>223</v>
      </c>
      <c r="C18" s="41" t="s">
        <v>374</v>
      </c>
      <c r="D18" s="41" t="s">
        <v>110</v>
      </c>
      <c r="E18" s="5">
        <v>83478</v>
      </c>
      <c r="F18" s="5"/>
      <c r="G18" s="5">
        <v>1320000</v>
      </c>
      <c r="H18" s="5"/>
      <c r="I18" s="8">
        <f t="shared" si="0"/>
        <v>-1236522</v>
      </c>
      <c r="J18" s="69"/>
      <c r="K18" s="76"/>
      <c r="L18" s="69"/>
      <c r="M18" s="76">
        <f>5760+1760+3600</f>
        <v>11120</v>
      </c>
      <c r="N18" s="69"/>
      <c r="O18" s="76"/>
      <c r="P18" s="69"/>
      <c r="Q18" s="5">
        <f t="shared" si="1"/>
        <v>11120</v>
      </c>
      <c r="R18" s="121"/>
    </row>
    <row r="19" spans="1:18" s="12" customFormat="1" ht="14.25" x14ac:dyDescent="0.15">
      <c r="A19" s="120" t="s">
        <v>55</v>
      </c>
      <c r="B19" s="40" t="s">
        <v>200</v>
      </c>
      <c r="C19" s="40" t="s">
        <v>371</v>
      </c>
      <c r="D19" s="40" t="s">
        <v>111</v>
      </c>
      <c r="E19" s="5">
        <v>8500</v>
      </c>
      <c r="F19" s="5">
        <v>120000</v>
      </c>
      <c r="G19" s="5">
        <v>48000</v>
      </c>
      <c r="H19" s="5"/>
      <c r="I19" s="8">
        <f t="shared" si="0"/>
        <v>80500</v>
      </c>
      <c r="J19" s="69"/>
      <c r="K19" s="76">
        <f>1500+2400+11200</f>
        <v>15100</v>
      </c>
      <c r="L19" s="69"/>
      <c r="M19" s="76"/>
      <c r="N19" s="69"/>
      <c r="O19" s="76"/>
      <c r="P19" s="69"/>
      <c r="Q19" s="5">
        <f>SUM(J19:P19)</f>
        <v>15100</v>
      </c>
      <c r="R19" s="121">
        <f>Q19+Q20-I19-I20</f>
        <v>-27207</v>
      </c>
    </row>
    <row r="20" spans="1:18" s="12" customFormat="1" ht="14.25" x14ac:dyDescent="0.15">
      <c r="A20" s="120"/>
      <c r="B20" s="40" t="s">
        <v>222</v>
      </c>
      <c r="C20" s="40" t="s">
        <v>372</v>
      </c>
      <c r="D20" s="40" t="s">
        <v>112</v>
      </c>
      <c r="E20" s="5">
        <v>9807</v>
      </c>
      <c r="F20" s="5"/>
      <c r="G20" s="5">
        <v>48000</v>
      </c>
      <c r="H20" s="5"/>
      <c r="I20" s="8">
        <f>E20+F20-G20-H20</f>
        <v>-38193</v>
      </c>
      <c r="J20" s="69"/>
      <c r="K20" s="76"/>
      <c r="L20" s="69"/>
      <c r="M20" s="76"/>
      <c r="N20" s="69"/>
      <c r="O20" s="76"/>
      <c r="P20" s="69"/>
      <c r="Q20" s="5">
        <f t="shared" si="1"/>
        <v>0</v>
      </c>
      <c r="R20" s="121"/>
    </row>
    <row r="21" spans="1:18" s="12" customFormat="1" ht="14.25" x14ac:dyDescent="0.15">
      <c r="A21" s="131" t="s">
        <v>113</v>
      </c>
      <c r="B21" s="41" t="s">
        <v>202</v>
      </c>
      <c r="C21" s="41" t="s">
        <v>375</v>
      </c>
      <c r="D21" s="41" t="s">
        <v>114</v>
      </c>
      <c r="E21" s="5">
        <v>174075</v>
      </c>
      <c r="F21" s="5">
        <v>1320000</v>
      </c>
      <c r="G21" s="5">
        <v>420000</v>
      </c>
      <c r="H21" s="5">
        <v>24000</v>
      </c>
      <c r="I21" s="8">
        <f t="shared" si="0"/>
        <v>1050075</v>
      </c>
      <c r="J21" s="69"/>
      <c r="K21" s="76">
        <f>108000+24000+192000</f>
        <v>324000</v>
      </c>
      <c r="L21" s="69">
        <f>42000</f>
        <v>42000</v>
      </c>
      <c r="M21" s="76"/>
      <c r="N21" s="69">
        <f>6000+36000+30000</f>
        <v>72000</v>
      </c>
      <c r="O21" s="76">
        <f>36000+6075</f>
        <v>42075</v>
      </c>
      <c r="P21" s="69"/>
      <c r="Q21" s="5">
        <f t="shared" si="1"/>
        <v>480075</v>
      </c>
      <c r="R21" s="121">
        <f>Q21+Q22-I21-I22</f>
        <v>-2192</v>
      </c>
    </row>
    <row r="22" spans="1:18" s="12" customFormat="1" ht="14.25" x14ac:dyDescent="0.15">
      <c r="A22" s="132"/>
      <c r="B22" s="41" t="s">
        <v>224</v>
      </c>
      <c r="C22" s="41" t="s">
        <v>376</v>
      </c>
      <c r="D22" s="41" t="s">
        <v>115</v>
      </c>
      <c r="E22" s="5">
        <v>178441</v>
      </c>
      <c r="F22" s="5"/>
      <c r="G22" s="5">
        <v>420000</v>
      </c>
      <c r="H22" s="5"/>
      <c r="I22" s="8">
        <f t="shared" si="0"/>
        <v>-241559</v>
      </c>
      <c r="J22" s="69"/>
      <c r="K22" s="76"/>
      <c r="L22" s="69"/>
      <c r="M22" s="76">
        <f>23959</f>
        <v>23959</v>
      </c>
      <c r="N22" s="69">
        <f>5840</f>
        <v>5840</v>
      </c>
      <c r="O22" s="76">
        <f>35840+30000+16560+35950+36100+36000+36100+35500+10400</f>
        <v>272450</v>
      </c>
      <c r="P22" s="69">
        <v>24000</v>
      </c>
      <c r="Q22" s="5">
        <f t="shared" si="1"/>
        <v>326249</v>
      </c>
      <c r="R22" s="121"/>
    </row>
    <row r="23" spans="1:18" s="12" customFormat="1" ht="14.25" x14ac:dyDescent="0.15">
      <c r="A23" s="120" t="s">
        <v>2</v>
      </c>
      <c r="B23" s="40" t="s">
        <v>203</v>
      </c>
      <c r="C23" s="40" t="s">
        <v>377</v>
      </c>
      <c r="D23" s="40" t="s">
        <v>116</v>
      </c>
      <c r="E23" s="5">
        <v>279400</v>
      </c>
      <c r="F23" s="5">
        <v>600000</v>
      </c>
      <c r="G23" s="39">
        <v>462000</v>
      </c>
      <c r="H23" s="39">
        <v>6000</v>
      </c>
      <c r="I23" s="8">
        <f t="shared" si="0"/>
        <v>411400</v>
      </c>
      <c r="J23" s="70"/>
      <c r="K23" s="77">
        <f>18000+6000</f>
        <v>24000</v>
      </c>
      <c r="L23" s="70"/>
      <c r="M23" s="77"/>
      <c r="N23" s="70">
        <f>30000+19600+36000</f>
        <v>85600</v>
      </c>
      <c r="O23" s="77"/>
      <c r="P23" s="69"/>
      <c r="Q23" s="5">
        <f t="shared" si="1"/>
        <v>109600</v>
      </c>
      <c r="R23" s="121">
        <f>Q23+Q24-I23-I24</f>
        <v>-2428</v>
      </c>
    </row>
    <row r="24" spans="1:18" s="12" customFormat="1" ht="14.25" x14ac:dyDescent="0.15">
      <c r="A24" s="120"/>
      <c r="B24" s="40" t="s">
        <v>225</v>
      </c>
      <c r="C24" s="40" t="s">
        <v>378</v>
      </c>
      <c r="D24" s="40" t="s">
        <v>117</v>
      </c>
      <c r="E24" s="5">
        <v>295116</v>
      </c>
      <c r="F24" s="5"/>
      <c r="G24" s="39">
        <v>462000</v>
      </c>
      <c r="H24" s="39"/>
      <c r="I24" s="8">
        <f t="shared" si="0"/>
        <v>-166884</v>
      </c>
      <c r="J24" s="70"/>
      <c r="K24" s="77"/>
      <c r="L24" s="70"/>
      <c r="M24" s="77"/>
      <c r="N24" s="70">
        <f>11988</f>
        <v>11988</v>
      </c>
      <c r="O24" s="77">
        <f>36050+36150+30300+18000</f>
        <v>120500</v>
      </c>
      <c r="P24" s="69"/>
      <c r="Q24" s="5">
        <f t="shared" si="1"/>
        <v>132488</v>
      </c>
      <c r="R24" s="121"/>
    </row>
    <row r="25" spans="1:18" s="12" customFormat="1" ht="14.25" x14ac:dyDescent="0.15">
      <c r="A25" s="131" t="s">
        <v>128</v>
      </c>
      <c r="B25" s="41" t="s">
        <v>204</v>
      </c>
      <c r="C25" s="41" t="s">
        <v>379</v>
      </c>
      <c r="D25" s="41" t="s">
        <v>129</v>
      </c>
      <c r="E25" s="5">
        <v>53000</v>
      </c>
      <c r="F25" s="5">
        <v>480000</v>
      </c>
      <c r="G25" s="5">
        <v>196000</v>
      </c>
      <c r="H25" s="47">
        <v>18000</v>
      </c>
      <c r="I25" s="8">
        <f t="shared" si="0"/>
        <v>319000</v>
      </c>
      <c r="J25" s="69"/>
      <c r="K25" s="76">
        <f>32700</f>
        <v>32700</v>
      </c>
      <c r="L25" s="69"/>
      <c r="M25" s="76"/>
      <c r="N25" s="69">
        <f>30500+12000</f>
        <v>42500</v>
      </c>
      <c r="O25" s="76"/>
      <c r="P25" s="69">
        <v>8000</v>
      </c>
      <c r="Q25" s="5">
        <f t="shared" si="1"/>
        <v>83200</v>
      </c>
      <c r="R25" s="121">
        <f t="shared" ref="R25:R53" si="3">Q25+Q26-I25-I26</f>
        <v>5350</v>
      </c>
    </row>
    <row r="26" spans="1:18" s="12" customFormat="1" ht="14.25" x14ac:dyDescent="0.15">
      <c r="A26" s="132"/>
      <c r="B26" s="41" t="s">
        <v>226</v>
      </c>
      <c r="C26" s="41" t="s">
        <v>380</v>
      </c>
      <c r="D26" s="41" t="s">
        <v>130</v>
      </c>
      <c r="E26" s="5">
        <v>43950</v>
      </c>
      <c r="F26" s="5"/>
      <c r="G26" s="5">
        <v>196000</v>
      </c>
      <c r="H26" s="5"/>
      <c r="I26" s="8">
        <f t="shared" si="0"/>
        <v>-152050</v>
      </c>
      <c r="J26" s="69"/>
      <c r="K26" s="76"/>
      <c r="L26" s="69"/>
      <c r="M26" s="76"/>
      <c r="N26" s="69"/>
      <c r="O26" s="76">
        <f>16950+36650+35500</f>
        <v>89100</v>
      </c>
      <c r="P26" s="69"/>
      <c r="Q26" s="5">
        <f t="shared" si="1"/>
        <v>89100</v>
      </c>
      <c r="R26" s="121"/>
    </row>
    <row r="27" spans="1:18" s="12" customFormat="1" ht="14.25" x14ac:dyDescent="0.15">
      <c r="A27" s="120" t="s">
        <v>2</v>
      </c>
      <c r="B27" s="40" t="s">
        <v>205</v>
      </c>
      <c r="C27" s="40" t="s">
        <v>381</v>
      </c>
      <c r="D27" s="40" t="s">
        <v>131</v>
      </c>
      <c r="E27" s="5">
        <v>75400</v>
      </c>
      <c r="F27" s="5"/>
      <c r="G27" s="39">
        <v>28000</v>
      </c>
      <c r="H27" s="39"/>
      <c r="I27" s="8">
        <f t="shared" si="0"/>
        <v>47400</v>
      </c>
      <c r="J27" s="70"/>
      <c r="K27" s="77">
        <f>30000</f>
        <v>30000</v>
      </c>
      <c r="L27" s="70"/>
      <c r="M27" s="77"/>
      <c r="N27" s="70">
        <f>18400</f>
        <v>18400</v>
      </c>
      <c r="O27" s="77"/>
      <c r="P27" s="69"/>
      <c r="Q27" s="5">
        <f t="shared" si="1"/>
        <v>48400</v>
      </c>
      <c r="R27" s="121">
        <f t="shared" si="3"/>
        <v>960</v>
      </c>
    </row>
    <row r="28" spans="1:18" s="12" customFormat="1" ht="14.25" x14ac:dyDescent="0.15">
      <c r="A28" s="120"/>
      <c r="B28" s="40" t="s">
        <v>227</v>
      </c>
      <c r="C28" s="40" t="s">
        <v>382</v>
      </c>
      <c r="D28" s="40" t="s">
        <v>132</v>
      </c>
      <c r="E28" s="5">
        <v>82490</v>
      </c>
      <c r="F28" s="5"/>
      <c r="G28" s="39">
        <v>28000</v>
      </c>
      <c r="H28" s="39"/>
      <c r="I28" s="8">
        <f t="shared" si="0"/>
        <v>54490</v>
      </c>
      <c r="J28" s="70"/>
      <c r="K28" s="77"/>
      <c r="L28" s="70"/>
      <c r="M28" s="77"/>
      <c r="N28" s="70"/>
      <c r="O28" s="77">
        <f>18800+35650</f>
        <v>54450</v>
      </c>
      <c r="P28" s="69"/>
      <c r="Q28" s="5">
        <f t="shared" si="1"/>
        <v>54450</v>
      </c>
      <c r="R28" s="121"/>
    </row>
    <row r="29" spans="1:18" s="12" customFormat="1" ht="14.25" x14ac:dyDescent="0.15">
      <c r="A29" s="133" t="s">
        <v>2</v>
      </c>
      <c r="B29" s="91" t="s">
        <v>206</v>
      </c>
      <c r="C29" s="91" t="s">
        <v>383</v>
      </c>
      <c r="D29" s="91" t="s">
        <v>346</v>
      </c>
      <c r="E29" s="5">
        <v>204600</v>
      </c>
      <c r="F29" s="5">
        <v>300000</v>
      </c>
      <c r="G29" s="39">
        <v>190000</v>
      </c>
      <c r="H29" s="39"/>
      <c r="I29" s="8">
        <f t="shared" si="0"/>
        <v>314600</v>
      </c>
      <c r="J29" s="70"/>
      <c r="K29" s="77">
        <f>124850</f>
        <v>124850</v>
      </c>
      <c r="L29" s="70"/>
      <c r="M29" s="77"/>
      <c r="N29" s="70">
        <f>3800+18000+16600</f>
        <v>38400</v>
      </c>
      <c r="O29" s="77"/>
      <c r="P29" s="69"/>
      <c r="Q29" s="5">
        <f t="shared" si="1"/>
        <v>163250</v>
      </c>
      <c r="R29" s="121">
        <f t="shared" si="3"/>
        <v>-1850</v>
      </c>
    </row>
    <row r="30" spans="1:18" s="12" customFormat="1" ht="14.25" x14ac:dyDescent="0.15">
      <c r="A30" s="133"/>
      <c r="B30" s="91" t="s">
        <v>228</v>
      </c>
      <c r="C30" s="91" t="s">
        <v>384</v>
      </c>
      <c r="D30" s="91" t="s">
        <v>347</v>
      </c>
      <c r="E30" s="5">
        <v>199900</v>
      </c>
      <c r="F30" s="5"/>
      <c r="G30" s="39">
        <v>190000</v>
      </c>
      <c r="H30" s="39"/>
      <c r="I30" s="8">
        <f t="shared" si="0"/>
        <v>9900</v>
      </c>
      <c r="J30" s="70"/>
      <c r="K30" s="77"/>
      <c r="L30" s="70"/>
      <c r="M30" s="77"/>
      <c r="N30" s="70"/>
      <c r="O30" s="77">
        <f>15950+18000+17750+18050+17850+18000+17900+18000+17900</f>
        <v>159400</v>
      </c>
      <c r="P30" s="69"/>
      <c r="Q30" s="5">
        <f t="shared" si="1"/>
        <v>159400</v>
      </c>
      <c r="R30" s="121"/>
    </row>
    <row r="31" spans="1:18" s="12" customFormat="1" ht="14.25" x14ac:dyDescent="0.15">
      <c r="A31" s="120" t="s">
        <v>3</v>
      </c>
      <c r="B31" s="41" t="s">
        <v>207</v>
      </c>
      <c r="C31" s="41" t="s">
        <v>385</v>
      </c>
      <c r="D31" s="41" t="s">
        <v>133</v>
      </c>
      <c r="E31" s="5">
        <v>444000</v>
      </c>
      <c r="F31" s="5">
        <v>840000</v>
      </c>
      <c r="G31" s="5">
        <v>702000</v>
      </c>
      <c r="H31" s="5">
        <v>18000</v>
      </c>
      <c r="I31" s="8">
        <f t="shared" si="0"/>
        <v>564000</v>
      </c>
      <c r="J31" s="69"/>
      <c r="K31" s="76">
        <f>72000+12000</f>
        <v>84000</v>
      </c>
      <c r="L31" s="69"/>
      <c r="M31" s="76"/>
      <c r="N31" s="69">
        <f>21700+18000+36000</f>
        <v>75700</v>
      </c>
      <c r="O31" s="76"/>
      <c r="P31" s="69">
        <v>86000</v>
      </c>
      <c r="Q31" s="5">
        <f t="shared" si="1"/>
        <v>245700</v>
      </c>
      <c r="R31" s="121">
        <f t="shared" si="3"/>
        <v>-1447</v>
      </c>
    </row>
    <row r="32" spans="1:18" s="12" customFormat="1" ht="14.25" x14ac:dyDescent="0.15">
      <c r="A32" s="120"/>
      <c r="B32" s="41" t="s">
        <v>229</v>
      </c>
      <c r="C32" s="41" t="s">
        <v>386</v>
      </c>
      <c r="D32" s="41" t="s">
        <v>134</v>
      </c>
      <c r="E32" s="5">
        <v>512161</v>
      </c>
      <c r="F32" s="5"/>
      <c r="G32" s="5">
        <v>702000</v>
      </c>
      <c r="H32" s="5"/>
      <c r="I32" s="8">
        <f t="shared" si="0"/>
        <v>-189839</v>
      </c>
      <c r="J32" s="69"/>
      <c r="K32" s="76"/>
      <c r="L32" s="69"/>
      <c r="M32" s="76"/>
      <c r="N32" s="69">
        <f>18200+36114</f>
        <v>54314</v>
      </c>
      <c r="O32" s="76">
        <f>900+35900+35900</f>
        <v>72700</v>
      </c>
      <c r="P32" s="69"/>
      <c r="Q32" s="5">
        <f t="shared" si="1"/>
        <v>127014</v>
      </c>
      <c r="R32" s="121"/>
    </row>
    <row r="33" spans="1:18" s="12" customFormat="1" ht="14.25" x14ac:dyDescent="0.15">
      <c r="A33" s="120" t="s">
        <v>135</v>
      </c>
      <c r="B33" s="40" t="s">
        <v>208</v>
      </c>
      <c r="C33" s="40" t="s">
        <v>387</v>
      </c>
      <c r="D33" s="40" t="s">
        <v>136</v>
      </c>
      <c r="E33" s="5">
        <v>476916</v>
      </c>
      <c r="F33" s="5">
        <f>1494000</f>
        <v>1494000</v>
      </c>
      <c r="G33" s="5">
        <v>547200</v>
      </c>
      <c r="H33" s="5">
        <v>6000</v>
      </c>
      <c r="I33" s="8">
        <f>E33+F33-G33-H33</f>
        <v>1417716</v>
      </c>
      <c r="J33" s="69">
        <f>282000+42000</f>
        <v>324000</v>
      </c>
      <c r="K33" s="76">
        <f>138000+66000</f>
        <v>204000</v>
      </c>
      <c r="L33" s="69">
        <f>60000+30000</f>
        <v>90000</v>
      </c>
      <c r="M33" s="76"/>
      <c r="N33" s="69">
        <f>36000+18000+18000+24000+36000+36000+3400</f>
        <v>171400</v>
      </c>
      <c r="O33" s="76">
        <f>32916</f>
        <v>32916</v>
      </c>
      <c r="P33" s="69"/>
      <c r="Q33" s="5">
        <f>SUM(J33:P33)</f>
        <v>822316</v>
      </c>
      <c r="R33" s="121">
        <f>Q33+Q34-I33-I34</f>
        <v>-6519</v>
      </c>
    </row>
    <row r="34" spans="1:18" s="12" customFormat="1" ht="14.25" x14ac:dyDescent="0.15">
      <c r="A34" s="120"/>
      <c r="B34" s="40" t="s">
        <v>230</v>
      </c>
      <c r="C34" s="40" t="s">
        <v>388</v>
      </c>
      <c r="D34" s="40" t="s">
        <v>137</v>
      </c>
      <c r="E34" s="5">
        <v>255102</v>
      </c>
      <c r="F34" s="5"/>
      <c r="G34" s="5">
        <v>547200</v>
      </c>
      <c r="H34" s="5"/>
      <c r="I34" s="8">
        <f t="shared" si="0"/>
        <v>-292098</v>
      </c>
      <c r="J34" s="69"/>
      <c r="K34" s="76"/>
      <c r="L34" s="69"/>
      <c r="M34" s="76">
        <f>36031</f>
        <v>36031</v>
      </c>
      <c r="N34" s="69">
        <f>35972</f>
        <v>35972</v>
      </c>
      <c r="O34" s="76">
        <f>28850+18550+36100+36000+35560+32340+37380</f>
        <v>224780</v>
      </c>
      <c r="P34" s="69"/>
      <c r="Q34" s="5">
        <f t="shared" si="1"/>
        <v>296783</v>
      </c>
      <c r="R34" s="121"/>
    </row>
    <row r="35" spans="1:18" s="12" customFormat="1" ht="14.25" x14ac:dyDescent="0.15">
      <c r="A35" s="120" t="s">
        <v>138</v>
      </c>
      <c r="B35" s="41" t="s">
        <v>209</v>
      </c>
      <c r="C35" s="41" t="s">
        <v>389</v>
      </c>
      <c r="D35" s="41" t="s">
        <v>139</v>
      </c>
      <c r="E35" s="5">
        <v>58279</v>
      </c>
      <c r="F35" s="5">
        <v>300000</v>
      </c>
      <c r="G35" s="5">
        <v>12800</v>
      </c>
      <c r="H35" s="5">
        <v>6000</v>
      </c>
      <c r="I35" s="8">
        <f t="shared" si="0"/>
        <v>339479</v>
      </c>
      <c r="J35" s="69"/>
      <c r="K35" s="76">
        <f>79200</f>
        <v>79200</v>
      </c>
      <c r="L35" s="69"/>
      <c r="M35" s="76"/>
      <c r="N35" s="69">
        <f>36000</f>
        <v>36000</v>
      </c>
      <c r="O35" s="76">
        <f>35600+200+35800</f>
        <v>71600</v>
      </c>
      <c r="P35" s="69">
        <v>4500</v>
      </c>
      <c r="Q35" s="5">
        <f t="shared" si="1"/>
        <v>191300</v>
      </c>
      <c r="R35" s="121">
        <f t="shared" si="3"/>
        <v>-1875</v>
      </c>
    </row>
    <row r="36" spans="1:18" s="12" customFormat="1" ht="14.25" x14ac:dyDescent="0.15">
      <c r="A36" s="120"/>
      <c r="B36" s="41" t="s">
        <v>231</v>
      </c>
      <c r="C36" s="41" t="s">
        <v>390</v>
      </c>
      <c r="D36" s="41" t="s">
        <v>140</v>
      </c>
      <c r="E36" s="5">
        <v>54695</v>
      </c>
      <c r="F36" s="5"/>
      <c r="G36" s="5">
        <v>12800</v>
      </c>
      <c r="H36" s="5"/>
      <c r="I36" s="8">
        <f t="shared" si="0"/>
        <v>41895</v>
      </c>
      <c r="J36" s="69"/>
      <c r="K36" s="76"/>
      <c r="L36" s="69"/>
      <c r="M36" s="76">
        <f>36207</f>
        <v>36207</v>
      </c>
      <c r="N36" s="69">
        <f>35685+17957</f>
        <v>53642</v>
      </c>
      <c r="O36" s="76">
        <f>26150+35850+36350</f>
        <v>98350</v>
      </c>
      <c r="P36" s="69"/>
      <c r="Q36" s="5">
        <f t="shared" si="1"/>
        <v>188199</v>
      </c>
      <c r="R36" s="121"/>
    </row>
    <row r="37" spans="1:18" s="12" customFormat="1" ht="14.25" x14ac:dyDescent="0.15">
      <c r="A37" s="120" t="s">
        <v>138</v>
      </c>
      <c r="B37" s="40" t="s">
        <v>210</v>
      </c>
      <c r="C37" s="40" t="s">
        <v>391</v>
      </c>
      <c r="D37" s="40" t="s">
        <v>141</v>
      </c>
      <c r="E37" s="5">
        <v>76946</v>
      </c>
      <c r="F37" s="5">
        <v>330000</v>
      </c>
      <c r="G37" s="5">
        <v>104000</v>
      </c>
      <c r="H37" s="5"/>
      <c r="I37" s="8">
        <f t="shared" si="0"/>
        <v>302946</v>
      </c>
      <c r="J37" s="69"/>
      <c r="K37" s="76">
        <f>36000+36000</f>
        <v>72000</v>
      </c>
      <c r="L37" s="69"/>
      <c r="M37" s="76"/>
      <c r="N37" s="69">
        <f>12000+36000</f>
        <v>48000</v>
      </c>
      <c r="O37" s="76">
        <f>7600</f>
        <v>7600</v>
      </c>
      <c r="P37" s="69"/>
      <c r="Q37" s="5">
        <f t="shared" si="1"/>
        <v>127600</v>
      </c>
      <c r="R37" s="121">
        <f t="shared" si="3"/>
        <v>-4449</v>
      </c>
    </row>
    <row r="38" spans="1:18" s="12" customFormat="1" ht="14.25" x14ac:dyDescent="0.15">
      <c r="A38" s="120"/>
      <c r="B38" s="40" t="s">
        <v>232</v>
      </c>
      <c r="C38" s="40" t="s">
        <v>392</v>
      </c>
      <c r="D38" s="40" t="s">
        <v>142</v>
      </c>
      <c r="E38" s="5">
        <v>63180</v>
      </c>
      <c r="F38" s="5"/>
      <c r="G38" s="5">
        <v>104000</v>
      </c>
      <c r="H38" s="5"/>
      <c r="I38" s="8">
        <f t="shared" si="0"/>
        <v>-40820</v>
      </c>
      <c r="J38" s="69"/>
      <c r="K38" s="76"/>
      <c r="L38" s="69"/>
      <c r="M38" s="76"/>
      <c r="N38" s="69">
        <f>35733+35585+35759</f>
        <v>107077</v>
      </c>
      <c r="O38" s="76">
        <f>23000</f>
        <v>23000</v>
      </c>
      <c r="P38" s="69"/>
      <c r="Q38" s="5">
        <f t="shared" si="1"/>
        <v>130077</v>
      </c>
      <c r="R38" s="121"/>
    </row>
    <row r="39" spans="1:18" s="12" customFormat="1" ht="14.25" x14ac:dyDescent="0.15">
      <c r="A39" s="120" t="s">
        <v>138</v>
      </c>
      <c r="B39" s="41" t="s">
        <v>211</v>
      </c>
      <c r="C39" s="41" t="s">
        <v>393</v>
      </c>
      <c r="D39" s="41" t="s">
        <v>143</v>
      </c>
      <c r="E39" s="5">
        <v>66510</v>
      </c>
      <c r="F39" s="5"/>
      <c r="G39" s="5"/>
      <c r="H39" s="5"/>
      <c r="I39" s="8">
        <f>E39+F39-G39-H39</f>
        <v>66510</v>
      </c>
      <c r="J39" s="69"/>
      <c r="K39" s="76"/>
      <c r="L39" s="69"/>
      <c r="M39" s="76"/>
      <c r="N39" s="69">
        <f>54000+12000</f>
        <v>66000</v>
      </c>
      <c r="O39" s="76">
        <v>14500</v>
      </c>
      <c r="P39" s="69"/>
      <c r="Q39" s="5">
        <f t="shared" si="1"/>
        <v>80500</v>
      </c>
      <c r="R39" s="121">
        <f t="shared" si="3"/>
        <v>17490</v>
      </c>
    </row>
    <row r="40" spans="1:18" s="12" customFormat="1" ht="14.25" x14ac:dyDescent="0.15">
      <c r="A40" s="120"/>
      <c r="B40" s="41" t="s">
        <v>233</v>
      </c>
      <c r="C40" s="41" t="s">
        <v>394</v>
      </c>
      <c r="D40" s="41" t="s">
        <v>144</v>
      </c>
      <c r="E40" s="5">
        <v>59501</v>
      </c>
      <c r="F40" s="5"/>
      <c r="G40" s="5"/>
      <c r="H40" s="5"/>
      <c r="I40" s="8">
        <f t="shared" si="0"/>
        <v>59501</v>
      </c>
      <c r="J40" s="69"/>
      <c r="K40" s="76"/>
      <c r="L40" s="69"/>
      <c r="M40" s="76"/>
      <c r="N40" s="69">
        <f>11900+37401</f>
        <v>49301</v>
      </c>
      <c r="O40" s="76">
        <f>13700</f>
        <v>13700</v>
      </c>
      <c r="P40" s="69"/>
      <c r="Q40" s="5">
        <f t="shared" si="1"/>
        <v>63001</v>
      </c>
      <c r="R40" s="121"/>
    </row>
    <row r="41" spans="1:18" s="12" customFormat="1" ht="14.25" x14ac:dyDescent="0.15">
      <c r="A41" s="120" t="s">
        <v>138</v>
      </c>
      <c r="B41" s="40" t="s">
        <v>212</v>
      </c>
      <c r="C41" s="40" t="s">
        <v>395</v>
      </c>
      <c r="D41" s="40" t="s">
        <v>145</v>
      </c>
      <c r="E41" s="5">
        <v>82878</v>
      </c>
      <c r="F41" s="5"/>
      <c r="G41" s="5">
        <v>7800</v>
      </c>
      <c r="H41" s="5"/>
      <c r="I41" s="8">
        <f t="shared" si="0"/>
        <v>75078</v>
      </c>
      <c r="J41" s="69"/>
      <c r="K41" s="76">
        <f>6000</f>
        <v>6000</v>
      </c>
      <c r="L41" s="69">
        <f>24000</f>
        <v>24000</v>
      </c>
      <c r="M41" s="76"/>
      <c r="N41" s="69">
        <f>36000</f>
        <v>36000</v>
      </c>
      <c r="O41" s="76">
        <f>10050</f>
        <v>10050</v>
      </c>
      <c r="P41" s="69"/>
      <c r="Q41" s="5">
        <f t="shared" si="1"/>
        <v>76050</v>
      </c>
      <c r="R41" s="121">
        <f t="shared" si="3"/>
        <v>972</v>
      </c>
    </row>
    <row r="42" spans="1:18" s="12" customFormat="1" ht="14.25" x14ac:dyDescent="0.15">
      <c r="A42" s="120"/>
      <c r="B42" s="40" t="s">
        <v>234</v>
      </c>
      <c r="C42" s="40" t="s">
        <v>396</v>
      </c>
      <c r="D42" s="40" t="s">
        <v>146</v>
      </c>
      <c r="E42" s="5">
        <v>56653</v>
      </c>
      <c r="F42" s="5"/>
      <c r="G42" s="5">
        <v>7800</v>
      </c>
      <c r="H42" s="5"/>
      <c r="I42" s="8">
        <f t="shared" si="0"/>
        <v>48853</v>
      </c>
      <c r="J42" s="69"/>
      <c r="K42" s="76"/>
      <c r="L42" s="69"/>
      <c r="M42" s="76"/>
      <c r="N42" s="69">
        <v>25093</v>
      </c>
      <c r="O42" s="76">
        <f>23760</f>
        <v>23760</v>
      </c>
      <c r="P42" s="69"/>
      <c r="Q42" s="5">
        <f t="shared" si="1"/>
        <v>48853</v>
      </c>
      <c r="R42" s="121"/>
    </row>
    <row r="43" spans="1:18" s="12" customFormat="1" ht="14.25" x14ac:dyDescent="0.15">
      <c r="A43" s="120" t="s">
        <v>138</v>
      </c>
      <c r="B43" s="41" t="s">
        <v>213</v>
      </c>
      <c r="C43" s="41" t="s">
        <v>397</v>
      </c>
      <c r="D43" s="41" t="s">
        <v>147</v>
      </c>
      <c r="E43" s="5">
        <v>75470</v>
      </c>
      <c r="F43" s="5">
        <v>240000</v>
      </c>
      <c r="G43" s="5">
        <v>60000</v>
      </c>
      <c r="H43" s="5"/>
      <c r="I43" s="8">
        <f t="shared" si="0"/>
        <v>255470</v>
      </c>
      <c r="J43" s="69"/>
      <c r="K43" s="76">
        <f>36000+8150</f>
        <v>44150</v>
      </c>
      <c r="L43" s="69"/>
      <c r="M43" s="76"/>
      <c r="N43" s="69"/>
      <c r="O43" s="76">
        <f>36000+35520+7840</f>
        <v>79360</v>
      </c>
      <c r="P43" s="69">
        <v>12000</v>
      </c>
      <c r="Q43" s="5">
        <f t="shared" si="1"/>
        <v>135510</v>
      </c>
      <c r="R43" s="121">
        <f t="shared" si="3"/>
        <v>-364</v>
      </c>
    </row>
    <row r="44" spans="1:18" s="12" customFormat="1" ht="14.25" x14ac:dyDescent="0.15">
      <c r="A44" s="120"/>
      <c r="B44" s="41" t="s">
        <v>235</v>
      </c>
      <c r="C44" s="41" t="s">
        <v>398</v>
      </c>
      <c r="D44" s="41" t="s">
        <v>148</v>
      </c>
      <c r="E44" s="5">
        <v>86013</v>
      </c>
      <c r="F44" s="5"/>
      <c r="G44" s="5">
        <v>60000</v>
      </c>
      <c r="H44" s="5"/>
      <c r="I44" s="8">
        <f t="shared" si="0"/>
        <v>26013</v>
      </c>
      <c r="J44" s="69"/>
      <c r="K44" s="76"/>
      <c r="L44" s="69"/>
      <c r="M44" s="76">
        <f>84030</f>
        <v>84030</v>
      </c>
      <c r="N44" s="69">
        <f>35739</f>
        <v>35739</v>
      </c>
      <c r="O44" s="76">
        <f>25840</f>
        <v>25840</v>
      </c>
      <c r="P44" s="69"/>
      <c r="Q44" s="5">
        <f t="shared" si="1"/>
        <v>145609</v>
      </c>
      <c r="R44" s="121"/>
    </row>
    <row r="45" spans="1:18" s="12" customFormat="1" ht="14.25" x14ac:dyDescent="0.15">
      <c r="A45" s="120" t="s">
        <v>3</v>
      </c>
      <c r="B45" s="40" t="s">
        <v>214</v>
      </c>
      <c r="C45" s="40" t="s">
        <v>399</v>
      </c>
      <c r="D45" s="40" t="s">
        <v>149</v>
      </c>
      <c r="E45" s="5">
        <v>1206000</v>
      </c>
      <c r="F45" s="5">
        <v>1494000</v>
      </c>
      <c r="G45" s="5">
        <v>285000</v>
      </c>
      <c r="H45" s="5">
        <v>18000</v>
      </c>
      <c r="I45" s="8">
        <f t="shared" si="0"/>
        <v>2397000</v>
      </c>
      <c r="J45" s="69">
        <f>1584000</f>
        <v>1584000</v>
      </c>
      <c r="K45" s="76">
        <f>108000+78000</f>
        <v>186000</v>
      </c>
      <c r="L45" s="69">
        <f>180000</f>
        <v>180000</v>
      </c>
      <c r="M45" s="76"/>
      <c r="N45" s="69">
        <f>1500+36000</f>
        <v>37500</v>
      </c>
      <c r="O45" s="76"/>
      <c r="P45" s="69"/>
      <c r="Q45" s="5">
        <f t="shared" si="1"/>
        <v>1987500</v>
      </c>
      <c r="R45" s="121">
        <f t="shared" si="3"/>
        <v>-8015</v>
      </c>
    </row>
    <row r="46" spans="1:18" s="12" customFormat="1" ht="14.25" x14ac:dyDescent="0.15">
      <c r="A46" s="120"/>
      <c r="B46" s="40" t="s">
        <v>236</v>
      </c>
      <c r="C46" s="40" t="s">
        <v>400</v>
      </c>
      <c r="D46" s="40" t="s">
        <v>150</v>
      </c>
      <c r="E46" s="5">
        <v>74983</v>
      </c>
      <c r="F46" s="5"/>
      <c r="G46" s="5">
        <v>285000</v>
      </c>
      <c r="H46" s="5"/>
      <c r="I46" s="8">
        <f t="shared" si="0"/>
        <v>-210017</v>
      </c>
      <c r="J46" s="69"/>
      <c r="K46" s="76"/>
      <c r="L46" s="69"/>
      <c r="M46" s="76">
        <f>42140</f>
        <v>42140</v>
      </c>
      <c r="N46" s="69">
        <f>36028</f>
        <v>36028</v>
      </c>
      <c r="O46" s="76">
        <f>35550+29800+12100+35850</f>
        <v>113300</v>
      </c>
      <c r="P46" s="69"/>
      <c r="Q46" s="5">
        <f t="shared" si="1"/>
        <v>191468</v>
      </c>
      <c r="R46" s="121"/>
    </row>
    <row r="47" spans="1:18" s="12" customFormat="1" ht="14.25" x14ac:dyDescent="0.15">
      <c r="A47" s="133" t="s">
        <v>159</v>
      </c>
      <c r="B47" s="91" t="s">
        <v>216</v>
      </c>
      <c r="C47" s="91" t="s">
        <v>401</v>
      </c>
      <c r="D47" s="91" t="s">
        <v>158</v>
      </c>
      <c r="E47" s="5">
        <v>18300</v>
      </c>
      <c r="F47" s="5"/>
      <c r="G47" s="39"/>
      <c r="H47" s="39"/>
      <c r="I47" s="8">
        <f t="shared" ref="I47:I48" si="4">E47+F47-G47-H47</f>
        <v>18300</v>
      </c>
      <c r="J47" s="69"/>
      <c r="K47" s="76">
        <f>9600</f>
        <v>9600</v>
      </c>
      <c r="L47" s="69"/>
      <c r="M47" s="76"/>
      <c r="N47" s="69"/>
      <c r="O47" s="76"/>
      <c r="P47" s="69"/>
      <c r="Q47" s="5">
        <f t="shared" ref="Q47:Q48" si="5">SUM(J47:P47)</f>
        <v>9600</v>
      </c>
      <c r="R47" s="121">
        <f>Q47+Q48-I47-I48</f>
        <v>-50</v>
      </c>
    </row>
    <row r="48" spans="1:18" s="12" customFormat="1" ht="14.25" x14ac:dyDescent="0.15">
      <c r="A48" s="133"/>
      <c r="B48" s="91" t="s">
        <v>238</v>
      </c>
      <c r="C48" s="91" t="s">
        <v>402</v>
      </c>
      <c r="D48" s="91" t="s">
        <v>348</v>
      </c>
      <c r="E48" s="5">
        <v>43450</v>
      </c>
      <c r="F48" s="5"/>
      <c r="G48" s="39"/>
      <c r="H48" s="39"/>
      <c r="I48" s="8">
        <f t="shared" si="4"/>
        <v>43450</v>
      </c>
      <c r="J48" s="70"/>
      <c r="K48" s="77"/>
      <c r="L48" s="70"/>
      <c r="M48" s="77"/>
      <c r="N48" s="70">
        <f>8700</f>
        <v>8700</v>
      </c>
      <c r="O48" s="77">
        <f>35850+7550</f>
        <v>43400</v>
      </c>
      <c r="P48" s="69"/>
      <c r="Q48" s="5">
        <f t="shared" si="5"/>
        <v>52100</v>
      </c>
      <c r="R48" s="121"/>
    </row>
    <row r="49" spans="1:18" s="12" customFormat="1" ht="14.25" x14ac:dyDescent="0.15">
      <c r="A49" s="120" t="s">
        <v>159</v>
      </c>
      <c r="B49" s="41" t="s">
        <v>215</v>
      </c>
      <c r="C49" s="41" t="s">
        <v>403</v>
      </c>
      <c r="D49" s="41" t="s">
        <v>151</v>
      </c>
      <c r="E49" s="5">
        <v>655900</v>
      </c>
      <c r="F49" s="5"/>
      <c r="G49" s="39">
        <v>80000</v>
      </c>
      <c r="H49" s="39">
        <f>20*6000+12000</f>
        <v>132000</v>
      </c>
      <c r="I49" s="8">
        <f t="shared" si="0"/>
        <v>443900</v>
      </c>
      <c r="J49" s="70"/>
      <c r="K49" s="77">
        <f>126000</f>
        <v>126000</v>
      </c>
      <c r="L49" s="70">
        <f>114000</f>
        <v>114000</v>
      </c>
      <c r="M49" s="77"/>
      <c r="N49" s="70"/>
      <c r="O49" s="77"/>
      <c r="P49" s="69"/>
      <c r="Q49" s="5">
        <f t="shared" si="1"/>
        <v>240000</v>
      </c>
      <c r="R49" s="121">
        <f t="shared" si="3"/>
        <v>69</v>
      </c>
    </row>
    <row r="50" spans="1:18" s="12" customFormat="1" ht="14.25" x14ac:dyDescent="0.15">
      <c r="A50" s="120"/>
      <c r="B50" s="41" t="s">
        <v>237</v>
      </c>
      <c r="C50" s="41" t="s">
        <v>404</v>
      </c>
      <c r="D50" s="41" t="s">
        <v>152</v>
      </c>
      <c r="E50" s="5">
        <v>54081</v>
      </c>
      <c r="F50" s="5"/>
      <c r="G50" s="39">
        <v>80000</v>
      </c>
      <c r="H50" s="39"/>
      <c r="I50" s="8">
        <f t="shared" si="0"/>
        <v>-25919</v>
      </c>
      <c r="J50" s="70"/>
      <c r="K50" s="77"/>
      <c r="L50" s="70"/>
      <c r="M50" s="77"/>
      <c r="N50" s="70">
        <f>24000</f>
        <v>24000</v>
      </c>
      <c r="O50" s="77">
        <f>9900+35850+36200+35750+36350</f>
        <v>154050</v>
      </c>
      <c r="P50" s="69"/>
      <c r="Q50" s="5">
        <f t="shared" si="1"/>
        <v>178050</v>
      </c>
      <c r="R50" s="121"/>
    </row>
    <row r="51" spans="1:18" s="12" customFormat="1" ht="14.25" x14ac:dyDescent="0.15">
      <c r="A51" s="133" t="s">
        <v>159</v>
      </c>
      <c r="B51" s="91"/>
      <c r="C51" s="91" t="s">
        <v>405</v>
      </c>
      <c r="D51" s="91" t="s">
        <v>343</v>
      </c>
      <c r="E51" s="5">
        <v>27000</v>
      </c>
      <c r="F51" s="117">
        <v>300000</v>
      </c>
      <c r="G51" s="39">
        <v>150000</v>
      </c>
      <c r="H51" s="39"/>
      <c r="I51" s="8">
        <f t="shared" si="0"/>
        <v>177000</v>
      </c>
      <c r="J51" s="70"/>
      <c r="K51" s="77">
        <f>14800</f>
        <v>14800</v>
      </c>
      <c r="L51" s="70"/>
      <c r="M51" s="77"/>
      <c r="N51" s="70"/>
      <c r="O51" s="77"/>
      <c r="P51" s="69"/>
      <c r="Q51" s="5">
        <f t="shared" si="1"/>
        <v>14800</v>
      </c>
      <c r="R51" s="121">
        <f t="shared" si="3"/>
        <v>-14799</v>
      </c>
    </row>
    <row r="52" spans="1:18" s="12" customFormat="1" ht="14.25" x14ac:dyDescent="0.15">
      <c r="A52" s="133"/>
      <c r="B52" s="91"/>
      <c r="C52" s="91" t="s">
        <v>406</v>
      </c>
      <c r="D52" s="91" t="s">
        <v>349</v>
      </c>
      <c r="E52" s="5">
        <v>64549</v>
      </c>
      <c r="F52" s="5"/>
      <c r="G52" s="39">
        <v>150000</v>
      </c>
      <c r="H52" s="39"/>
      <c r="I52" s="8">
        <f t="shared" si="0"/>
        <v>-85451</v>
      </c>
      <c r="J52" s="70"/>
      <c r="K52" s="77"/>
      <c r="L52" s="70"/>
      <c r="M52" s="77"/>
      <c r="N52" s="70"/>
      <c r="O52" s="77">
        <f>33850+28100</f>
        <v>61950</v>
      </c>
      <c r="P52" s="69"/>
      <c r="Q52" s="5">
        <f t="shared" si="1"/>
        <v>61950</v>
      </c>
      <c r="R52" s="121"/>
    </row>
    <row r="53" spans="1:18" s="12" customFormat="1" ht="14.25" x14ac:dyDescent="0.15">
      <c r="A53" s="131" t="s">
        <v>125</v>
      </c>
      <c r="B53" s="40" t="s">
        <v>217</v>
      </c>
      <c r="C53" s="40" t="s">
        <v>407</v>
      </c>
      <c r="D53" s="40" t="s">
        <v>126</v>
      </c>
      <c r="E53" s="5">
        <v>715354</v>
      </c>
      <c r="F53" s="5">
        <v>1680000</v>
      </c>
      <c r="G53" s="5">
        <v>816000</v>
      </c>
      <c r="H53" s="5">
        <v>12000</v>
      </c>
      <c r="I53" s="8">
        <f t="shared" si="0"/>
        <v>1567354</v>
      </c>
      <c r="J53" s="69"/>
      <c r="K53" s="76">
        <f>168000+42000</f>
        <v>210000</v>
      </c>
      <c r="L53" s="69">
        <f>48000</f>
        <v>48000</v>
      </c>
      <c r="M53" s="76"/>
      <c r="N53" s="69"/>
      <c r="O53" s="76">
        <f>35600+35400+36000+36000+36000+13600+36000+36000+36000+36000+72000</f>
        <v>408600</v>
      </c>
      <c r="P53" s="69"/>
      <c r="Q53" s="5">
        <f t="shared" si="1"/>
        <v>666600</v>
      </c>
      <c r="R53" s="121">
        <f t="shared" si="3"/>
        <v>-1183</v>
      </c>
    </row>
    <row r="54" spans="1:18" s="12" customFormat="1" ht="14.25" x14ac:dyDescent="0.15">
      <c r="A54" s="132"/>
      <c r="B54" s="40" t="s">
        <v>239</v>
      </c>
      <c r="C54" s="40" t="s">
        <v>408</v>
      </c>
      <c r="D54" s="40" t="s">
        <v>127</v>
      </c>
      <c r="E54" s="5">
        <v>209535</v>
      </c>
      <c r="F54" s="5"/>
      <c r="G54" s="5">
        <v>816000</v>
      </c>
      <c r="H54" s="5"/>
      <c r="I54" s="8">
        <f t="shared" si="0"/>
        <v>-606465</v>
      </c>
      <c r="J54" s="69"/>
      <c r="K54" s="76"/>
      <c r="L54" s="69"/>
      <c r="M54" s="76">
        <f>29760</f>
        <v>29760</v>
      </c>
      <c r="N54" s="69">
        <f>36091+35768+17747</f>
        <v>89606</v>
      </c>
      <c r="O54" s="76">
        <f>35700+35700+36125+36210+30005</f>
        <v>173740</v>
      </c>
      <c r="P54" s="69"/>
      <c r="Q54" s="5">
        <f t="shared" si="1"/>
        <v>293106</v>
      </c>
      <c r="R54" s="121"/>
    </row>
    <row r="55" spans="1:18" s="14" customFormat="1" ht="12.75" thickBot="1" x14ac:dyDescent="0.2">
      <c r="A55" s="134" t="s">
        <v>18</v>
      </c>
      <c r="B55" s="135"/>
      <c r="C55" s="135"/>
      <c r="D55" s="136"/>
      <c r="E55" s="9">
        <f t="shared" ref="E55:Q55" si="6">SUM(E5:E54)</f>
        <v>18441388</v>
      </c>
      <c r="F55" s="9">
        <f t="shared" si="6"/>
        <v>15140000</v>
      </c>
      <c r="G55" s="9">
        <f>SUM(G5:G54)</f>
        <v>17157600</v>
      </c>
      <c r="H55" s="9">
        <f>SUM(H5:H54)</f>
        <v>312000</v>
      </c>
      <c r="I55" s="9">
        <f t="shared" si="6"/>
        <v>16111788</v>
      </c>
      <c r="J55" s="71">
        <f t="shared" si="6"/>
        <v>5190000</v>
      </c>
      <c r="K55" s="78">
        <f t="shared" si="6"/>
        <v>3083650</v>
      </c>
      <c r="L55" s="71">
        <f t="shared" si="6"/>
        <v>3312000</v>
      </c>
      <c r="M55" s="78">
        <f t="shared" si="6"/>
        <v>514183</v>
      </c>
      <c r="N55" s="71">
        <f t="shared" si="6"/>
        <v>1288800</v>
      </c>
      <c r="O55" s="78">
        <f t="shared" si="6"/>
        <v>2577964</v>
      </c>
      <c r="P55" s="71">
        <f t="shared" si="6"/>
        <v>203800</v>
      </c>
      <c r="Q55" s="9">
        <f t="shared" si="6"/>
        <v>16170397</v>
      </c>
      <c r="R55" s="9">
        <f>SUM(R5:R54)</f>
        <v>58609</v>
      </c>
    </row>
    <row r="56" spans="1:18" s="12" customFormat="1" ht="15.95" customHeight="1" x14ac:dyDescent="0.15">
      <c r="A56" s="12" t="s">
        <v>26</v>
      </c>
      <c r="D56" s="14"/>
      <c r="E56" s="14"/>
      <c r="F56" s="14"/>
      <c r="G56" s="37"/>
      <c r="H56" s="14"/>
      <c r="I56" s="14"/>
      <c r="J56" s="14"/>
      <c r="K56" s="14"/>
      <c r="L56" s="14"/>
      <c r="M56" s="14"/>
      <c r="N56" s="14"/>
      <c r="O56" s="14"/>
    </row>
    <row r="57" spans="1:18" s="12" customFormat="1" ht="15" customHeight="1" x14ac:dyDescent="0.15">
      <c r="A57" s="12" t="s">
        <v>27</v>
      </c>
      <c r="J57" s="14"/>
      <c r="L57" s="12" t="s">
        <v>28</v>
      </c>
      <c r="Q57" s="12" t="s">
        <v>29</v>
      </c>
    </row>
    <row r="58" spans="1:18" s="16" customFormat="1" ht="15.95" customHeight="1" x14ac:dyDescent="0.15">
      <c r="K58" s="12"/>
      <c r="O58" s="12"/>
    </row>
    <row r="59" spans="1:18" s="16" customFormat="1" ht="14.25" x14ac:dyDescent="0.15">
      <c r="O59" s="12"/>
    </row>
    <row r="60" spans="1:18" s="16" customFormat="1" ht="14.25" x14ac:dyDescent="0.15">
      <c r="O60" s="12"/>
    </row>
    <row r="61" spans="1:18" s="16" customFormat="1" ht="14.25" x14ac:dyDescent="0.15">
      <c r="N61" s="59"/>
      <c r="O61" s="12"/>
    </row>
    <row r="62" spans="1:18" s="16" customFormat="1" ht="14.25" x14ac:dyDescent="0.15">
      <c r="O62" s="12"/>
    </row>
    <row r="63" spans="1:18" s="16" customFormat="1" ht="14.25" x14ac:dyDescent="0.15">
      <c r="O63" s="12"/>
    </row>
    <row r="64" spans="1:18" s="16" customFormat="1" ht="14.25" x14ac:dyDescent="0.15">
      <c r="O64" s="12"/>
    </row>
    <row r="65" spans="15:15" s="16" customFormat="1" ht="14.25" x14ac:dyDescent="0.15">
      <c r="O65" s="12"/>
    </row>
    <row r="66" spans="15:15" s="16" customFormat="1" ht="14.25" x14ac:dyDescent="0.15">
      <c r="O66" s="12"/>
    </row>
    <row r="67" spans="15:15" s="16" customFormat="1" ht="14.25" x14ac:dyDescent="0.15"/>
    <row r="68" spans="15:15" s="16" customFormat="1" ht="14.25" x14ac:dyDescent="0.15"/>
    <row r="69" spans="15:15" s="16" customFormat="1" ht="14.25" x14ac:dyDescent="0.15"/>
    <row r="70" spans="15:15" s="16" customFormat="1" ht="14.25" x14ac:dyDescent="0.15"/>
    <row r="71" spans="15:15" s="16" customFormat="1" ht="14.25" x14ac:dyDescent="0.15"/>
    <row r="72" spans="15:15" s="16" customFormat="1" ht="14.25" x14ac:dyDescent="0.15"/>
    <row r="73" spans="15:15" s="16" customFormat="1" ht="14.25" x14ac:dyDescent="0.15"/>
    <row r="74" spans="15:15" s="16" customFormat="1" ht="14.25" x14ac:dyDescent="0.15"/>
    <row r="75" spans="15:15" s="16" customFormat="1" ht="14.25" x14ac:dyDescent="0.15"/>
    <row r="76" spans="15:15" s="16" customFormat="1" ht="14.25" x14ac:dyDescent="0.15"/>
    <row r="77" spans="15:15" s="16" customFormat="1" ht="14.25" x14ac:dyDescent="0.15"/>
    <row r="78" spans="15:15" s="16" customFormat="1" ht="14.25" x14ac:dyDescent="0.15"/>
    <row r="79" spans="15:15" s="16" customFormat="1" ht="14.25" x14ac:dyDescent="0.15"/>
    <row r="80" spans="15:15" s="16" customFormat="1" ht="14.25" x14ac:dyDescent="0.15"/>
    <row r="81" s="16" customFormat="1" ht="14.25" x14ac:dyDescent="0.15"/>
    <row r="82" s="16" customFormat="1" ht="14.25" x14ac:dyDescent="0.15"/>
    <row r="83" s="16" customFormat="1" ht="14.25" x14ac:dyDescent="0.15"/>
    <row r="84" s="16" customFormat="1" ht="14.25" x14ac:dyDescent="0.15"/>
    <row r="85" s="16" customFormat="1" ht="14.25" x14ac:dyDescent="0.15"/>
    <row r="86" s="16" customFormat="1" ht="14.25" x14ac:dyDescent="0.15"/>
    <row r="87" s="16" customFormat="1" ht="14.25" x14ac:dyDescent="0.15"/>
    <row r="88" s="16" customFormat="1" ht="14.25" x14ac:dyDescent="0.15"/>
    <row r="89" s="16" customFormat="1" ht="14.25" x14ac:dyDescent="0.15"/>
    <row r="90" s="16" customFormat="1" ht="14.25" x14ac:dyDescent="0.15"/>
    <row r="91" s="16" customFormat="1" ht="14.25" x14ac:dyDescent="0.15"/>
    <row r="92" s="16" customFormat="1" ht="14.25" x14ac:dyDescent="0.15"/>
    <row r="93" s="16" customFormat="1" ht="14.25" x14ac:dyDescent="0.15"/>
    <row r="94" s="16" customFormat="1" ht="14.25" x14ac:dyDescent="0.15"/>
    <row r="95" s="16" customFormat="1" ht="14.25" x14ac:dyDescent="0.15"/>
    <row r="96" s="16" customFormat="1" ht="14.25" x14ac:dyDescent="0.15"/>
    <row r="97" s="16" customFormat="1" ht="14.25" x14ac:dyDescent="0.15"/>
    <row r="98" s="16" customFormat="1" ht="14.25" x14ac:dyDescent="0.15"/>
    <row r="99" s="16" customFormat="1" ht="14.25" x14ac:dyDescent="0.15"/>
    <row r="100" s="16" customFormat="1" ht="14.25" x14ac:dyDescent="0.15"/>
    <row r="101" s="16" customFormat="1" ht="14.25" x14ac:dyDescent="0.15"/>
    <row r="102" s="16" customFormat="1" ht="14.25" x14ac:dyDescent="0.15"/>
    <row r="103" s="16" customFormat="1" ht="14.25" x14ac:dyDescent="0.15"/>
    <row r="104" s="16" customFormat="1" ht="14.25" x14ac:dyDescent="0.15"/>
    <row r="105" s="16" customFormat="1" ht="14.25" x14ac:dyDescent="0.15"/>
    <row r="106" s="16" customFormat="1" ht="14.25" x14ac:dyDescent="0.15"/>
    <row r="107" s="16" customFormat="1" ht="14.25" x14ac:dyDescent="0.15"/>
    <row r="108" s="16" customFormat="1" ht="14.25" x14ac:dyDescent="0.15"/>
    <row r="109" s="16" customFormat="1" ht="14.25" x14ac:dyDescent="0.15"/>
    <row r="110" s="16" customFormat="1" ht="14.25" x14ac:dyDescent="0.15"/>
    <row r="111" s="16" customFormat="1" ht="14.25" x14ac:dyDescent="0.15"/>
    <row r="112" s="16" customFormat="1" ht="14.25" x14ac:dyDescent="0.15"/>
    <row r="113" spans="11:11" s="16" customFormat="1" ht="14.25" x14ac:dyDescent="0.15"/>
    <row r="114" spans="11:11" s="16" customFormat="1" ht="14.25" x14ac:dyDescent="0.15"/>
    <row r="115" spans="11:11" s="16" customFormat="1" ht="14.25" x14ac:dyDescent="0.15"/>
    <row r="116" spans="11:11" s="16" customFormat="1" ht="14.25" x14ac:dyDescent="0.15"/>
    <row r="117" spans="11:11" s="16" customFormat="1" ht="14.25" x14ac:dyDescent="0.15"/>
    <row r="118" spans="11:11" s="16" customFormat="1" ht="14.25" x14ac:dyDescent="0.15"/>
    <row r="119" spans="11:11" s="16" customFormat="1" ht="14.25" x14ac:dyDescent="0.15"/>
    <row r="120" spans="11:11" s="16" customFormat="1" ht="14.25" x14ac:dyDescent="0.15"/>
    <row r="121" spans="11:11" s="16" customFormat="1" ht="14.25" x14ac:dyDescent="0.15"/>
    <row r="122" spans="11:11" s="16" customFormat="1" ht="14.25" x14ac:dyDescent="0.15"/>
    <row r="123" spans="11:11" s="16" customFormat="1" ht="14.25" x14ac:dyDescent="0.15"/>
    <row r="124" spans="11:11" s="16" customFormat="1" ht="14.25" x14ac:dyDescent="0.15"/>
    <row r="125" spans="11:11" s="16" customFormat="1" ht="14.25" x14ac:dyDescent="0.15"/>
    <row r="126" spans="11:11" s="16" customFormat="1" ht="14.25" x14ac:dyDescent="0.15"/>
    <row r="127" spans="11:11" s="24" customFormat="1" ht="14.25" x14ac:dyDescent="0.25">
      <c r="K127" s="60"/>
    </row>
    <row r="128" spans="11:11" s="24" customFormat="1" ht="14.25" x14ac:dyDescent="0.25">
      <c r="K128" s="60"/>
    </row>
    <row r="129" spans="11:11" s="24" customFormat="1" ht="14.25" x14ac:dyDescent="0.25">
      <c r="K129" s="60"/>
    </row>
    <row r="130" spans="11:11" s="24" customFormat="1" ht="14.25" x14ac:dyDescent="0.25">
      <c r="K130" s="60"/>
    </row>
    <row r="131" spans="11:11" s="24" customFormat="1" ht="14.25" x14ac:dyDescent="0.25">
      <c r="K131" s="60"/>
    </row>
    <row r="132" spans="11:11" s="24" customFormat="1" ht="14.25" x14ac:dyDescent="0.25">
      <c r="K132" s="60"/>
    </row>
    <row r="133" spans="11:11" s="24" customFormat="1" ht="14.25" x14ac:dyDescent="0.25">
      <c r="K133" s="60"/>
    </row>
    <row r="134" spans="11:11" s="24" customFormat="1" ht="14.25" x14ac:dyDescent="0.25">
      <c r="K134" s="60"/>
    </row>
    <row r="135" spans="11:11" s="24" customFormat="1" ht="14.25" x14ac:dyDescent="0.25">
      <c r="K135" s="60"/>
    </row>
    <row r="136" spans="11:11" s="24" customFormat="1" ht="14.25" x14ac:dyDescent="0.25">
      <c r="K136" s="60"/>
    </row>
    <row r="137" spans="11:11" s="2" customFormat="1" ht="14.25" x14ac:dyDescent="0.25">
      <c r="K137" s="61"/>
    </row>
    <row r="138" spans="11:11" s="2" customFormat="1" ht="14.25" x14ac:dyDescent="0.25">
      <c r="K138" s="61"/>
    </row>
    <row r="139" spans="11:11" s="2" customFormat="1" ht="14.25" x14ac:dyDescent="0.25">
      <c r="K139" s="61"/>
    </row>
    <row r="140" spans="11:11" s="2" customFormat="1" ht="14.25" x14ac:dyDescent="0.25">
      <c r="K140" s="61"/>
    </row>
    <row r="141" spans="11:11" s="2" customFormat="1" ht="14.25" x14ac:dyDescent="0.25">
      <c r="K141" s="61"/>
    </row>
    <row r="142" spans="11:11" s="2" customFormat="1" ht="14.25" x14ac:dyDescent="0.25">
      <c r="K142" s="61"/>
    </row>
    <row r="143" spans="11:11" s="2" customFormat="1" ht="14.25" x14ac:dyDescent="0.25">
      <c r="K143" s="61"/>
    </row>
    <row r="144" spans="11:11" s="2" customFormat="1" ht="14.25" x14ac:dyDescent="0.25">
      <c r="K144" s="61"/>
    </row>
    <row r="145" spans="11:11" s="2" customFormat="1" ht="14.25" x14ac:dyDescent="0.25">
      <c r="K145" s="61"/>
    </row>
    <row r="146" spans="11:11" s="2" customFormat="1" ht="14.25" x14ac:dyDescent="0.25">
      <c r="K146" s="61"/>
    </row>
    <row r="147" spans="11:11" s="2" customFormat="1" ht="14.25" x14ac:dyDescent="0.25">
      <c r="K147" s="61"/>
    </row>
    <row r="148" spans="11:11" s="2" customFormat="1" ht="14.25" x14ac:dyDescent="0.25">
      <c r="K148" s="61"/>
    </row>
    <row r="149" spans="11:11" s="2" customFormat="1" ht="14.25" x14ac:dyDescent="0.25">
      <c r="K149" s="61"/>
    </row>
    <row r="150" spans="11:11" s="2" customFormat="1" ht="14.25" x14ac:dyDescent="0.25">
      <c r="K150" s="61"/>
    </row>
    <row r="151" spans="11:11" s="2" customFormat="1" ht="14.25" x14ac:dyDescent="0.25">
      <c r="K151" s="61"/>
    </row>
    <row r="152" spans="11:11" s="2" customFormat="1" ht="14.25" x14ac:dyDescent="0.25">
      <c r="K152" s="61"/>
    </row>
    <row r="153" spans="11:11" s="2" customFormat="1" ht="14.25" x14ac:dyDescent="0.25">
      <c r="K153" s="61"/>
    </row>
    <row r="154" spans="11:11" s="2" customFormat="1" ht="14.25" x14ac:dyDescent="0.25">
      <c r="K154" s="61"/>
    </row>
    <row r="155" spans="11:11" s="2" customFormat="1" ht="14.25" x14ac:dyDescent="0.25">
      <c r="K155" s="61"/>
    </row>
    <row r="156" spans="11:11" s="2" customFormat="1" ht="14.25" x14ac:dyDescent="0.25">
      <c r="K156" s="61"/>
    </row>
    <row r="157" spans="11:11" s="2" customFormat="1" ht="14.25" x14ac:dyDescent="0.25">
      <c r="K157" s="61"/>
    </row>
    <row r="158" spans="11:11" s="2" customFormat="1" ht="14.25" x14ac:dyDescent="0.25">
      <c r="K158" s="61"/>
    </row>
    <row r="159" spans="11:11" s="2" customFormat="1" ht="14.25" x14ac:dyDescent="0.25">
      <c r="K159" s="61"/>
    </row>
    <row r="160" spans="11:11" s="2" customFormat="1" ht="14.25" x14ac:dyDescent="0.25">
      <c r="K160" s="61"/>
    </row>
    <row r="161" spans="11:11" s="2" customFormat="1" ht="14.25" x14ac:dyDescent="0.25">
      <c r="K161" s="61"/>
    </row>
    <row r="162" spans="11:11" s="2" customFormat="1" ht="14.25" x14ac:dyDescent="0.25">
      <c r="K162" s="61"/>
    </row>
    <row r="163" spans="11:11" s="2" customFormat="1" ht="14.25" x14ac:dyDescent="0.25">
      <c r="K163" s="61"/>
    </row>
    <row r="164" spans="11:11" s="2" customFormat="1" ht="14.25" x14ac:dyDescent="0.25">
      <c r="K164" s="61"/>
    </row>
    <row r="165" spans="11:11" s="2" customFormat="1" ht="14.25" x14ac:dyDescent="0.25">
      <c r="K165" s="61"/>
    </row>
    <row r="166" spans="11:11" s="2" customFormat="1" ht="14.25" x14ac:dyDescent="0.25">
      <c r="K166" s="61"/>
    </row>
    <row r="167" spans="11:11" s="2" customFormat="1" ht="14.25" x14ac:dyDescent="0.25">
      <c r="K167" s="61"/>
    </row>
    <row r="168" spans="11:11" s="2" customFormat="1" ht="14.25" x14ac:dyDescent="0.25">
      <c r="K168" s="61"/>
    </row>
    <row r="169" spans="11:11" s="2" customFormat="1" ht="14.25" x14ac:dyDescent="0.25">
      <c r="K169" s="61"/>
    </row>
    <row r="170" spans="11:11" s="2" customFormat="1" ht="14.25" x14ac:dyDescent="0.25">
      <c r="K170" s="61"/>
    </row>
    <row r="171" spans="11:11" s="2" customFormat="1" ht="14.25" x14ac:dyDescent="0.25">
      <c r="K171" s="61"/>
    </row>
    <row r="172" spans="11:11" s="2" customFormat="1" ht="14.25" x14ac:dyDescent="0.25">
      <c r="K172" s="61"/>
    </row>
    <row r="173" spans="11:11" s="2" customFormat="1" ht="14.25" x14ac:dyDescent="0.25">
      <c r="K173" s="61"/>
    </row>
    <row r="174" spans="11:11" s="2" customFormat="1" ht="14.25" x14ac:dyDescent="0.25">
      <c r="K174" s="61"/>
    </row>
    <row r="175" spans="11:11" s="2" customFormat="1" ht="14.25" x14ac:dyDescent="0.25">
      <c r="K175" s="61"/>
    </row>
    <row r="176" spans="11:11" s="2" customFormat="1" ht="14.25" x14ac:dyDescent="0.25">
      <c r="K176" s="61"/>
    </row>
    <row r="177" spans="11:11" s="2" customFormat="1" ht="14.25" x14ac:dyDescent="0.25">
      <c r="K177" s="61"/>
    </row>
    <row r="178" spans="11:11" s="2" customFormat="1" ht="14.25" x14ac:dyDescent="0.25">
      <c r="K178" s="61"/>
    </row>
    <row r="179" spans="11:11" s="2" customFormat="1" ht="14.25" x14ac:dyDescent="0.25">
      <c r="K179" s="61"/>
    </row>
    <row r="180" spans="11:11" s="2" customFormat="1" ht="14.25" x14ac:dyDescent="0.25">
      <c r="K180" s="61"/>
    </row>
    <row r="181" spans="11:11" s="2" customFormat="1" ht="14.25" x14ac:dyDescent="0.25">
      <c r="K181" s="61"/>
    </row>
    <row r="182" spans="11:11" s="2" customFormat="1" ht="14.25" x14ac:dyDescent="0.25">
      <c r="K182" s="61"/>
    </row>
    <row r="183" spans="11:11" s="2" customFormat="1" ht="14.25" x14ac:dyDescent="0.25">
      <c r="K183" s="61"/>
    </row>
    <row r="184" spans="11:11" s="2" customFormat="1" ht="14.25" x14ac:dyDescent="0.25">
      <c r="K184" s="61"/>
    </row>
    <row r="185" spans="11:11" s="2" customFormat="1" ht="14.25" x14ac:dyDescent="0.25">
      <c r="K185" s="61"/>
    </row>
    <row r="186" spans="11:11" s="2" customFormat="1" ht="14.25" x14ac:dyDescent="0.25">
      <c r="K186" s="61"/>
    </row>
    <row r="187" spans="11:11" s="2" customFormat="1" ht="14.25" x14ac:dyDescent="0.25">
      <c r="K187" s="61"/>
    </row>
    <row r="188" spans="11:11" s="2" customFormat="1" ht="14.25" x14ac:dyDescent="0.25">
      <c r="K188" s="61"/>
    </row>
    <row r="189" spans="11:11" s="2" customFormat="1" ht="14.25" x14ac:dyDescent="0.25">
      <c r="K189" s="61"/>
    </row>
    <row r="190" spans="11:11" s="2" customFormat="1" ht="14.25" x14ac:dyDescent="0.25">
      <c r="K190" s="61"/>
    </row>
    <row r="191" spans="11:11" s="2" customFormat="1" ht="14.25" x14ac:dyDescent="0.25">
      <c r="K191" s="61"/>
    </row>
    <row r="192" spans="11:11" s="2" customFormat="1" ht="14.25" x14ac:dyDescent="0.25">
      <c r="K192" s="61"/>
    </row>
    <row r="193" spans="11:11" s="2" customFormat="1" ht="14.25" x14ac:dyDescent="0.25">
      <c r="K193" s="61"/>
    </row>
    <row r="194" spans="11:11" s="2" customFormat="1" ht="14.25" x14ac:dyDescent="0.25">
      <c r="K194" s="61"/>
    </row>
    <row r="195" spans="11:11" s="2" customFormat="1" ht="14.25" x14ac:dyDescent="0.25">
      <c r="K195" s="61"/>
    </row>
    <row r="196" spans="11:11" s="2" customFormat="1" ht="14.25" x14ac:dyDescent="0.25">
      <c r="K196" s="61"/>
    </row>
    <row r="197" spans="11:11" s="2" customFormat="1" ht="14.25" x14ac:dyDescent="0.25">
      <c r="K197" s="61"/>
    </row>
    <row r="198" spans="11:11" s="2" customFormat="1" ht="14.25" x14ac:dyDescent="0.25">
      <c r="K198" s="61"/>
    </row>
    <row r="199" spans="11:11" s="2" customFormat="1" ht="14.25" x14ac:dyDescent="0.25">
      <c r="K199" s="61"/>
    </row>
    <row r="200" spans="11:11" s="2" customFormat="1" ht="14.25" x14ac:dyDescent="0.25">
      <c r="K200" s="61"/>
    </row>
    <row r="201" spans="11:11" s="2" customFormat="1" ht="14.25" x14ac:dyDescent="0.25">
      <c r="K201" s="61"/>
    </row>
    <row r="202" spans="11:11" s="2" customFormat="1" ht="14.25" x14ac:dyDescent="0.25">
      <c r="K202" s="61"/>
    </row>
    <row r="203" spans="11:11" s="2" customFormat="1" ht="14.25" x14ac:dyDescent="0.25">
      <c r="K203" s="61"/>
    </row>
    <row r="204" spans="11:11" s="2" customFormat="1" ht="14.25" x14ac:dyDescent="0.25">
      <c r="K204" s="61"/>
    </row>
    <row r="205" spans="11:11" s="2" customFormat="1" ht="14.25" x14ac:dyDescent="0.25">
      <c r="K205" s="61"/>
    </row>
    <row r="206" spans="11:11" s="2" customFormat="1" ht="14.25" x14ac:dyDescent="0.25">
      <c r="K206" s="61"/>
    </row>
    <row r="207" spans="11:11" s="2" customFormat="1" ht="14.25" x14ac:dyDescent="0.25">
      <c r="K207" s="61"/>
    </row>
    <row r="208" spans="11:11" s="2" customFormat="1" ht="14.25" x14ac:dyDescent="0.25">
      <c r="K208" s="61"/>
    </row>
    <row r="209" spans="11:11" s="2" customFormat="1" ht="14.25" x14ac:dyDescent="0.25">
      <c r="K209" s="61"/>
    </row>
    <row r="210" spans="11:11" s="2" customFormat="1" ht="14.25" x14ac:dyDescent="0.25">
      <c r="K210" s="61"/>
    </row>
    <row r="211" spans="11:11" s="2" customFormat="1" ht="14.25" x14ac:dyDescent="0.25">
      <c r="K211" s="61"/>
    </row>
    <row r="212" spans="11:11" s="2" customFormat="1" ht="14.25" x14ac:dyDescent="0.25">
      <c r="K212" s="61"/>
    </row>
    <row r="213" spans="11:11" s="2" customFormat="1" ht="14.25" x14ac:dyDescent="0.25">
      <c r="K213" s="61"/>
    </row>
    <row r="214" spans="11:11" s="2" customFormat="1" ht="14.25" x14ac:dyDescent="0.25">
      <c r="K214" s="61"/>
    </row>
    <row r="215" spans="11:11" s="2" customFormat="1" ht="14.25" x14ac:dyDescent="0.25">
      <c r="K215" s="61"/>
    </row>
    <row r="216" spans="11:11" s="2" customFormat="1" ht="14.25" x14ac:dyDescent="0.25">
      <c r="K216" s="61"/>
    </row>
    <row r="217" spans="11:11" s="2" customFormat="1" ht="14.25" x14ac:dyDescent="0.25">
      <c r="K217" s="61"/>
    </row>
    <row r="218" spans="11:11" s="2" customFormat="1" ht="14.25" x14ac:dyDescent="0.25">
      <c r="K218" s="61"/>
    </row>
    <row r="219" spans="11:11" s="2" customFormat="1" ht="14.25" x14ac:dyDescent="0.25">
      <c r="K219" s="61"/>
    </row>
    <row r="220" spans="11:11" s="2" customFormat="1" ht="14.25" x14ac:dyDescent="0.25">
      <c r="K220" s="61"/>
    </row>
    <row r="221" spans="11:11" s="2" customFormat="1" ht="14.25" x14ac:dyDescent="0.25">
      <c r="K221" s="61"/>
    </row>
    <row r="222" spans="11:11" s="2" customFormat="1" ht="14.25" x14ac:dyDescent="0.25">
      <c r="K222" s="61"/>
    </row>
    <row r="223" spans="11:11" s="2" customFormat="1" ht="14.25" x14ac:dyDescent="0.25">
      <c r="K223" s="61"/>
    </row>
    <row r="224" spans="11:11" s="2" customFormat="1" ht="14.25" x14ac:dyDescent="0.25">
      <c r="K224" s="61"/>
    </row>
    <row r="225" spans="11:11" s="2" customFormat="1" ht="14.25" x14ac:dyDescent="0.25">
      <c r="K225" s="61"/>
    </row>
    <row r="226" spans="11:11" s="2" customFormat="1" ht="14.25" x14ac:dyDescent="0.25">
      <c r="K226" s="61"/>
    </row>
    <row r="227" spans="11:11" s="2" customFormat="1" ht="14.25" x14ac:dyDescent="0.25">
      <c r="K227" s="61"/>
    </row>
    <row r="228" spans="11:11" s="2" customFormat="1" ht="14.25" x14ac:dyDescent="0.25">
      <c r="K228" s="61"/>
    </row>
    <row r="229" spans="11:11" s="2" customFormat="1" ht="14.25" x14ac:dyDescent="0.25">
      <c r="K229" s="61"/>
    </row>
    <row r="230" spans="11:11" s="2" customFormat="1" ht="14.25" x14ac:dyDescent="0.25">
      <c r="K230" s="61"/>
    </row>
    <row r="231" spans="11:11" s="2" customFormat="1" ht="14.25" x14ac:dyDescent="0.25">
      <c r="K231" s="61"/>
    </row>
    <row r="232" spans="11:11" s="2" customFormat="1" ht="14.25" x14ac:dyDescent="0.25">
      <c r="K232" s="61"/>
    </row>
    <row r="233" spans="11:11" s="2" customFormat="1" ht="14.25" x14ac:dyDescent="0.25">
      <c r="K233" s="61"/>
    </row>
    <row r="234" spans="11:11" s="2" customFormat="1" ht="14.25" x14ac:dyDescent="0.25">
      <c r="K234" s="61"/>
    </row>
    <row r="235" spans="11:11" s="2" customFormat="1" ht="14.25" x14ac:dyDescent="0.25">
      <c r="K235" s="61"/>
    </row>
    <row r="236" spans="11:11" s="2" customFormat="1" ht="14.25" x14ac:dyDescent="0.25">
      <c r="K236" s="61"/>
    </row>
    <row r="237" spans="11:11" s="2" customFormat="1" ht="14.25" x14ac:dyDescent="0.25">
      <c r="K237" s="61"/>
    </row>
    <row r="238" spans="11:11" s="2" customFormat="1" ht="14.25" x14ac:dyDescent="0.25">
      <c r="K238" s="61"/>
    </row>
    <row r="239" spans="11:11" s="2" customFormat="1" ht="14.25" x14ac:dyDescent="0.25">
      <c r="K239" s="61"/>
    </row>
    <row r="240" spans="11:11" s="2" customFormat="1" ht="14.25" x14ac:dyDescent="0.25">
      <c r="K240" s="61"/>
    </row>
    <row r="241" spans="11:11" s="2" customFormat="1" ht="14.25" x14ac:dyDescent="0.25">
      <c r="K241" s="61"/>
    </row>
    <row r="242" spans="11:11" s="2" customFormat="1" ht="14.25" x14ac:dyDescent="0.25">
      <c r="K242" s="61"/>
    </row>
    <row r="243" spans="11:11" s="2" customFormat="1" ht="14.25" x14ac:dyDescent="0.25">
      <c r="K243" s="61"/>
    </row>
    <row r="244" spans="11:11" s="2" customFormat="1" ht="14.25" x14ac:dyDescent="0.25">
      <c r="K244" s="61"/>
    </row>
    <row r="245" spans="11:11" s="2" customFormat="1" ht="14.25" x14ac:dyDescent="0.25">
      <c r="K245" s="61"/>
    </row>
    <row r="246" spans="11:11" s="2" customFormat="1" ht="14.25" x14ac:dyDescent="0.25">
      <c r="K246" s="61"/>
    </row>
    <row r="247" spans="11:11" s="2" customFormat="1" ht="14.25" x14ac:dyDescent="0.25">
      <c r="K247" s="61"/>
    </row>
    <row r="248" spans="11:11" s="2" customFormat="1" ht="14.25" x14ac:dyDescent="0.25">
      <c r="K248" s="61"/>
    </row>
    <row r="249" spans="11:11" s="2" customFormat="1" ht="14.25" x14ac:dyDescent="0.25">
      <c r="K249" s="61"/>
    </row>
    <row r="250" spans="11:11" s="2" customFormat="1" ht="14.25" x14ac:dyDescent="0.25">
      <c r="K250" s="61"/>
    </row>
    <row r="251" spans="11:11" s="2" customFormat="1" ht="14.25" x14ac:dyDescent="0.25">
      <c r="K251" s="61"/>
    </row>
    <row r="252" spans="11:11" s="2" customFormat="1" ht="14.25" x14ac:dyDescent="0.25">
      <c r="K252" s="61"/>
    </row>
    <row r="253" spans="11:11" s="2" customFormat="1" ht="14.25" x14ac:dyDescent="0.25">
      <c r="K253" s="61"/>
    </row>
    <row r="254" spans="11:11" s="2" customFormat="1" ht="14.25" x14ac:dyDescent="0.25">
      <c r="K254" s="61"/>
    </row>
    <row r="255" spans="11:11" s="2" customFormat="1" ht="14.25" x14ac:dyDescent="0.25">
      <c r="K255" s="61"/>
    </row>
    <row r="256" spans="11:11" s="2" customFormat="1" ht="14.25" x14ac:dyDescent="0.25">
      <c r="K256" s="61"/>
    </row>
    <row r="257" spans="11:11" s="2" customFormat="1" ht="14.25" x14ac:dyDescent="0.25">
      <c r="K257" s="61"/>
    </row>
    <row r="258" spans="11:11" s="2" customFormat="1" ht="14.25" x14ac:dyDescent="0.25">
      <c r="K258" s="61"/>
    </row>
    <row r="259" spans="11:11" s="2" customFormat="1" ht="14.25" x14ac:dyDescent="0.25">
      <c r="K259" s="61"/>
    </row>
    <row r="260" spans="11:11" s="2" customFormat="1" ht="14.25" x14ac:dyDescent="0.25">
      <c r="K260" s="61"/>
    </row>
    <row r="261" spans="11:11" s="2" customFormat="1" ht="14.25" x14ac:dyDescent="0.25">
      <c r="K261" s="61"/>
    </row>
    <row r="262" spans="11:11" s="2" customFormat="1" ht="14.25" x14ac:dyDescent="0.25">
      <c r="K262" s="61"/>
    </row>
    <row r="263" spans="11:11" s="2" customFormat="1" ht="14.25" x14ac:dyDescent="0.25">
      <c r="K263" s="61"/>
    </row>
    <row r="264" spans="11:11" s="2" customFormat="1" ht="14.25" x14ac:dyDescent="0.25">
      <c r="K264" s="61"/>
    </row>
    <row r="265" spans="11:11" s="2" customFormat="1" ht="14.25" x14ac:dyDescent="0.25">
      <c r="K265" s="61"/>
    </row>
    <row r="266" spans="11:11" s="2" customFormat="1" ht="14.25" x14ac:dyDescent="0.25">
      <c r="K266" s="61"/>
    </row>
    <row r="267" spans="11:11" s="2" customFormat="1" ht="14.25" x14ac:dyDescent="0.25">
      <c r="K267" s="61"/>
    </row>
    <row r="268" spans="11:11" s="2" customFormat="1" ht="14.25" x14ac:dyDescent="0.25">
      <c r="K268" s="61"/>
    </row>
    <row r="269" spans="11:11" s="2" customFormat="1" ht="14.25" x14ac:dyDescent="0.25">
      <c r="K269" s="61"/>
    </row>
    <row r="270" spans="11:11" s="2" customFormat="1" ht="14.25" x14ac:dyDescent="0.25">
      <c r="K270" s="61"/>
    </row>
    <row r="271" spans="11:11" s="2" customFormat="1" ht="14.25" x14ac:dyDescent="0.25">
      <c r="K271" s="61"/>
    </row>
    <row r="272" spans="11:11" s="2" customFormat="1" ht="14.25" x14ac:dyDescent="0.25">
      <c r="K272" s="61"/>
    </row>
    <row r="273" spans="11:11" s="2" customFormat="1" ht="14.25" x14ac:dyDescent="0.25">
      <c r="K273" s="61"/>
    </row>
    <row r="274" spans="11:11" s="2" customFormat="1" ht="14.25" x14ac:dyDescent="0.25">
      <c r="K274" s="61"/>
    </row>
    <row r="275" spans="11:11" s="2" customFormat="1" ht="14.25" x14ac:dyDescent="0.25">
      <c r="K275" s="61"/>
    </row>
    <row r="276" spans="11:11" s="2" customFormat="1" ht="14.25" x14ac:dyDescent="0.25">
      <c r="K276" s="61"/>
    </row>
    <row r="277" spans="11:11" s="2" customFormat="1" ht="14.25" x14ac:dyDescent="0.25">
      <c r="K277" s="61"/>
    </row>
    <row r="278" spans="11:11" s="2" customFormat="1" ht="14.25" x14ac:dyDescent="0.25">
      <c r="K278" s="61"/>
    </row>
    <row r="279" spans="11:11" s="2" customFormat="1" ht="14.25" x14ac:dyDescent="0.25">
      <c r="K279" s="61"/>
    </row>
    <row r="280" spans="11:11" s="2" customFormat="1" ht="14.25" x14ac:dyDescent="0.25">
      <c r="K280" s="61"/>
    </row>
    <row r="281" spans="11:11" s="2" customFormat="1" ht="14.25" x14ac:dyDescent="0.25">
      <c r="K281" s="61"/>
    </row>
    <row r="282" spans="11:11" s="2" customFormat="1" ht="14.25" x14ac:dyDescent="0.25">
      <c r="K282" s="61"/>
    </row>
    <row r="283" spans="11:11" s="2" customFormat="1" ht="14.25" x14ac:dyDescent="0.25">
      <c r="K283" s="61"/>
    </row>
    <row r="284" spans="11:11" s="2" customFormat="1" ht="14.25" x14ac:dyDescent="0.25">
      <c r="K284" s="61"/>
    </row>
    <row r="285" spans="11:11" s="2" customFormat="1" ht="14.25" x14ac:dyDescent="0.25">
      <c r="K285" s="61"/>
    </row>
    <row r="286" spans="11:11" s="2" customFormat="1" ht="14.25" x14ac:dyDescent="0.25">
      <c r="K286" s="61"/>
    </row>
    <row r="287" spans="11:11" s="2" customFormat="1" ht="14.25" x14ac:dyDescent="0.25">
      <c r="K287" s="61"/>
    </row>
    <row r="288" spans="11:11" s="2" customFormat="1" ht="14.25" x14ac:dyDescent="0.25">
      <c r="K288" s="61"/>
    </row>
    <row r="289" spans="11:11" s="2" customFormat="1" ht="14.25" x14ac:dyDescent="0.25">
      <c r="K289" s="61"/>
    </row>
    <row r="290" spans="11:11" s="2" customFormat="1" ht="14.25" x14ac:dyDescent="0.25">
      <c r="K290" s="61"/>
    </row>
    <row r="291" spans="11:11" s="2" customFormat="1" ht="14.25" x14ac:dyDescent="0.25">
      <c r="K291" s="61"/>
    </row>
    <row r="292" spans="11:11" s="2" customFormat="1" ht="14.25" x14ac:dyDescent="0.25">
      <c r="K292" s="61"/>
    </row>
    <row r="293" spans="11:11" s="2" customFormat="1" ht="14.25" x14ac:dyDescent="0.25">
      <c r="K293" s="61"/>
    </row>
    <row r="294" spans="11:11" s="2" customFormat="1" ht="14.25" x14ac:dyDescent="0.25">
      <c r="K294" s="61"/>
    </row>
    <row r="295" spans="11:11" s="2" customFormat="1" ht="14.25" x14ac:dyDescent="0.25">
      <c r="K295" s="61"/>
    </row>
    <row r="296" spans="11:11" s="2" customFormat="1" ht="14.25" x14ac:dyDescent="0.25">
      <c r="K296" s="61"/>
    </row>
  </sheetData>
  <mergeCells count="61">
    <mergeCell ref="A55:D55"/>
    <mergeCell ref="A45:A46"/>
    <mergeCell ref="A33:A34"/>
    <mergeCell ref="A49:A50"/>
    <mergeCell ref="A37:A38"/>
    <mergeCell ref="A35:A36"/>
    <mergeCell ref="A39:A40"/>
    <mergeCell ref="A41:A42"/>
    <mergeCell ref="A47:A48"/>
    <mergeCell ref="R41:R42"/>
    <mergeCell ref="R33:R34"/>
    <mergeCell ref="R37:R38"/>
    <mergeCell ref="R39:R40"/>
    <mergeCell ref="R35:R36"/>
    <mergeCell ref="R53:R54"/>
    <mergeCell ref="A53:A54"/>
    <mergeCell ref="A43:A44"/>
    <mergeCell ref="R43:R44"/>
    <mergeCell ref="R45:R46"/>
    <mergeCell ref="R49:R50"/>
    <mergeCell ref="A51:A52"/>
    <mergeCell ref="R51:R52"/>
    <mergeCell ref="R47:R48"/>
    <mergeCell ref="A15:A16"/>
    <mergeCell ref="R15:R16"/>
    <mergeCell ref="A19:A20"/>
    <mergeCell ref="R19:R20"/>
    <mergeCell ref="A17:A18"/>
    <mergeCell ref="R17:R18"/>
    <mergeCell ref="A31:A32"/>
    <mergeCell ref="R31:R32"/>
    <mergeCell ref="A21:A22"/>
    <mergeCell ref="R21:R22"/>
    <mergeCell ref="A25:A26"/>
    <mergeCell ref="R25:R26"/>
    <mergeCell ref="A23:A24"/>
    <mergeCell ref="A27:A28"/>
    <mergeCell ref="R23:R24"/>
    <mergeCell ref="R27:R28"/>
    <mergeCell ref="A29:A30"/>
    <mergeCell ref="R29:R30"/>
    <mergeCell ref="A1:Q1"/>
    <mergeCell ref="A2:Q2"/>
    <mergeCell ref="A3:A4"/>
    <mergeCell ref="D3:D4"/>
    <mergeCell ref="G3:G4"/>
    <mergeCell ref="H3:H4"/>
    <mergeCell ref="J3:P3"/>
    <mergeCell ref="Q3:Q4"/>
    <mergeCell ref="B3:B4"/>
    <mergeCell ref="C3:C4"/>
    <mergeCell ref="A13:A14"/>
    <mergeCell ref="R5:R6"/>
    <mergeCell ref="A9:A10"/>
    <mergeCell ref="R9:R10"/>
    <mergeCell ref="A5:A6"/>
    <mergeCell ref="A11:A12"/>
    <mergeCell ref="R11:R12"/>
    <mergeCell ref="R13:R14"/>
    <mergeCell ref="A7:A8"/>
    <mergeCell ref="R7:R8"/>
  </mergeCells>
  <phoneticPr fontId="2" type="noConversion"/>
  <printOptions horizontalCentered="1" verticalCentered="1"/>
  <pageMargins left="0.19685039370078741" right="0.19685039370078741" top="0" bottom="0" header="0.31496062992125984" footer="0.22"/>
  <pageSetup paperSize="9" scale="75" orientation="landscape" r:id="rId1"/>
  <headerFooter alignWithMargins="0">
    <oddHeader>&amp;R第&amp;P页，共&amp;N页</oddHeader>
    <oddFooter>&amp;RSTPM-D-4-005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279"/>
  <sheetViews>
    <sheetView zoomScale="80" zoomScaleNormal="80" zoomScaleSheetLayoutView="100" workbookViewId="0">
      <pane xSplit="4" ySplit="4" topLeftCell="E5" activePane="bottomRight" state="frozen"/>
      <selection activeCell="J48" sqref="J48"/>
      <selection pane="topRight" activeCell="J48" sqref="J48"/>
      <selection pane="bottomLeft" activeCell="J48" sqref="J48"/>
      <selection pane="bottomRight" activeCell="C5" sqref="C1:C1048576"/>
    </sheetView>
  </sheetViews>
  <sheetFormatPr defaultRowHeight="18" x14ac:dyDescent="0.3"/>
  <cols>
    <col min="1" max="3" width="10.625" style="3" customWidth="1"/>
    <col min="4" max="4" width="10.75" style="11" customWidth="1"/>
    <col min="5" max="18" width="9.625" style="3" customWidth="1"/>
    <col min="19" max="16384" width="9" style="3"/>
  </cols>
  <sheetData>
    <row r="1" spans="1:38" s="4" customFormat="1" ht="22.5" customHeight="1" x14ac:dyDescent="0.35">
      <c r="A1" s="122" t="s">
        <v>351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38" s="1" customFormat="1" ht="18.75" thickBot="1" x14ac:dyDescent="0.35">
      <c r="A2" s="123" t="s">
        <v>352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</row>
    <row r="3" spans="1:38" s="12" customFormat="1" ht="15.95" customHeight="1" x14ac:dyDescent="0.15">
      <c r="A3" s="124" t="s">
        <v>9</v>
      </c>
      <c r="B3" s="129" t="s">
        <v>165</v>
      </c>
      <c r="C3" s="129" t="s">
        <v>363</v>
      </c>
      <c r="D3" s="126" t="s">
        <v>10</v>
      </c>
      <c r="E3" s="107" t="s">
        <v>11</v>
      </c>
      <c r="F3" s="107" t="s">
        <v>12</v>
      </c>
      <c r="G3" s="126" t="s">
        <v>13</v>
      </c>
      <c r="H3" s="126" t="s">
        <v>14</v>
      </c>
      <c r="I3" s="107" t="s">
        <v>15</v>
      </c>
      <c r="J3" s="126" t="s">
        <v>16</v>
      </c>
      <c r="K3" s="126"/>
      <c r="L3" s="126"/>
      <c r="M3" s="126"/>
      <c r="N3" s="126"/>
      <c r="O3" s="126"/>
      <c r="P3" s="126"/>
      <c r="Q3" s="129" t="s">
        <v>18</v>
      </c>
      <c r="R3" s="109" t="s">
        <v>17</v>
      </c>
    </row>
    <row r="4" spans="1:38" s="12" customFormat="1" ht="15.95" customHeight="1" x14ac:dyDescent="0.15">
      <c r="A4" s="125"/>
      <c r="B4" s="130"/>
      <c r="C4" s="130"/>
      <c r="D4" s="128"/>
      <c r="E4" s="108" t="s">
        <v>18</v>
      </c>
      <c r="F4" s="108" t="s">
        <v>60</v>
      </c>
      <c r="G4" s="128"/>
      <c r="H4" s="128"/>
      <c r="I4" s="108" t="s">
        <v>18</v>
      </c>
      <c r="J4" s="68" t="s">
        <v>60</v>
      </c>
      <c r="K4" s="75" t="s">
        <v>61</v>
      </c>
      <c r="L4" s="68" t="s">
        <v>120</v>
      </c>
      <c r="M4" s="75" t="s">
        <v>121</v>
      </c>
      <c r="N4" s="68" t="s">
        <v>122</v>
      </c>
      <c r="O4" s="75" t="s">
        <v>123</v>
      </c>
      <c r="P4" s="68" t="s">
        <v>124</v>
      </c>
      <c r="Q4" s="130"/>
      <c r="R4" s="110"/>
    </row>
    <row r="5" spans="1:38" s="14" customFormat="1" ht="15.95" customHeight="1" x14ac:dyDescent="0.15">
      <c r="A5" s="120" t="s">
        <v>55</v>
      </c>
      <c r="B5" s="40" t="s">
        <v>240</v>
      </c>
      <c r="C5" s="40" t="s">
        <v>411</v>
      </c>
      <c r="D5" s="40" t="s">
        <v>78</v>
      </c>
      <c r="E5" s="7">
        <v>419111</v>
      </c>
      <c r="F5" s="8">
        <v>420000</v>
      </c>
      <c r="G5" s="5">
        <v>372000</v>
      </c>
      <c r="H5" s="7"/>
      <c r="I5" s="8">
        <f t="shared" ref="I5:I20" si="0">F5+E5-G5-H5</f>
        <v>467111</v>
      </c>
      <c r="J5" s="72">
        <f>60000</f>
        <v>60000</v>
      </c>
      <c r="K5" s="76">
        <f>11900+290228</f>
        <v>302128</v>
      </c>
      <c r="L5" s="72">
        <f>108000</f>
        <v>108000</v>
      </c>
      <c r="M5" s="76"/>
      <c r="N5" s="72"/>
      <c r="O5" s="76"/>
      <c r="P5" s="73"/>
      <c r="Q5" s="7">
        <f>SUM(J5:P5)</f>
        <v>470128</v>
      </c>
      <c r="R5" s="137">
        <f>Q5+Q6-I5-I6</f>
        <v>-422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 spans="1:38" s="14" customFormat="1" ht="15.95" customHeight="1" x14ac:dyDescent="0.15">
      <c r="A6" s="120"/>
      <c r="B6" s="40" t="s">
        <v>241</v>
      </c>
      <c r="C6" s="40" t="s">
        <v>412</v>
      </c>
      <c r="D6" s="40" t="s">
        <v>79</v>
      </c>
      <c r="E6" s="7">
        <v>16029</v>
      </c>
      <c r="F6" s="8">
        <v>358000</v>
      </c>
      <c r="G6" s="5">
        <v>288000</v>
      </c>
      <c r="H6" s="7"/>
      <c r="I6" s="8">
        <f t="shared" si="0"/>
        <v>86029</v>
      </c>
      <c r="J6" s="72"/>
      <c r="K6" s="76"/>
      <c r="L6" s="72"/>
      <c r="M6" s="76">
        <f>2430+80160</f>
        <v>82590</v>
      </c>
      <c r="N6" s="72"/>
      <c r="O6" s="76"/>
      <c r="P6" s="73"/>
      <c r="Q6" s="7">
        <f t="shared" ref="Q6:Q36" si="1">SUM(J6:P6)</f>
        <v>82590</v>
      </c>
      <c r="R6" s="138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 s="14" customFormat="1" ht="15.95" customHeight="1" x14ac:dyDescent="0.15">
      <c r="A7" s="120" t="s">
        <v>0</v>
      </c>
      <c r="B7" s="41" t="s">
        <v>242</v>
      </c>
      <c r="C7" s="41" t="s">
        <v>413</v>
      </c>
      <c r="D7" s="41" t="s">
        <v>80</v>
      </c>
      <c r="E7" s="7">
        <v>120000</v>
      </c>
      <c r="F7" s="5"/>
      <c r="G7" s="5">
        <f>18000</f>
        <v>18000</v>
      </c>
      <c r="H7" s="7"/>
      <c r="I7" s="8">
        <f>F7+E7-G7-H7</f>
        <v>102000</v>
      </c>
      <c r="J7" s="69"/>
      <c r="K7" s="76"/>
      <c r="L7" s="69"/>
      <c r="M7" s="76"/>
      <c r="N7" s="69"/>
      <c r="O7" s="76">
        <f>71000+31000</f>
        <v>102000</v>
      </c>
      <c r="P7" s="73"/>
      <c r="Q7" s="7">
        <f t="shared" si="1"/>
        <v>102000</v>
      </c>
      <c r="R7" s="137">
        <f>Q7+Q8-I7-I8</f>
        <v>338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s="14" customFormat="1" ht="15.95" customHeight="1" x14ac:dyDescent="0.15">
      <c r="A8" s="120"/>
      <c r="B8" s="41" t="s">
        <v>243</v>
      </c>
      <c r="C8" s="41" t="s">
        <v>414</v>
      </c>
      <c r="D8" s="41" t="s">
        <v>81</v>
      </c>
      <c r="E8" s="7">
        <v>118662</v>
      </c>
      <c r="F8" s="5"/>
      <c r="G8" s="5">
        <v>18000</v>
      </c>
      <c r="H8" s="7"/>
      <c r="I8" s="8">
        <f>F8+E8-G8-H8</f>
        <v>100662</v>
      </c>
      <c r="J8" s="69"/>
      <c r="K8" s="76"/>
      <c r="L8" s="69"/>
      <c r="M8" s="76"/>
      <c r="N8" s="69"/>
      <c r="O8" s="76">
        <f>72000+29000</f>
        <v>101000</v>
      </c>
      <c r="P8" s="73"/>
      <c r="Q8" s="7">
        <f t="shared" si="1"/>
        <v>101000</v>
      </c>
      <c r="R8" s="138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1:38" s="14" customFormat="1" ht="15.75" customHeight="1" x14ac:dyDescent="0.15">
      <c r="A9" s="120" t="s">
        <v>69</v>
      </c>
      <c r="B9" s="40" t="s">
        <v>244</v>
      </c>
      <c r="C9" s="40" t="s">
        <v>415</v>
      </c>
      <c r="D9" s="40" t="s">
        <v>82</v>
      </c>
      <c r="E9" s="7">
        <v>0</v>
      </c>
      <c r="F9" s="7"/>
      <c r="G9" s="7"/>
      <c r="H9" s="7"/>
      <c r="I9" s="8">
        <f t="shared" si="0"/>
        <v>0</v>
      </c>
      <c r="J9" s="73"/>
      <c r="K9" s="79"/>
      <c r="L9" s="73"/>
      <c r="M9" s="79"/>
      <c r="N9" s="73"/>
      <c r="O9" s="79"/>
      <c r="P9" s="73"/>
      <c r="Q9" s="7">
        <f t="shared" si="1"/>
        <v>0</v>
      </c>
      <c r="R9" s="139">
        <f>Q9+Q10-I9-I10</f>
        <v>0</v>
      </c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s="14" customFormat="1" ht="15.95" customHeight="1" x14ac:dyDescent="0.15">
      <c r="A10" s="120"/>
      <c r="B10" s="40" t="s">
        <v>245</v>
      </c>
      <c r="C10" s="40" t="s">
        <v>416</v>
      </c>
      <c r="D10" s="40" t="s">
        <v>83</v>
      </c>
      <c r="E10" s="7">
        <v>0</v>
      </c>
      <c r="F10" s="7"/>
      <c r="G10" s="7"/>
      <c r="H10" s="7"/>
      <c r="I10" s="8">
        <f t="shared" si="0"/>
        <v>0</v>
      </c>
      <c r="J10" s="73"/>
      <c r="K10" s="79"/>
      <c r="L10" s="73"/>
      <c r="M10" s="79"/>
      <c r="N10" s="73"/>
      <c r="O10" s="79"/>
      <c r="P10" s="73"/>
      <c r="Q10" s="7">
        <f t="shared" si="1"/>
        <v>0</v>
      </c>
      <c r="R10" s="139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s="14" customFormat="1" ht="15.95" customHeight="1" x14ac:dyDescent="0.15">
      <c r="A11" s="120" t="s">
        <v>69</v>
      </c>
      <c r="B11" s="41" t="s">
        <v>246</v>
      </c>
      <c r="C11" s="41" t="s">
        <v>417</v>
      </c>
      <c r="D11" s="41" t="s">
        <v>84</v>
      </c>
      <c r="E11" s="7">
        <f>44000+114183</f>
        <v>158183</v>
      </c>
      <c r="F11" s="5"/>
      <c r="G11" s="5">
        <v>12000</v>
      </c>
      <c r="H11" s="7"/>
      <c r="I11" s="8">
        <f t="shared" si="0"/>
        <v>146183</v>
      </c>
      <c r="J11" s="69"/>
      <c r="K11" s="76"/>
      <c r="L11" s="69"/>
      <c r="M11" s="76"/>
      <c r="N11" s="69">
        <f>75183</f>
        <v>75183</v>
      </c>
      <c r="O11" s="76">
        <v>62000</v>
      </c>
      <c r="P11" s="73"/>
      <c r="Q11" s="7">
        <f t="shared" si="1"/>
        <v>137183</v>
      </c>
      <c r="R11" s="139">
        <f>Q11+Q12-I11-I12</f>
        <v>-9103</v>
      </c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s="14" customFormat="1" ht="15.95" customHeight="1" x14ac:dyDescent="0.15">
      <c r="A12" s="120"/>
      <c r="B12" s="41" t="s">
        <v>247</v>
      </c>
      <c r="C12" s="41" t="s">
        <v>418</v>
      </c>
      <c r="D12" s="41" t="s">
        <v>85</v>
      </c>
      <c r="E12" s="7">
        <v>74833</v>
      </c>
      <c r="F12" s="5"/>
      <c r="G12" s="5">
        <v>12000</v>
      </c>
      <c r="H12" s="7"/>
      <c r="I12" s="8">
        <f t="shared" si="0"/>
        <v>62833</v>
      </c>
      <c r="J12" s="69"/>
      <c r="K12" s="76"/>
      <c r="L12" s="69"/>
      <c r="M12" s="76"/>
      <c r="N12" s="69">
        <f>62730</f>
        <v>62730</v>
      </c>
      <c r="O12" s="76"/>
      <c r="P12" s="73"/>
      <c r="Q12" s="7">
        <f t="shared" si="1"/>
        <v>62730</v>
      </c>
      <c r="R12" s="139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s="14" customFormat="1" ht="15.95" customHeight="1" x14ac:dyDescent="0.15">
      <c r="A13" s="120" t="s">
        <v>69</v>
      </c>
      <c r="B13" s="40" t="s">
        <v>248</v>
      </c>
      <c r="C13" s="40" t="s">
        <v>419</v>
      </c>
      <c r="D13" s="40" t="s">
        <v>86</v>
      </c>
      <c r="E13" s="7">
        <v>37000</v>
      </c>
      <c r="F13" s="7"/>
      <c r="G13" s="5"/>
      <c r="H13" s="7"/>
      <c r="I13" s="8">
        <f t="shared" si="0"/>
        <v>37000</v>
      </c>
      <c r="J13" s="73"/>
      <c r="K13" s="76"/>
      <c r="L13" s="73"/>
      <c r="M13" s="76"/>
      <c r="N13" s="73">
        <f>37000</f>
        <v>37000</v>
      </c>
      <c r="O13" s="76"/>
      <c r="P13" s="73"/>
      <c r="Q13" s="7">
        <f t="shared" si="1"/>
        <v>37000</v>
      </c>
      <c r="R13" s="139">
        <f>Q13+Q14-I13-I14</f>
        <v>-900</v>
      </c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s="14" customFormat="1" ht="15.95" customHeight="1" x14ac:dyDescent="0.15">
      <c r="A14" s="120"/>
      <c r="B14" s="40" t="s">
        <v>249</v>
      </c>
      <c r="C14" s="40" t="s">
        <v>420</v>
      </c>
      <c r="D14" s="40" t="s">
        <v>87</v>
      </c>
      <c r="E14" s="7">
        <v>27900</v>
      </c>
      <c r="F14" s="7"/>
      <c r="G14" s="5"/>
      <c r="H14" s="7"/>
      <c r="I14" s="8">
        <f t="shared" si="0"/>
        <v>27900</v>
      </c>
      <c r="J14" s="73"/>
      <c r="K14" s="76"/>
      <c r="L14" s="73"/>
      <c r="M14" s="76"/>
      <c r="N14" s="73"/>
      <c r="O14" s="76">
        <v>27000</v>
      </c>
      <c r="P14" s="73"/>
      <c r="Q14" s="7">
        <f t="shared" si="1"/>
        <v>27000</v>
      </c>
      <c r="R14" s="139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s="14" customFormat="1" ht="15.95" customHeight="1" x14ac:dyDescent="0.15">
      <c r="A15" s="120" t="s">
        <v>69</v>
      </c>
      <c r="B15" s="41" t="s">
        <v>250</v>
      </c>
      <c r="C15" s="41" t="s">
        <v>421</v>
      </c>
      <c r="D15" s="41" t="s">
        <v>88</v>
      </c>
      <c r="E15" s="7">
        <v>26287</v>
      </c>
      <c r="F15" s="7"/>
      <c r="G15" s="7"/>
      <c r="H15" s="111"/>
      <c r="I15" s="8">
        <f t="shared" si="0"/>
        <v>26287</v>
      </c>
      <c r="J15" s="73"/>
      <c r="K15" s="79"/>
      <c r="L15" s="73"/>
      <c r="M15" s="79"/>
      <c r="N15" s="73"/>
      <c r="O15" s="79">
        <f>26000</f>
        <v>26000</v>
      </c>
      <c r="P15" s="73"/>
      <c r="Q15" s="7">
        <f t="shared" si="1"/>
        <v>26000</v>
      </c>
      <c r="R15" s="139">
        <f>Q15+Q16-I15-I16</f>
        <v>-13267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 s="14" customFormat="1" ht="15.95" customHeight="1" x14ac:dyDescent="0.15">
      <c r="A16" s="120"/>
      <c r="B16" s="41" t="s">
        <v>251</v>
      </c>
      <c r="C16" s="41" t="s">
        <v>422</v>
      </c>
      <c r="D16" s="41" t="s">
        <v>89</v>
      </c>
      <c r="E16" s="7">
        <v>40930</v>
      </c>
      <c r="F16" s="7"/>
      <c r="G16" s="7"/>
      <c r="H16" s="7"/>
      <c r="I16" s="8">
        <f t="shared" si="0"/>
        <v>40930</v>
      </c>
      <c r="J16" s="73"/>
      <c r="K16" s="79"/>
      <c r="L16" s="73"/>
      <c r="M16" s="79"/>
      <c r="N16" s="73">
        <f>13950</f>
        <v>13950</v>
      </c>
      <c r="O16" s="79">
        <v>14000</v>
      </c>
      <c r="P16" s="73"/>
      <c r="Q16" s="7">
        <f t="shared" si="1"/>
        <v>27950</v>
      </c>
      <c r="R16" s="139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1:38" s="14" customFormat="1" ht="15.95" customHeight="1" x14ac:dyDescent="0.15">
      <c r="A17" s="120" t="s">
        <v>0</v>
      </c>
      <c r="B17" s="40" t="s">
        <v>252</v>
      </c>
      <c r="C17" s="40" t="s">
        <v>423</v>
      </c>
      <c r="D17" s="40" t="s">
        <v>90</v>
      </c>
      <c r="E17" s="7">
        <v>122000</v>
      </c>
      <c r="F17" s="5"/>
      <c r="G17" s="5">
        <v>35000</v>
      </c>
      <c r="H17" s="7"/>
      <c r="I17" s="8">
        <f t="shared" si="0"/>
        <v>87000</v>
      </c>
      <c r="J17" s="69"/>
      <c r="K17" s="76"/>
      <c r="L17" s="69"/>
      <c r="M17" s="76"/>
      <c r="N17" s="69"/>
      <c r="O17" s="76">
        <f>15000+72000</f>
        <v>87000</v>
      </c>
      <c r="P17" s="73"/>
      <c r="Q17" s="7">
        <f t="shared" si="1"/>
        <v>87000</v>
      </c>
      <c r="R17" s="137">
        <f>Q17+Q18-I17-I18</f>
        <v>-123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:38" s="14" customFormat="1" ht="15.95" customHeight="1" x14ac:dyDescent="0.15">
      <c r="A18" s="120"/>
      <c r="B18" s="40" t="s">
        <v>253</v>
      </c>
      <c r="C18" s="40" t="s">
        <v>424</v>
      </c>
      <c r="D18" s="40" t="s">
        <v>91</v>
      </c>
      <c r="E18" s="7">
        <v>99323</v>
      </c>
      <c r="F18" s="5"/>
      <c r="G18" s="5">
        <v>35000</v>
      </c>
      <c r="H18" s="7"/>
      <c r="I18" s="8">
        <f t="shared" si="0"/>
        <v>64323</v>
      </c>
      <c r="J18" s="69"/>
      <c r="K18" s="76"/>
      <c r="L18" s="69"/>
      <c r="M18" s="76"/>
      <c r="N18" s="69"/>
      <c r="O18" s="76">
        <f>60000</f>
        <v>60000</v>
      </c>
      <c r="P18" s="73">
        <v>4200</v>
      </c>
      <c r="Q18" s="7">
        <f t="shared" si="1"/>
        <v>64200</v>
      </c>
      <c r="R18" s="138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:38" s="14" customFormat="1" ht="15.95" customHeight="1" x14ac:dyDescent="0.15">
      <c r="A19" s="120" t="s">
        <v>1</v>
      </c>
      <c r="B19" s="41" t="s">
        <v>254</v>
      </c>
      <c r="C19" s="41" t="s">
        <v>425</v>
      </c>
      <c r="D19" s="41" t="s">
        <v>92</v>
      </c>
      <c r="E19" s="7">
        <v>183337</v>
      </c>
      <c r="F19" s="112">
        <v>300000</v>
      </c>
      <c r="G19" s="5">
        <v>239000</v>
      </c>
      <c r="H19" s="7"/>
      <c r="I19" s="8">
        <f t="shared" si="0"/>
        <v>244337</v>
      </c>
      <c r="J19" s="72"/>
      <c r="K19" s="76"/>
      <c r="L19" s="72">
        <v>12000</v>
      </c>
      <c r="M19" s="76"/>
      <c r="N19" s="72">
        <f>60872+47775</f>
        <v>108647</v>
      </c>
      <c r="O19" s="76">
        <f>65400+61600</f>
        <v>127000</v>
      </c>
      <c r="P19" s="73"/>
      <c r="Q19" s="7">
        <f t="shared" si="1"/>
        <v>247647</v>
      </c>
      <c r="R19" s="137">
        <f>Q19+Q20-I19-I20</f>
        <v>-1775</v>
      </c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1:38" s="14" customFormat="1" ht="15.95" customHeight="1" x14ac:dyDescent="0.15">
      <c r="A20" s="120"/>
      <c r="B20" s="41" t="s">
        <v>255</v>
      </c>
      <c r="C20" s="41" t="s">
        <v>426</v>
      </c>
      <c r="D20" s="41" t="s">
        <v>93</v>
      </c>
      <c r="E20" s="7">
        <v>250323</v>
      </c>
      <c r="F20" s="112">
        <v>225700</v>
      </c>
      <c r="G20" s="5">
        <v>239000</v>
      </c>
      <c r="H20" s="7"/>
      <c r="I20" s="8">
        <f t="shared" si="0"/>
        <v>237023</v>
      </c>
      <c r="J20" s="72"/>
      <c r="K20" s="76">
        <f>95188</f>
        <v>95188</v>
      </c>
      <c r="L20" s="72">
        <f>93700</f>
        <v>93700</v>
      </c>
      <c r="M20" s="76">
        <f>23850</f>
        <v>23850</v>
      </c>
      <c r="N20" s="72"/>
      <c r="O20" s="76">
        <f>19200</f>
        <v>19200</v>
      </c>
      <c r="P20" s="73"/>
      <c r="Q20" s="7">
        <f t="shared" si="1"/>
        <v>231938</v>
      </c>
      <c r="R20" s="138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s="14" customFormat="1" ht="15.75" customHeight="1" x14ac:dyDescent="0.15">
      <c r="A21" s="120" t="s">
        <v>55</v>
      </c>
      <c r="B21" s="40" t="s">
        <v>256</v>
      </c>
      <c r="C21" s="40" t="s">
        <v>427</v>
      </c>
      <c r="D21" s="40" t="s">
        <v>94</v>
      </c>
      <c r="E21" s="7">
        <v>0</v>
      </c>
      <c r="F21" s="5"/>
      <c r="G21" s="5"/>
      <c r="H21" s="7"/>
      <c r="I21" s="8">
        <f t="shared" ref="I21:I29" si="2">F21+E21-G21-H21</f>
        <v>0</v>
      </c>
      <c r="J21" s="69"/>
      <c r="K21" s="76"/>
      <c r="L21" s="69"/>
      <c r="M21" s="76"/>
      <c r="N21" s="69"/>
      <c r="O21" s="76"/>
      <c r="P21" s="73"/>
      <c r="Q21" s="7">
        <f t="shared" si="1"/>
        <v>0</v>
      </c>
      <c r="R21" s="121">
        <f>Q21+Q22-I21-I22</f>
        <v>0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</row>
    <row r="22" spans="1:38" s="14" customFormat="1" ht="15.95" customHeight="1" x14ac:dyDescent="0.15">
      <c r="A22" s="120"/>
      <c r="B22" s="40" t="s">
        <v>257</v>
      </c>
      <c r="C22" s="40" t="s">
        <v>428</v>
      </c>
      <c r="D22" s="40" t="s">
        <v>95</v>
      </c>
      <c r="E22" s="7">
        <v>0</v>
      </c>
      <c r="F22" s="5"/>
      <c r="G22" s="5"/>
      <c r="H22" s="7"/>
      <c r="I22" s="8">
        <f t="shared" si="2"/>
        <v>0</v>
      </c>
      <c r="J22" s="73"/>
      <c r="K22" s="79"/>
      <c r="L22" s="73"/>
      <c r="M22" s="79"/>
      <c r="N22" s="73"/>
      <c r="O22" s="79"/>
      <c r="P22" s="73"/>
      <c r="Q22" s="7">
        <f>SUM(J22:P22)</f>
        <v>0</v>
      </c>
      <c r="R22" s="121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</row>
    <row r="23" spans="1:38" s="14" customFormat="1" ht="15.95" customHeight="1" x14ac:dyDescent="0.15">
      <c r="A23" s="120" t="s">
        <v>33</v>
      </c>
      <c r="B23" s="41" t="s">
        <v>258</v>
      </c>
      <c r="C23" s="41" t="s">
        <v>429</v>
      </c>
      <c r="D23" s="41" t="s">
        <v>96</v>
      </c>
      <c r="E23" s="7">
        <v>0</v>
      </c>
      <c r="F23" s="5"/>
      <c r="G23" s="5"/>
      <c r="H23" s="7"/>
      <c r="I23" s="8">
        <f t="shared" si="2"/>
        <v>0</v>
      </c>
      <c r="J23" s="73"/>
      <c r="K23" s="79"/>
      <c r="L23" s="73"/>
      <c r="M23" s="79"/>
      <c r="N23" s="73"/>
      <c r="O23" s="79"/>
      <c r="P23" s="73"/>
      <c r="Q23" s="7">
        <f t="shared" si="1"/>
        <v>0</v>
      </c>
      <c r="R23" s="137">
        <f>Q23+Q24-I23-I24</f>
        <v>0</v>
      </c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</row>
    <row r="24" spans="1:38" s="14" customFormat="1" ht="15.95" customHeight="1" x14ac:dyDescent="0.15">
      <c r="A24" s="120"/>
      <c r="B24" s="41" t="s">
        <v>259</v>
      </c>
      <c r="C24" s="41" t="s">
        <v>430</v>
      </c>
      <c r="D24" s="41" t="s">
        <v>97</v>
      </c>
      <c r="E24" s="7">
        <v>0</v>
      </c>
      <c r="F24" s="5"/>
      <c r="G24" s="5"/>
      <c r="H24" s="7"/>
      <c r="I24" s="8">
        <f t="shared" si="2"/>
        <v>0</v>
      </c>
      <c r="J24" s="73"/>
      <c r="K24" s="79"/>
      <c r="L24" s="73"/>
      <c r="M24" s="79"/>
      <c r="N24" s="73"/>
      <c r="O24" s="79"/>
      <c r="P24" s="73"/>
      <c r="Q24" s="7">
        <f t="shared" si="1"/>
        <v>0</v>
      </c>
      <c r="R24" s="138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</row>
    <row r="25" spans="1:38" s="14" customFormat="1" ht="15.95" customHeight="1" x14ac:dyDescent="0.15">
      <c r="A25" s="120"/>
      <c r="B25" s="99"/>
      <c r="C25" s="99"/>
      <c r="D25" s="140"/>
      <c r="E25" s="7">
        <v>0</v>
      </c>
      <c r="F25" s="7"/>
      <c r="G25" s="7"/>
      <c r="H25" s="7"/>
      <c r="I25" s="8">
        <f t="shared" si="2"/>
        <v>0</v>
      </c>
      <c r="J25" s="73"/>
      <c r="K25" s="79"/>
      <c r="L25" s="73"/>
      <c r="M25" s="79"/>
      <c r="N25" s="73"/>
      <c r="O25" s="79"/>
      <c r="P25" s="73"/>
      <c r="Q25" s="7">
        <f t="shared" si="1"/>
        <v>0</v>
      </c>
      <c r="R25" s="139">
        <f>Q25+Q26-I25-I26</f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</row>
    <row r="26" spans="1:38" s="14" customFormat="1" ht="15.95" customHeight="1" x14ac:dyDescent="0.15">
      <c r="A26" s="120"/>
      <c r="B26" s="99"/>
      <c r="C26" s="99"/>
      <c r="D26" s="140"/>
      <c r="E26" s="7">
        <v>0</v>
      </c>
      <c r="F26" s="7"/>
      <c r="G26" s="7"/>
      <c r="H26" s="7"/>
      <c r="I26" s="8">
        <f t="shared" si="2"/>
        <v>0</v>
      </c>
      <c r="J26" s="73"/>
      <c r="K26" s="79"/>
      <c r="L26" s="73"/>
      <c r="M26" s="79"/>
      <c r="N26" s="73"/>
      <c r="O26" s="79"/>
      <c r="P26" s="73"/>
      <c r="Q26" s="7">
        <f t="shared" si="1"/>
        <v>0</v>
      </c>
      <c r="R26" s="139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1:38" s="14" customFormat="1" ht="15.95" customHeight="1" x14ac:dyDescent="0.15">
      <c r="A27" s="120"/>
      <c r="B27" s="99"/>
      <c r="C27" s="99"/>
      <c r="D27" s="140"/>
      <c r="E27" s="7">
        <v>0</v>
      </c>
      <c r="F27" s="7"/>
      <c r="G27" s="7"/>
      <c r="H27" s="7"/>
      <c r="I27" s="8">
        <f t="shared" si="2"/>
        <v>0</v>
      </c>
      <c r="J27" s="73"/>
      <c r="K27" s="79"/>
      <c r="L27" s="73"/>
      <c r="M27" s="79"/>
      <c r="N27" s="73"/>
      <c r="O27" s="79"/>
      <c r="P27" s="73"/>
      <c r="Q27" s="7">
        <f t="shared" si="1"/>
        <v>0</v>
      </c>
      <c r="R27" s="139">
        <f t="shared" ref="R27:R36" si="3">Q27-I27</f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</row>
    <row r="28" spans="1:38" s="14" customFormat="1" ht="15.95" customHeight="1" x14ac:dyDescent="0.15">
      <c r="A28" s="120"/>
      <c r="B28" s="99"/>
      <c r="C28" s="99"/>
      <c r="D28" s="140"/>
      <c r="E28" s="7">
        <v>0</v>
      </c>
      <c r="F28" s="7"/>
      <c r="G28" s="7"/>
      <c r="H28" s="7"/>
      <c r="I28" s="8">
        <f t="shared" si="2"/>
        <v>0</v>
      </c>
      <c r="J28" s="73"/>
      <c r="K28" s="79"/>
      <c r="L28" s="73"/>
      <c r="M28" s="79"/>
      <c r="N28" s="73"/>
      <c r="O28" s="79"/>
      <c r="P28" s="73"/>
      <c r="Q28" s="7">
        <f t="shared" si="1"/>
        <v>0</v>
      </c>
      <c r="R28" s="139">
        <f t="shared" si="3"/>
        <v>0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</row>
    <row r="29" spans="1:38" s="14" customFormat="1" ht="15.95" customHeight="1" x14ac:dyDescent="0.15">
      <c r="A29" s="120"/>
      <c r="B29" s="99"/>
      <c r="C29" s="99"/>
      <c r="D29" s="140"/>
      <c r="E29" s="7">
        <v>0</v>
      </c>
      <c r="F29" s="7"/>
      <c r="G29" s="7"/>
      <c r="H29" s="7"/>
      <c r="I29" s="8">
        <f t="shared" si="2"/>
        <v>0</v>
      </c>
      <c r="J29" s="73"/>
      <c r="K29" s="79"/>
      <c r="L29" s="73"/>
      <c r="M29" s="79"/>
      <c r="N29" s="73"/>
      <c r="O29" s="79"/>
      <c r="P29" s="73"/>
      <c r="Q29" s="7">
        <f t="shared" si="1"/>
        <v>0</v>
      </c>
      <c r="R29" s="139">
        <f t="shared" si="3"/>
        <v>0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</row>
    <row r="30" spans="1:38" s="14" customFormat="1" ht="15.95" customHeight="1" x14ac:dyDescent="0.15">
      <c r="A30" s="120"/>
      <c r="B30" s="99"/>
      <c r="C30" s="99"/>
      <c r="D30" s="140"/>
      <c r="E30" s="7">
        <v>0</v>
      </c>
      <c r="F30" s="7"/>
      <c r="G30" s="7"/>
      <c r="H30" s="7"/>
      <c r="I30" s="8">
        <f>F30+E30-G30-H30</f>
        <v>0</v>
      </c>
      <c r="J30" s="73"/>
      <c r="K30" s="79"/>
      <c r="L30" s="73"/>
      <c r="M30" s="79"/>
      <c r="N30" s="73"/>
      <c r="O30" s="79"/>
      <c r="P30" s="73"/>
      <c r="Q30" s="7">
        <f t="shared" si="1"/>
        <v>0</v>
      </c>
      <c r="R30" s="139">
        <f t="shared" si="3"/>
        <v>0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</row>
    <row r="31" spans="1:38" s="14" customFormat="1" ht="15.95" customHeight="1" x14ac:dyDescent="0.15">
      <c r="A31" s="120"/>
      <c r="B31" s="99"/>
      <c r="C31" s="99"/>
      <c r="D31" s="140"/>
      <c r="E31" s="7">
        <v>0</v>
      </c>
      <c r="F31" s="7"/>
      <c r="G31" s="7"/>
      <c r="H31" s="7"/>
      <c r="I31" s="8">
        <f t="shared" ref="I31:I36" si="4">F31+E31-G31-H31</f>
        <v>0</v>
      </c>
      <c r="J31" s="73"/>
      <c r="K31" s="79"/>
      <c r="L31" s="73"/>
      <c r="M31" s="79"/>
      <c r="N31" s="73"/>
      <c r="O31" s="79"/>
      <c r="P31" s="73"/>
      <c r="Q31" s="7">
        <f t="shared" si="1"/>
        <v>0</v>
      </c>
      <c r="R31" s="139">
        <f t="shared" si="3"/>
        <v>0</v>
      </c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</row>
    <row r="32" spans="1:38" s="14" customFormat="1" ht="15.95" customHeight="1" x14ac:dyDescent="0.15">
      <c r="A32" s="120"/>
      <c r="B32" s="99"/>
      <c r="C32" s="99"/>
      <c r="D32" s="140"/>
      <c r="E32" s="7">
        <v>0</v>
      </c>
      <c r="F32" s="7"/>
      <c r="G32" s="7"/>
      <c r="H32" s="7"/>
      <c r="I32" s="8">
        <f t="shared" si="4"/>
        <v>0</v>
      </c>
      <c r="J32" s="73"/>
      <c r="K32" s="79"/>
      <c r="L32" s="73"/>
      <c r="M32" s="79"/>
      <c r="N32" s="73"/>
      <c r="O32" s="79"/>
      <c r="P32" s="73"/>
      <c r="Q32" s="7">
        <f t="shared" si="1"/>
        <v>0</v>
      </c>
      <c r="R32" s="139">
        <f t="shared" si="3"/>
        <v>0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</row>
    <row r="33" spans="1:38" s="14" customFormat="1" ht="15.95" customHeight="1" x14ac:dyDescent="0.15">
      <c r="A33" s="120"/>
      <c r="B33" s="99"/>
      <c r="C33" s="99"/>
      <c r="D33" s="140"/>
      <c r="E33" s="7">
        <v>0</v>
      </c>
      <c r="F33" s="7"/>
      <c r="G33" s="7"/>
      <c r="H33" s="7"/>
      <c r="I33" s="8">
        <f t="shared" si="4"/>
        <v>0</v>
      </c>
      <c r="J33" s="73"/>
      <c r="K33" s="79"/>
      <c r="L33" s="73"/>
      <c r="M33" s="79"/>
      <c r="N33" s="73"/>
      <c r="O33" s="79"/>
      <c r="P33" s="73"/>
      <c r="Q33" s="7">
        <f>SUM(J33:P33)</f>
        <v>0</v>
      </c>
      <c r="R33" s="139">
        <f t="shared" si="3"/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1:38" s="14" customFormat="1" ht="15.95" customHeight="1" x14ac:dyDescent="0.15">
      <c r="A34" s="120"/>
      <c r="B34" s="99"/>
      <c r="C34" s="99"/>
      <c r="D34" s="140"/>
      <c r="E34" s="7">
        <v>0</v>
      </c>
      <c r="F34" s="7"/>
      <c r="G34" s="7"/>
      <c r="H34" s="7"/>
      <c r="I34" s="8">
        <f t="shared" si="4"/>
        <v>0</v>
      </c>
      <c r="J34" s="73"/>
      <c r="K34" s="79"/>
      <c r="L34" s="73"/>
      <c r="M34" s="79"/>
      <c r="N34" s="73"/>
      <c r="O34" s="79"/>
      <c r="P34" s="73"/>
      <c r="Q34" s="7">
        <f t="shared" si="1"/>
        <v>0</v>
      </c>
      <c r="R34" s="139">
        <f t="shared" si="3"/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1:38" s="14" customFormat="1" ht="15.95" customHeight="1" x14ac:dyDescent="0.15">
      <c r="A35" s="120"/>
      <c r="B35" s="99"/>
      <c r="C35" s="99"/>
      <c r="D35" s="140"/>
      <c r="E35" s="7">
        <v>0</v>
      </c>
      <c r="F35" s="7"/>
      <c r="G35" s="7"/>
      <c r="H35" s="7"/>
      <c r="I35" s="8">
        <f t="shared" si="4"/>
        <v>0</v>
      </c>
      <c r="J35" s="73"/>
      <c r="K35" s="79"/>
      <c r="L35" s="73"/>
      <c r="M35" s="79"/>
      <c r="N35" s="73"/>
      <c r="O35" s="79"/>
      <c r="P35" s="73"/>
      <c r="Q35" s="7">
        <f t="shared" si="1"/>
        <v>0</v>
      </c>
      <c r="R35" s="139">
        <f t="shared" si="3"/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  <row r="36" spans="1:38" s="14" customFormat="1" ht="15.95" customHeight="1" x14ac:dyDescent="0.15">
      <c r="A36" s="120"/>
      <c r="B36" s="99"/>
      <c r="C36" s="99"/>
      <c r="D36" s="140"/>
      <c r="E36" s="7">
        <v>0</v>
      </c>
      <c r="F36" s="7"/>
      <c r="G36" s="7"/>
      <c r="H36" s="7"/>
      <c r="I36" s="8">
        <f t="shared" si="4"/>
        <v>0</v>
      </c>
      <c r="J36" s="73"/>
      <c r="K36" s="79"/>
      <c r="L36" s="73"/>
      <c r="M36" s="79"/>
      <c r="N36" s="73"/>
      <c r="O36" s="79"/>
      <c r="P36" s="73"/>
      <c r="Q36" s="7">
        <f t="shared" si="1"/>
        <v>0</v>
      </c>
      <c r="R36" s="139">
        <f t="shared" si="3"/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</row>
    <row r="37" spans="1:38" s="14" customFormat="1" ht="15.95" customHeight="1" thickBot="1" x14ac:dyDescent="0.2">
      <c r="A37" s="134" t="s">
        <v>18</v>
      </c>
      <c r="B37" s="135"/>
      <c r="C37" s="135"/>
      <c r="D37" s="136"/>
      <c r="E37" s="19">
        <f>SUM(E5:E36)</f>
        <v>1693918</v>
      </c>
      <c r="F37" s="19">
        <f t="shared" ref="F37:Q37" si="5">SUM(F5:F36)</f>
        <v>1303700</v>
      </c>
      <c r="G37" s="9">
        <f>SUM(G5:G36)</f>
        <v>1268000</v>
      </c>
      <c r="H37" s="19">
        <f t="shared" si="5"/>
        <v>0</v>
      </c>
      <c r="I37" s="19">
        <f t="shared" si="5"/>
        <v>1729618</v>
      </c>
      <c r="J37" s="74">
        <f t="shared" si="5"/>
        <v>60000</v>
      </c>
      <c r="K37" s="80">
        <f t="shared" si="5"/>
        <v>397316</v>
      </c>
      <c r="L37" s="74">
        <f t="shared" si="5"/>
        <v>213700</v>
      </c>
      <c r="M37" s="80">
        <f t="shared" si="5"/>
        <v>106440</v>
      </c>
      <c r="N37" s="74">
        <f t="shared" si="5"/>
        <v>297510</v>
      </c>
      <c r="O37" s="80">
        <f t="shared" si="5"/>
        <v>625200</v>
      </c>
      <c r="P37" s="74">
        <f t="shared" si="5"/>
        <v>4200</v>
      </c>
      <c r="Q37" s="19">
        <f t="shared" si="5"/>
        <v>1704366</v>
      </c>
      <c r="R37" s="20">
        <f>SUM(R5:R36)</f>
        <v>-25252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</row>
    <row r="38" spans="1:38" s="12" customFormat="1" ht="15.95" customHeight="1" x14ac:dyDescent="0.15">
      <c r="A38" s="14" t="s">
        <v>26</v>
      </c>
      <c r="B38" s="14"/>
      <c r="C38" s="14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37"/>
      <c r="R38" s="14"/>
    </row>
    <row r="39" spans="1:38" s="15" customFormat="1" ht="15" customHeight="1" x14ac:dyDescent="0.15">
      <c r="A39" s="14" t="s">
        <v>27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 t="s">
        <v>28</v>
      </c>
      <c r="M39" s="14"/>
      <c r="N39" s="14"/>
      <c r="O39" s="14"/>
      <c r="P39" s="14"/>
      <c r="Q39" s="14" t="s">
        <v>29</v>
      </c>
      <c r="R39" s="14"/>
    </row>
    <row r="40" spans="1:38" s="16" customFormat="1" ht="15.95" customHeight="1" x14ac:dyDescent="0.15">
      <c r="A40" s="17"/>
      <c r="B40" s="17"/>
      <c r="C40" s="17"/>
      <c r="D40" s="23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37"/>
      <c r="R40" s="17"/>
    </row>
    <row r="41" spans="1:38" s="16" customFormat="1" ht="14.25" x14ac:dyDescent="0.15">
      <c r="A41" s="17"/>
      <c r="B41" s="17"/>
      <c r="C41" s="17"/>
      <c r="D41" s="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37"/>
      <c r="R41" s="17"/>
    </row>
    <row r="42" spans="1:38" s="16" customFormat="1" ht="14.25" x14ac:dyDescent="0.15">
      <c r="A42" s="17"/>
      <c r="B42" s="17"/>
      <c r="C42" s="17"/>
      <c r="D42" s="23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37"/>
      <c r="R42" s="17"/>
    </row>
    <row r="43" spans="1:38" s="16" customFormat="1" ht="14.25" x14ac:dyDescent="0.15">
      <c r="A43" s="17"/>
      <c r="B43" s="17"/>
      <c r="C43" s="17"/>
      <c r="D43" s="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37"/>
      <c r="R43" s="17"/>
    </row>
    <row r="44" spans="1:38" s="16" customFormat="1" ht="14.25" x14ac:dyDescent="0.15">
      <c r="A44" s="17"/>
      <c r="B44" s="17"/>
      <c r="C44" s="17"/>
      <c r="D44" s="23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37"/>
      <c r="R44" s="17"/>
    </row>
    <row r="45" spans="1:38" s="16" customFormat="1" ht="14.25" x14ac:dyDescent="0.15">
      <c r="A45" s="17"/>
      <c r="B45" s="17"/>
      <c r="C45" s="17"/>
      <c r="D45" s="23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38" s="16" customFormat="1" ht="14.25" x14ac:dyDescent="0.15">
      <c r="D46" s="33"/>
    </row>
    <row r="47" spans="1:38" s="36" customFormat="1" x14ac:dyDescent="0.15">
      <c r="D47" s="35"/>
    </row>
    <row r="48" spans="1:38" s="16" customFormat="1" ht="14.25" x14ac:dyDescent="0.15">
      <c r="D48" s="33"/>
    </row>
    <row r="49" spans="4:6" s="16" customFormat="1" ht="14.25" x14ac:dyDescent="0.15">
      <c r="D49" s="33"/>
      <c r="F49" s="16">
        <v>8000</v>
      </c>
    </row>
    <row r="50" spans="4:6" s="16" customFormat="1" ht="14.25" x14ac:dyDescent="0.15">
      <c r="D50" s="33"/>
    </row>
    <row r="51" spans="4:6" s="16" customFormat="1" ht="14.25" x14ac:dyDescent="0.15">
      <c r="D51" s="33"/>
    </row>
    <row r="52" spans="4:6" s="16" customFormat="1" ht="14.25" x14ac:dyDescent="0.15">
      <c r="D52" s="33"/>
    </row>
    <row r="53" spans="4:6" s="16" customFormat="1" ht="14.25" x14ac:dyDescent="0.15">
      <c r="D53" s="33"/>
    </row>
    <row r="54" spans="4:6" s="16" customFormat="1" ht="14.25" x14ac:dyDescent="0.15">
      <c r="D54" s="33"/>
    </row>
    <row r="55" spans="4:6" s="16" customFormat="1" ht="14.25" x14ac:dyDescent="0.15">
      <c r="D55" s="33"/>
    </row>
    <row r="56" spans="4:6" s="16" customFormat="1" ht="14.25" x14ac:dyDescent="0.15">
      <c r="D56" s="33"/>
    </row>
    <row r="57" spans="4:6" s="16" customFormat="1" ht="14.25" x14ac:dyDescent="0.15">
      <c r="D57" s="33"/>
    </row>
    <row r="58" spans="4:6" s="16" customFormat="1" ht="14.25" x14ac:dyDescent="0.15">
      <c r="D58" s="33"/>
    </row>
    <row r="59" spans="4:6" s="16" customFormat="1" ht="14.25" x14ac:dyDescent="0.15">
      <c r="D59" s="33"/>
    </row>
    <row r="60" spans="4:6" s="16" customFormat="1" ht="14.25" x14ac:dyDescent="0.15">
      <c r="D60" s="33"/>
    </row>
    <row r="61" spans="4:6" s="16" customFormat="1" ht="14.25" x14ac:dyDescent="0.15">
      <c r="D61" s="33"/>
    </row>
    <row r="62" spans="4:6" s="16" customFormat="1" ht="14.25" x14ac:dyDescent="0.15">
      <c r="D62" s="33"/>
    </row>
    <row r="63" spans="4:6" s="16" customFormat="1" ht="14.25" x14ac:dyDescent="0.15">
      <c r="D63" s="33"/>
    </row>
    <row r="64" spans="4:6" s="16" customFormat="1" ht="14.25" x14ac:dyDescent="0.15">
      <c r="D64" s="33"/>
    </row>
    <row r="65" spans="4:4" s="16" customFormat="1" ht="14.25" x14ac:dyDescent="0.15">
      <c r="D65" s="33"/>
    </row>
    <row r="66" spans="4:4" s="16" customFormat="1" ht="14.25" x14ac:dyDescent="0.15">
      <c r="D66" s="33"/>
    </row>
    <row r="67" spans="4:4" s="16" customFormat="1" ht="14.25" x14ac:dyDescent="0.15">
      <c r="D67" s="33"/>
    </row>
    <row r="68" spans="4:4" s="16" customFormat="1" ht="14.25" x14ac:dyDescent="0.15">
      <c r="D68" s="33"/>
    </row>
    <row r="69" spans="4:4" s="16" customFormat="1" ht="14.25" x14ac:dyDescent="0.15">
      <c r="D69" s="33"/>
    </row>
    <row r="70" spans="4:4" s="16" customFormat="1" ht="14.25" x14ac:dyDescent="0.15">
      <c r="D70" s="33"/>
    </row>
    <row r="71" spans="4:4" s="16" customFormat="1" ht="14.25" x14ac:dyDescent="0.15">
      <c r="D71" s="33"/>
    </row>
    <row r="72" spans="4:4" s="16" customFormat="1" ht="14.25" x14ac:dyDescent="0.15">
      <c r="D72" s="33"/>
    </row>
    <row r="73" spans="4:4" s="16" customFormat="1" ht="14.25" x14ac:dyDescent="0.15">
      <c r="D73" s="33"/>
    </row>
    <row r="74" spans="4:4" s="16" customFormat="1" ht="14.25" x14ac:dyDescent="0.15">
      <c r="D74" s="33"/>
    </row>
    <row r="75" spans="4:4" s="16" customFormat="1" ht="14.25" x14ac:dyDescent="0.15">
      <c r="D75" s="33"/>
    </row>
    <row r="76" spans="4:4" s="16" customFormat="1" ht="14.25" x14ac:dyDescent="0.15">
      <c r="D76" s="33"/>
    </row>
    <row r="77" spans="4:4" s="16" customFormat="1" ht="14.25" x14ac:dyDescent="0.15">
      <c r="D77" s="33"/>
    </row>
    <row r="78" spans="4:4" s="16" customFormat="1" ht="14.25" x14ac:dyDescent="0.15">
      <c r="D78" s="33"/>
    </row>
    <row r="79" spans="4:4" s="16" customFormat="1" ht="14.25" x14ac:dyDescent="0.15">
      <c r="D79" s="33"/>
    </row>
    <row r="80" spans="4:4" s="16" customFormat="1" ht="14.25" x14ac:dyDescent="0.15">
      <c r="D80" s="33"/>
    </row>
    <row r="81" spans="4:4" s="16" customFormat="1" ht="14.25" x14ac:dyDescent="0.15">
      <c r="D81" s="33"/>
    </row>
    <row r="82" spans="4:4" s="16" customFormat="1" ht="14.25" x14ac:dyDescent="0.15">
      <c r="D82" s="33"/>
    </row>
    <row r="83" spans="4:4" s="16" customFormat="1" ht="14.25" x14ac:dyDescent="0.15">
      <c r="D83" s="33"/>
    </row>
    <row r="84" spans="4:4" s="16" customFormat="1" ht="14.25" x14ac:dyDescent="0.15">
      <c r="D84" s="33"/>
    </row>
    <row r="85" spans="4:4" s="16" customFormat="1" ht="14.25" x14ac:dyDescent="0.15">
      <c r="D85" s="33"/>
    </row>
    <row r="86" spans="4:4" s="16" customFormat="1" ht="14.25" x14ac:dyDescent="0.15">
      <c r="D86" s="33"/>
    </row>
    <row r="87" spans="4:4" s="16" customFormat="1" ht="14.25" x14ac:dyDescent="0.15">
      <c r="D87" s="33"/>
    </row>
    <row r="88" spans="4:4" s="16" customFormat="1" ht="14.25" x14ac:dyDescent="0.15">
      <c r="D88" s="33"/>
    </row>
    <row r="89" spans="4:4" s="16" customFormat="1" ht="14.25" x14ac:dyDescent="0.15">
      <c r="D89" s="33"/>
    </row>
    <row r="90" spans="4:4" s="16" customFormat="1" ht="14.25" x14ac:dyDescent="0.15">
      <c r="D90" s="33"/>
    </row>
    <row r="91" spans="4:4" s="16" customFormat="1" ht="14.25" x14ac:dyDescent="0.15">
      <c r="D91" s="33"/>
    </row>
    <row r="92" spans="4:4" s="16" customFormat="1" ht="14.25" x14ac:dyDescent="0.15">
      <c r="D92" s="33"/>
    </row>
    <row r="93" spans="4:4" s="16" customFormat="1" ht="14.25" x14ac:dyDescent="0.15">
      <c r="D93" s="33"/>
    </row>
    <row r="94" spans="4:4" s="16" customFormat="1" ht="14.25" x14ac:dyDescent="0.15">
      <c r="D94" s="33"/>
    </row>
    <row r="95" spans="4:4" s="16" customFormat="1" ht="14.25" x14ac:dyDescent="0.15">
      <c r="D95" s="33"/>
    </row>
    <row r="96" spans="4:4" s="16" customFormat="1" ht="14.25" x14ac:dyDescent="0.15">
      <c r="D96" s="33"/>
    </row>
    <row r="97" spans="4:4" s="16" customFormat="1" ht="14.25" x14ac:dyDescent="0.15">
      <c r="D97" s="33"/>
    </row>
    <row r="98" spans="4:4" s="16" customFormat="1" ht="14.25" x14ac:dyDescent="0.15">
      <c r="D98" s="33"/>
    </row>
    <row r="99" spans="4:4" s="16" customFormat="1" ht="14.25" x14ac:dyDescent="0.15">
      <c r="D99" s="33"/>
    </row>
    <row r="100" spans="4:4" s="16" customFormat="1" ht="14.25" x14ac:dyDescent="0.15">
      <c r="D100" s="33"/>
    </row>
    <row r="101" spans="4:4" s="16" customFormat="1" ht="14.25" x14ac:dyDescent="0.15">
      <c r="D101" s="33"/>
    </row>
    <row r="102" spans="4:4" s="16" customFormat="1" ht="14.25" x14ac:dyDescent="0.15">
      <c r="D102" s="33"/>
    </row>
    <row r="103" spans="4:4" s="16" customFormat="1" ht="14.25" x14ac:dyDescent="0.15">
      <c r="D103" s="33"/>
    </row>
    <row r="104" spans="4:4" s="16" customFormat="1" ht="14.25" x14ac:dyDescent="0.15">
      <c r="D104" s="33"/>
    </row>
    <row r="105" spans="4:4" s="16" customFormat="1" ht="14.25" x14ac:dyDescent="0.15">
      <c r="D105" s="33"/>
    </row>
    <row r="106" spans="4:4" s="16" customFormat="1" ht="14.25" x14ac:dyDescent="0.15">
      <c r="D106" s="33"/>
    </row>
    <row r="107" spans="4:4" s="16" customFormat="1" ht="14.25" x14ac:dyDescent="0.15">
      <c r="D107" s="33"/>
    </row>
    <row r="108" spans="4:4" s="16" customFormat="1" ht="14.25" x14ac:dyDescent="0.15">
      <c r="D108" s="33"/>
    </row>
    <row r="109" spans="4:4" s="16" customFormat="1" ht="14.25" x14ac:dyDescent="0.15">
      <c r="D109" s="33"/>
    </row>
    <row r="110" spans="4:4" s="16" customFormat="1" ht="14.25" x14ac:dyDescent="0.15">
      <c r="D110" s="33"/>
    </row>
    <row r="111" spans="4:4" s="16" customFormat="1" ht="14.25" x14ac:dyDescent="0.15">
      <c r="D111" s="33"/>
    </row>
    <row r="112" spans="4:4" s="16" customFormat="1" ht="14.25" x14ac:dyDescent="0.15">
      <c r="D112" s="33"/>
    </row>
    <row r="113" spans="4:4" s="16" customFormat="1" ht="14.25" x14ac:dyDescent="0.15">
      <c r="D113" s="33"/>
    </row>
    <row r="114" spans="4:4" s="16" customFormat="1" ht="14.25" x14ac:dyDescent="0.15">
      <c r="D114" s="33"/>
    </row>
    <row r="115" spans="4:4" s="24" customFormat="1" ht="14.25" x14ac:dyDescent="0.25">
      <c r="D115" s="34"/>
    </row>
    <row r="116" spans="4:4" s="24" customFormat="1" ht="14.25" x14ac:dyDescent="0.25">
      <c r="D116" s="34"/>
    </row>
    <row r="117" spans="4:4" s="24" customFormat="1" ht="14.25" x14ac:dyDescent="0.25">
      <c r="D117" s="34"/>
    </row>
    <row r="118" spans="4:4" s="24" customFormat="1" ht="14.25" x14ac:dyDescent="0.25">
      <c r="D118" s="34"/>
    </row>
    <row r="119" spans="4:4" s="24" customFormat="1" ht="14.25" x14ac:dyDescent="0.25">
      <c r="D119" s="34"/>
    </row>
    <row r="120" spans="4:4" s="24" customFormat="1" ht="14.25" x14ac:dyDescent="0.25">
      <c r="D120" s="34"/>
    </row>
    <row r="121" spans="4:4" s="24" customFormat="1" ht="14.25" x14ac:dyDescent="0.25">
      <c r="D121" s="34"/>
    </row>
    <row r="122" spans="4:4" s="24" customFormat="1" ht="14.25" x14ac:dyDescent="0.25">
      <c r="D122" s="34"/>
    </row>
    <row r="123" spans="4:4" s="24" customFormat="1" ht="14.25" x14ac:dyDescent="0.25">
      <c r="D123" s="34"/>
    </row>
    <row r="124" spans="4:4" s="24" customFormat="1" ht="14.25" x14ac:dyDescent="0.25">
      <c r="D124" s="34"/>
    </row>
    <row r="125" spans="4:4" s="24" customFormat="1" ht="14.25" x14ac:dyDescent="0.25">
      <c r="D125" s="34"/>
    </row>
    <row r="126" spans="4:4" s="24" customFormat="1" ht="14.25" x14ac:dyDescent="0.25">
      <c r="D126" s="34"/>
    </row>
    <row r="127" spans="4:4" s="2" customFormat="1" ht="14.25" x14ac:dyDescent="0.25">
      <c r="D127" s="10"/>
    </row>
    <row r="128" spans="4:4" s="2" customFormat="1" ht="14.25" x14ac:dyDescent="0.25">
      <c r="D128" s="10"/>
    </row>
    <row r="129" spans="4:4" s="2" customFormat="1" ht="14.25" x14ac:dyDescent="0.25">
      <c r="D129" s="10"/>
    </row>
    <row r="130" spans="4:4" s="2" customFormat="1" ht="14.25" x14ac:dyDescent="0.25">
      <c r="D130" s="10"/>
    </row>
    <row r="131" spans="4:4" s="2" customFormat="1" ht="14.25" x14ac:dyDescent="0.25">
      <c r="D131" s="10"/>
    </row>
    <row r="132" spans="4:4" s="2" customFormat="1" ht="14.25" x14ac:dyDescent="0.25">
      <c r="D132" s="10"/>
    </row>
    <row r="133" spans="4:4" s="2" customFormat="1" ht="14.25" x14ac:dyDescent="0.25">
      <c r="D133" s="10"/>
    </row>
    <row r="134" spans="4:4" s="2" customFormat="1" ht="14.25" x14ac:dyDescent="0.25">
      <c r="D134" s="10"/>
    </row>
    <row r="135" spans="4:4" s="2" customFormat="1" ht="14.25" x14ac:dyDescent="0.25">
      <c r="D135" s="10"/>
    </row>
    <row r="136" spans="4:4" s="2" customFormat="1" ht="14.25" x14ac:dyDescent="0.25">
      <c r="D136" s="10"/>
    </row>
    <row r="137" spans="4:4" s="2" customFormat="1" ht="14.25" x14ac:dyDescent="0.25">
      <c r="D137" s="10"/>
    </row>
    <row r="138" spans="4:4" s="2" customFormat="1" ht="14.25" x14ac:dyDescent="0.25">
      <c r="D138" s="10"/>
    </row>
    <row r="139" spans="4:4" s="2" customFormat="1" ht="14.25" x14ac:dyDescent="0.25">
      <c r="D139" s="10"/>
    </row>
    <row r="140" spans="4:4" s="2" customFormat="1" ht="14.25" x14ac:dyDescent="0.25">
      <c r="D140" s="10"/>
    </row>
    <row r="141" spans="4:4" s="2" customFormat="1" ht="14.25" x14ac:dyDescent="0.25">
      <c r="D141" s="10"/>
    </row>
    <row r="142" spans="4:4" s="2" customFormat="1" ht="14.25" x14ac:dyDescent="0.25">
      <c r="D142" s="10"/>
    </row>
    <row r="143" spans="4:4" s="2" customFormat="1" ht="14.25" x14ac:dyDescent="0.25">
      <c r="D143" s="10"/>
    </row>
    <row r="144" spans="4:4" s="2" customFormat="1" ht="14.25" x14ac:dyDescent="0.25">
      <c r="D144" s="10"/>
    </row>
    <row r="145" spans="4:4" s="2" customFormat="1" ht="14.25" x14ac:dyDescent="0.25">
      <c r="D145" s="10"/>
    </row>
    <row r="146" spans="4:4" s="2" customFormat="1" ht="14.25" x14ac:dyDescent="0.25">
      <c r="D146" s="10"/>
    </row>
    <row r="147" spans="4:4" s="2" customFormat="1" ht="14.25" x14ac:dyDescent="0.25">
      <c r="D147" s="10"/>
    </row>
    <row r="148" spans="4:4" s="2" customFormat="1" ht="14.25" x14ac:dyDescent="0.25">
      <c r="D148" s="10"/>
    </row>
    <row r="149" spans="4:4" s="2" customFormat="1" ht="14.25" x14ac:dyDescent="0.25">
      <c r="D149" s="10"/>
    </row>
    <row r="150" spans="4:4" s="2" customFormat="1" ht="14.25" x14ac:dyDescent="0.25">
      <c r="D150" s="10"/>
    </row>
    <row r="151" spans="4:4" s="2" customFormat="1" ht="14.25" x14ac:dyDescent="0.25">
      <c r="D151" s="10"/>
    </row>
    <row r="152" spans="4:4" s="2" customFormat="1" ht="14.25" x14ac:dyDescent="0.25">
      <c r="D152" s="10"/>
    </row>
    <row r="153" spans="4:4" s="2" customFormat="1" ht="14.25" x14ac:dyDescent="0.25">
      <c r="D153" s="10"/>
    </row>
    <row r="154" spans="4:4" s="2" customFormat="1" ht="14.25" x14ac:dyDescent="0.25">
      <c r="D154" s="10"/>
    </row>
    <row r="155" spans="4:4" s="2" customFormat="1" ht="14.25" x14ac:dyDescent="0.25">
      <c r="D155" s="10"/>
    </row>
    <row r="156" spans="4:4" s="2" customFormat="1" ht="14.25" x14ac:dyDescent="0.25">
      <c r="D156" s="10"/>
    </row>
    <row r="157" spans="4:4" s="2" customFormat="1" ht="14.25" x14ac:dyDescent="0.25">
      <c r="D157" s="10"/>
    </row>
    <row r="158" spans="4:4" s="2" customFormat="1" ht="14.25" x14ac:dyDescent="0.25">
      <c r="D158" s="10"/>
    </row>
    <row r="159" spans="4:4" s="2" customFormat="1" ht="14.25" x14ac:dyDescent="0.25">
      <c r="D159" s="10"/>
    </row>
    <row r="160" spans="4:4" s="2" customFormat="1" ht="14.25" x14ac:dyDescent="0.25">
      <c r="D160" s="10"/>
    </row>
    <row r="161" spans="4:4" s="2" customFormat="1" ht="14.25" x14ac:dyDescent="0.25">
      <c r="D161" s="10"/>
    </row>
    <row r="162" spans="4:4" s="2" customFormat="1" ht="14.25" x14ac:dyDescent="0.25">
      <c r="D162" s="10"/>
    </row>
    <row r="163" spans="4:4" s="2" customFormat="1" ht="14.25" x14ac:dyDescent="0.25">
      <c r="D163" s="10"/>
    </row>
    <row r="164" spans="4:4" s="2" customFormat="1" ht="14.25" x14ac:dyDescent="0.25">
      <c r="D164" s="10"/>
    </row>
    <row r="165" spans="4:4" s="2" customFormat="1" ht="14.25" x14ac:dyDescent="0.25">
      <c r="D165" s="10"/>
    </row>
    <row r="166" spans="4:4" s="2" customFormat="1" ht="14.25" x14ac:dyDescent="0.25">
      <c r="D166" s="10"/>
    </row>
    <row r="167" spans="4:4" s="2" customFormat="1" ht="14.25" x14ac:dyDescent="0.25">
      <c r="D167" s="10"/>
    </row>
    <row r="168" spans="4:4" s="2" customFormat="1" ht="14.25" x14ac:dyDescent="0.25">
      <c r="D168" s="10"/>
    </row>
    <row r="169" spans="4:4" s="2" customFormat="1" ht="14.25" x14ac:dyDescent="0.25">
      <c r="D169" s="10"/>
    </row>
    <row r="170" spans="4:4" s="2" customFormat="1" ht="14.25" x14ac:dyDescent="0.25">
      <c r="D170" s="10"/>
    </row>
    <row r="171" spans="4:4" s="2" customFormat="1" ht="14.25" x14ac:dyDescent="0.25">
      <c r="D171" s="10"/>
    </row>
    <row r="172" spans="4:4" s="2" customFormat="1" ht="14.25" x14ac:dyDescent="0.25">
      <c r="D172" s="10"/>
    </row>
    <row r="173" spans="4:4" s="2" customFormat="1" ht="14.25" x14ac:dyDescent="0.25">
      <c r="D173" s="10"/>
    </row>
    <row r="174" spans="4:4" s="2" customFormat="1" ht="14.25" x14ac:dyDescent="0.25">
      <c r="D174" s="10"/>
    </row>
    <row r="175" spans="4:4" s="2" customFormat="1" ht="14.25" x14ac:dyDescent="0.25">
      <c r="D175" s="10"/>
    </row>
    <row r="176" spans="4:4" s="2" customFormat="1" ht="14.25" x14ac:dyDescent="0.25">
      <c r="D176" s="10"/>
    </row>
    <row r="177" spans="4:4" s="2" customFormat="1" ht="14.25" x14ac:dyDescent="0.25">
      <c r="D177" s="10"/>
    </row>
    <row r="178" spans="4:4" s="2" customFormat="1" ht="14.25" x14ac:dyDescent="0.25">
      <c r="D178" s="10"/>
    </row>
    <row r="179" spans="4:4" s="2" customFormat="1" ht="14.25" x14ac:dyDescent="0.25">
      <c r="D179" s="10"/>
    </row>
    <row r="180" spans="4:4" s="2" customFormat="1" ht="14.25" x14ac:dyDescent="0.25">
      <c r="D180" s="10"/>
    </row>
    <row r="181" spans="4:4" s="2" customFormat="1" ht="14.25" x14ac:dyDescent="0.25">
      <c r="D181" s="10"/>
    </row>
    <row r="182" spans="4:4" s="2" customFormat="1" ht="14.25" x14ac:dyDescent="0.25">
      <c r="D182" s="10"/>
    </row>
    <row r="183" spans="4:4" s="2" customFormat="1" ht="14.25" x14ac:dyDescent="0.25">
      <c r="D183" s="10"/>
    </row>
    <row r="184" spans="4:4" s="2" customFormat="1" ht="14.25" x14ac:dyDescent="0.25">
      <c r="D184" s="10"/>
    </row>
    <row r="185" spans="4:4" s="2" customFormat="1" ht="14.25" x14ac:dyDescent="0.25">
      <c r="D185" s="10"/>
    </row>
    <row r="186" spans="4:4" s="2" customFormat="1" ht="14.25" x14ac:dyDescent="0.25">
      <c r="D186" s="10"/>
    </row>
    <row r="187" spans="4:4" s="2" customFormat="1" ht="14.25" x14ac:dyDescent="0.25">
      <c r="D187" s="10"/>
    </row>
    <row r="188" spans="4:4" s="2" customFormat="1" ht="14.25" x14ac:dyDescent="0.25">
      <c r="D188" s="10"/>
    </row>
    <row r="189" spans="4:4" s="2" customFormat="1" ht="14.25" x14ac:dyDescent="0.25">
      <c r="D189" s="10"/>
    </row>
    <row r="190" spans="4:4" s="2" customFormat="1" ht="14.25" x14ac:dyDescent="0.25">
      <c r="D190" s="10"/>
    </row>
    <row r="191" spans="4:4" s="2" customFormat="1" ht="14.25" x14ac:dyDescent="0.25">
      <c r="D191" s="10"/>
    </row>
    <row r="192" spans="4:4" s="2" customFormat="1" ht="14.25" x14ac:dyDescent="0.25">
      <c r="D192" s="10"/>
    </row>
    <row r="193" spans="4:4" s="2" customFormat="1" ht="14.25" x14ac:dyDescent="0.25">
      <c r="D193" s="10"/>
    </row>
    <row r="194" spans="4:4" s="2" customFormat="1" ht="14.25" x14ac:dyDescent="0.25">
      <c r="D194" s="10"/>
    </row>
    <row r="195" spans="4:4" s="2" customFormat="1" ht="14.25" x14ac:dyDescent="0.25">
      <c r="D195" s="10"/>
    </row>
    <row r="196" spans="4:4" s="2" customFormat="1" ht="14.25" x14ac:dyDescent="0.25">
      <c r="D196" s="10"/>
    </row>
    <row r="197" spans="4:4" s="2" customFormat="1" ht="14.25" x14ac:dyDescent="0.25">
      <c r="D197" s="10"/>
    </row>
    <row r="198" spans="4:4" s="2" customFormat="1" ht="14.25" x14ac:dyDescent="0.25">
      <c r="D198" s="10"/>
    </row>
    <row r="199" spans="4:4" s="2" customFormat="1" ht="14.25" x14ac:dyDescent="0.25">
      <c r="D199" s="10"/>
    </row>
    <row r="200" spans="4:4" s="2" customFormat="1" ht="14.25" x14ac:dyDescent="0.25">
      <c r="D200" s="10"/>
    </row>
    <row r="201" spans="4:4" s="2" customFormat="1" ht="14.25" x14ac:dyDescent="0.25">
      <c r="D201" s="10"/>
    </row>
    <row r="202" spans="4:4" s="2" customFormat="1" ht="14.25" x14ac:dyDescent="0.25">
      <c r="D202" s="10"/>
    </row>
    <row r="203" spans="4:4" s="2" customFormat="1" ht="14.25" x14ac:dyDescent="0.25">
      <c r="D203" s="10"/>
    </row>
    <row r="204" spans="4:4" s="2" customFormat="1" ht="14.25" x14ac:dyDescent="0.25">
      <c r="D204" s="10"/>
    </row>
    <row r="205" spans="4:4" s="2" customFormat="1" ht="14.25" x14ac:dyDescent="0.25">
      <c r="D205" s="10"/>
    </row>
    <row r="206" spans="4:4" s="2" customFormat="1" ht="14.25" x14ac:dyDescent="0.25">
      <c r="D206" s="10"/>
    </row>
    <row r="207" spans="4:4" s="2" customFormat="1" ht="14.25" x14ac:dyDescent="0.25">
      <c r="D207" s="10"/>
    </row>
    <row r="208" spans="4:4" s="2" customFormat="1" ht="14.25" x14ac:dyDescent="0.25">
      <c r="D208" s="10"/>
    </row>
    <row r="209" spans="4:4" s="2" customFormat="1" ht="14.25" x14ac:dyDescent="0.25">
      <c r="D209" s="10"/>
    </row>
    <row r="210" spans="4:4" s="2" customFormat="1" ht="14.25" x14ac:dyDescent="0.25">
      <c r="D210" s="10"/>
    </row>
    <row r="211" spans="4:4" s="2" customFormat="1" ht="14.25" x14ac:dyDescent="0.25">
      <c r="D211" s="10"/>
    </row>
    <row r="212" spans="4:4" s="2" customFormat="1" ht="14.25" x14ac:dyDescent="0.25">
      <c r="D212" s="10"/>
    </row>
    <row r="213" spans="4:4" s="2" customFormat="1" ht="14.25" x14ac:dyDescent="0.25">
      <c r="D213" s="10"/>
    </row>
    <row r="214" spans="4:4" s="2" customFormat="1" ht="14.25" x14ac:dyDescent="0.25">
      <c r="D214" s="10"/>
    </row>
    <row r="215" spans="4:4" s="2" customFormat="1" ht="14.25" x14ac:dyDescent="0.25">
      <c r="D215" s="10"/>
    </row>
    <row r="216" spans="4:4" s="2" customFormat="1" ht="14.25" x14ac:dyDescent="0.25">
      <c r="D216" s="10"/>
    </row>
    <row r="217" spans="4:4" s="2" customFormat="1" ht="14.25" x14ac:dyDescent="0.25">
      <c r="D217" s="10"/>
    </row>
    <row r="218" spans="4:4" s="2" customFormat="1" ht="14.25" x14ac:dyDescent="0.25">
      <c r="D218" s="10"/>
    </row>
    <row r="219" spans="4:4" s="2" customFormat="1" ht="14.25" x14ac:dyDescent="0.25">
      <c r="D219" s="10"/>
    </row>
    <row r="220" spans="4:4" s="2" customFormat="1" ht="14.25" x14ac:dyDescent="0.25">
      <c r="D220" s="10"/>
    </row>
    <row r="221" spans="4:4" s="2" customFormat="1" ht="14.25" x14ac:dyDescent="0.25">
      <c r="D221" s="10"/>
    </row>
    <row r="222" spans="4:4" s="2" customFormat="1" ht="14.25" x14ac:dyDescent="0.25">
      <c r="D222" s="10"/>
    </row>
    <row r="223" spans="4:4" s="2" customFormat="1" ht="14.25" x14ac:dyDescent="0.25">
      <c r="D223" s="10"/>
    </row>
    <row r="224" spans="4:4" s="2" customFormat="1" ht="14.25" x14ac:dyDescent="0.25">
      <c r="D224" s="10"/>
    </row>
    <row r="225" spans="4:4" s="2" customFormat="1" ht="14.25" x14ac:dyDescent="0.25">
      <c r="D225" s="10"/>
    </row>
    <row r="226" spans="4:4" s="2" customFormat="1" ht="14.25" x14ac:dyDescent="0.25">
      <c r="D226" s="10"/>
    </row>
    <row r="227" spans="4:4" s="2" customFormat="1" ht="14.25" x14ac:dyDescent="0.25">
      <c r="D227" s="10"/>
    </row>
    <row r="228" spans="4:4" s="2" customFormat="1" ht="14.25" x14ac:dyDescent="0.25">
      <c r="D228" s="10"/>
    </row>
    <row r="229" spans="4:4" s="2" customFormat="1" ht="14.25" x14ac:dyDescent="0.25">
      <c r="D229" s="10"/>
    </row>
    <row r="230" spans="4:4" s="2" customFormat="1" ht="14.25" x14ac:dyDescent="0.25">
      <c r="D230" s="10"/>
    </row>
    <row r="231" spans="4:4" s="2" customFormat="1" ht="14.25" x14ac:dyDescent="0.25">
      <c r="D231" s="10"/>
    </row>
    <row r="232" spans="4:4" s="2" customFormat="1" ht="14.25" x14ac:dyDescent="0.25">
      <c r="D232" s="10"/>
    </row>
    <row r="233" spans="4:4" s="2" customFormat="1" ht="14.25" x14ac:dyDescent="0.25">
      <c r="D233" s="10"/>
    </row>
    <row r="234" spans="4:4" s="2" customFormat="1" ht="14.25" x14ac:dyDescent="0.25">
      <c r="D234" s="10"/>
    </row>
    <row r="235" spans="4:4" s="2" customFormat="1" ht="14.25" x14ac:dyDescent="0.25">
      <c r="D235" s="10"/>
    </row>
    <row r="236" spans="4:4" s="2" customFormat="1" ht="14.25" x14ac:dyDescent="0.25">
      <c r="D236" s="10"/>
    </row>
    <row r="237" spans="4:4" s="2" customFormat="1" ht="14.25" x14ac:dyDescent="0.25">
      <c r="D237" s="10"/>
    </row>
    <row r="238" spans="4:4" s="2" customFormat="1" ht="14.25" x14ac:dyDescent="0.25">
      <c r="D238" s="10"/>
    </row>
    <row r="239" spans="4:4" s="2" customFormat="1" ht="14.25" x14ac:dyDescent="0.25">
      <c r="D239" s="10"/>
    </row>
    <row r="240" spans="4:4" s="2" customFormat="1" ht="14.25" x14ac:dyDescent="0.25">
      <c r="D240" s="10"/>
    </row>
    <row r="241" spans="4:4" s="2" customFormat="1" ht="14.25" x14ac:dyDescent="0.25">
      <c r="D241" s="10"/>
    </row>
    <row r="242" spans="4:4" s="2" customFormat="1" ht="14.25" x14ac:dyDescent="0.25">
      <c r="D242" s="10"/>
    </row>
    <row r="243" spans="4:4" s="2" customFormat="1" ht="14.25" x14ac:dyDescent="0.25">
      <c r="D243" s="10"/>
    </row>
    <row r="244" spans="4:4" s="2" customFormat="1" ht="14.25" x14ac:dyDescent="0.25">
      <c r="D244" s="10"/>
    </row>
    <row r="245" spans="4:4" s="2" customFormat="1" ht="14.25" x14ac:dyDescent="0.25">
      <c r="D245" s="10"/>
    </row>
    <row r="246" spans="4:4" s="2" customFormat="1" ht="14.25" x14ac:dyDescent="0.25">
      <c r="D246" s="10"/>
    </row>
    <row r="247" spans="4:4" s="2" customFormat="1" ht="14.25" x14ac:dyDescent="0.25">
      <c r="D247" s="10"/>
    </row>
    <row r="248" spans="4:4" s="2" customFormat="1" ht="14.25" x14ac:dyDescent="0.25">
      <c r="D248" s="10"/>
    </row>
    <row r="249" spans="4:4" s="2" customFormat="1" ht="14.25" x14ac:dyDescent="0.25">
      <c r="D249" s="10"/>
    </row>
    <row r="250" spans="4:4" s="2" customFormat="1" ht="14.25" x14ac:dyDescent="0.25">
      <c r="D250" s="10"/>
    </row>
    <row r="251" spans="4:4" s="2" customFormat="1" ht="14.25" x14ac:dyDescent="0.25">
      <c r="D251" s="10"/>
    </row>
    <row r="252" spans="4:4" s="2" customFormat="1" ht="14.25" x14ac:dyDescent="0.25">
      <c r="D252" s="10"/>
    </row>
    <row r="253" spans="4:4" s="2" customFormat="1" ht="14.25" x14ac:dyDescent="0.25">
      <c r="D253" s="10"/>
    </row>
    <row r="254" spans="4:4" s="2" customFormat="1" ht="14.25" x14ac:dyDescent="0.25">
      <c r="D254" s="10"/>
    </row>
    <row r="255" spans="4:4" s="2" customFormat="1" ht="14.25" x14ac:dyDescent="0.25">
      <c r="D255" s="10"/>
    </row>
    <row r="256" spans="4:4" s="2" customFormat="1" ht="14.25" x14ac:dyDescent="0.25">
      <c r="D256" s="10"/>
    </row>
    <row r="257" spans="4:4" s="2" customFormat="1" ht="14.25" x14ac:dyDescent="0.25">
      <c r="D257" s="10"/>
    </row>
    <row r="258" spans="4:4" s="2" customFormat="1" ht="14.25" x14ac:dyDescent="0.25">
      <c r="D258" s="10"/>
    </row>
    <row r="259" spans="4:4" s="2" customFormat="1" ht="14.25" x14ac:dyDescent="0.25">
      <c r="D259" s="10"/>
    </row>
    <row r="260" spans="4:4" s="2" customFormat="1" ht="14.25" x14ac:dyDescent="0.25">
      <c r="D260" s="10"/>
    </row>
    <row r="261" spans="4:4" s="2" customFormat="1" ht="14.25" x14ac:dyDescent="0.25">
      <c r="D261" s="10"/>
    </row>
    <row r="262" spans="4:4" s="2" customFormat="1" ht="14.25" x14ac:dyDescent="0.25">
      <c r="D262" s="10"/>
    </row>
    <row r="263" spans="4:4" s="2" customFormat="1" ht="14.25" x14ac:dyDescent="0.25">
      <c r="D263" s="10"/>
    </row>
    <row r="264" spans="4:4" s="2" customFormat="1" ht="14.25" x14ac:dyDescent="0.25">
      <c r="D264" s="10"/>
    </row>
    <row r="265" spans="4:4" s="2" customFormat="1" ht="14.25" x14ac:dyDescent="0.25">
      <c r="D265" s="10"/>
    </row>
    <row r="266" spans="4:4" s="2" customFormat="1" ht="14.25" x14ac:dyDescent="0.25">
      <c r="D266" s="10"/>
    </row>
    <row r="267" spans="4:4" s="2" customFormat="1" ht="14.25" x14ac:dyDescent="0.25">
      <c r="D267" s="10"/>
    </row>
    <row r="268" spans="4:4" s="2" customFormat="1" ht="14.25" x14ac:dyDescent="0.25">
      <c r="D268" s="10"/>
    </row>
    <row r="269" spans="4:4" s="2" customFormat="1" ht="14.25" x14ac:dyDescent="0.25">
      <c r="D269" s="10"/>
    </row>
    <row r="270" spans="4:4" s="2" customFormat="1" ht="14.25" x14ac:dyDescent="0.25">
      <c r="D270" s="10"/>
    </row>
    <row r="271" spans="4:4" s="2" customFormat="1" ht="14.25" x14ac:dyDescent="0.25">
      <c r="D271" s="10"/>
    </row>
    <row r="272" spans="4:4" s="2" customFormat="1" ht="14.25" x14ac:dyDescent="0.25">
      <c r="D272" s="10"/>
    </row>
    <row r="273" spans="4:4" s="2" customFormat="1" ht="14.25" x14ac:dyDescent="0.25">
      <c r="D273" s="10"/>
    </row>
    <row r="274" spans="4:4" s="2" customFormat="1" ht="14.25" x14ac:dyDescent="0.25">
      <c r="D274" s="10"/>
    </row>
    <row r="275" spans="4:4" s="2" customFormat="1" ht="14.25" x14ac:dyDescent="0.25">
      <c r="D275" s="10"/>
    </row>
    <row r="276" spans="4:4" s="2" customFormat="1" ht="14.25" x14ac:dyDescent="0.25">
      <c r="D276" s="10"/>
    </row>
    <row r="277" spans="4:4" s="2" customFormat="1" ht="14.25" x14ac:dyDescent="0.25">
      <c r="D277" s="10"/>
    </row>
    <row r="278" spans="4:4" s="2" customFormat="1" ht="14.25" x14ac:dyDescent="0.25">
      <c r="D278" s="10"/>
    </row>
    <row r="279" spans="4:4" s="2" customFormat="1" ht="14.25" x14ac:dyDescent="0.25">
      <c r="D279" s="10"/>
    </row>
  </sheetData>
  <mergeCells count="49">
    <mergeCell ref="A37:D37"/>
    <mergeCell ref="A35:A36"/>
    <mergeCell ref="D35:D36"/>
    <mergeCell ref="R35:R36"/>
    <mergeCell ref="A31:A32"/>
    <mergeCell ref="D31:D32"/>
    <mergeCell ref="R31:R32"/>
    <mergeCell ref="A33:A34"/>
    <mergeCell ref="D33:D34"/>
    <mergeCell ref="R33:R34"/>
    <mergeCell ref="D27:D28"/>
    <mergeCell ref="R27:R28"/>
    <mergeCell ref="A29:A30"/>
    <mergeCell ref="D29:D30"/>
    <mergeCell ref="R29:R30"/>
    <mergeCell ref="A27:A28"/>
    <mergeCell ref="A25:A26"/>
    <mergeCell ref="D25:D26"/>
    <mergeCell ref="R25:R26"/>
    <mergeCell ref="A9:A10"/>
    <mergeCell ref="A15:A16"/>
    <mergeCell ref="R15:R16"/>
    <mergeCell ref="A13:A14"/>
    <mergeCell ref="A17:A18"/>
    <mergeCell ref="A23:A24"/>
    <mergeCell ref="A5:A6"/>
    <mergeCell ref="A1:Q1"/>
    <mergeCell ref="A2:Q2"/>
    <mergeCell ref="A3:A4"/>
    <mergeCell ref="D3:D4"/>
    <mergeCell ref="G3:G4"/>
    <mergeCell ref="H3:H4"/>
    <mergeCell ref="J3:P3"/>
    <mergeCell ref="Q3:Q4"/>
    <mergeCell ref="B3:B4"/>
    <mergeCell ref="C3:C4"/>
    <mergeCell ref="A7:A8"/>
    <mergeCell ref="A21:A22"/>
    <mergeCell ref="R19:R20"/>
    <mergeCell ref="R17:R18"/>
    <mergeCell ref="R21:R22"/>
    <mergeCell ref="A19:A20"/>
    <mergeCell ref="A11:A12"/>
    <mergeCell ref="R9:R10"/>
    <mergeCell ref="R5:R6"/>
    <mergeCell ref="R11:R12"/>
    <mergeCell ref="R13:R14"/>
    <mergeCell ref="R23:R24"/>
    <mergeCell ref="R7:R8"/>
  </mergeCells>
  <phoneticPr fontId="2" type="noConversion"/>
  <printOptions horizontalCentered="1" verticalCentered="1"/>
  <pageMargins left="0.39370078740157483" right="0.39370078740157483" top="0" bottom="0.35" header="0.31496062992125984" footer="0.69"/>
  <pageSetup paperSize="9" scale="78" orientation="landscape" r:id="rId1"/>
  <headerFooter alignWithMargins="0">
    <oddHeader>&amp;R第&amp;P页，共&amp;N页</oddHeader>
    <oddFooter>&amp;RSTPM-D-4-005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0"/>
  </sheetPr>
  <dimension ref="A1:R279"/>
  <sheetViews>
    <sheetView zoomScale="80" zoomScaleNormal="80" workbookViewId="0">
      <pane xSplit="4" ySplit="4" topLeftCell="E5" activePane="bottomRight" state="frozen"/>
      <selection activeCell="J48" sqref="J48"/>
      <selection pane="topRight" activeCell="J48" sqref="J48"/>
      <selection pane="bottomLeft" activeCell="J48" sqref="J48"/>
      <selection pane="bottomRight" activeCell="C5" sqref="C5"/>
    </sheetView>
  </sheetViews>
  <sheetFormatPr defaultRowHeight="18" x14ac:dyDescent="0.3"/>
  <cols>
    <col min="1" max="2" width="10.625" style="3" customWidth="1"/>
    <col min="3" max="3" width="15.75" style="3" customWidth="1"/>
    <col min="4" max="4" width="10.75" style="11" customWidth="1"/>
    <col min="5" max="18" width="8.625" style="3" customWidth="1"/>
    <col min="19" max="19" width="9.625" style="3" bestFit="1" customWidth="1"/>
    <col min="20" max="16384" width="9" style="3"/>
  </cols>
  <sheetData>
    <row r="1" spans="1:18" s="4" customFormat="1" ht="22.5" customHeight="1" x14ac:dyDescent="0.35">
      <c r="A1" s="122" t="s">
        <v>354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18" s="1" customFormat="1" ht="18.75" thickBot="1" x14ac:dyDescent="0.35">
      <c r="A2" s="123" t="s">
        <v>355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</row>
    <row r="3" spans="1:18" s="12" customFormat="1" ht="15.95" customHeight="1" x14ac:dyDescent="0.15">
      <c r="A3" s="124" t="s">
        <v>9</v>
      </c>
      <c r="B3" s="129" t="s">
        <v>172</v>
      </c>
      <c r="C3" s="129" t="s">
        <v>363</v>
      </c>
      <c r="D3" s="126" t="s">
        <v>10</v>
      </c>
      <c r="E3" s="107" t="s">
        <v>11</v>
      </c>
      <c r="F3" s="107" t="s">
        <v>12</v>
      </c>
      <c r="G3" s="126" t="s">
        <v>13</v>
      </c>
      <c r="H3" s="126" t="s">
        <v>14</v>
      </c>
      <c r="I3" s="107" t="s">
        <v>15</v>
      </c>
      <c r="J3" s="126" t="s">
        <v>16</v>
      </c>
      <c r="K3" s="126"/>
      <c r="L3" s="126"/>
      <c r="M3" s="126"/>
      <c r="N3" s="126"/>
      <c r="O3" s="126"/>
      <c r="P3" s="126"/>
      <c r="Q3" s="126"/>
      <c r="R3" s="146" t="s">
        <v>17</v>
      </c>
    </row>
    <row r="4" spans="1:18" s="12" customFormat="1" ht="15.95" customHeight="1" x14ac:dyDescent="0.15">
      <c r="A4" s="125"/>
      <c r="B4" s="130"/>
      <c r="C4" s="130"/>
      <c r="D4" s="128"/>
      <c r="E4" s="108" t="s">
        <v>18</v>
      </c>
      <c r="F4" s="108" t="s">
        <v>60</v>
      </c>
      <c r="G4" s="128"/>
      <c r="H4" s="128"/>
      <c r="I4" s="108" t="s">
        <v>18</v>
      </c>
      <c r="J4" s="68" t="s">
        <v>60</v>
      </c>
      <c r="K4" s="75" t="s">
        <v>61</v>
      </c>
      <c r="L4" s="68" t="s">
        <v>120</v>
      </c>
      <c r="M4" s="75" t="s">
        <v>121</v>
      </c>
      <c r="N4" s="68" t="s">
        <v>122</v>
      </c>
      <c r="O4" s="75" t="s">
        <v>123</v>
      </c>
      <c r="P4" s="68" t="s">
        <v>124</v>
      </c>
      <c r="Q4" s="108" t="s">
        <v>18</v>
      </c>
      <c r="R4" s="147"/>
    </row>
    <row r="5" spans="1:18" s="14" customFormat="1" ht="15.95" customHeight="1" x14ac:dyDescent="0.15">
      <c r="A5" s="120" t="s">
        <v>33</v>
      </c>
      <c r="B5" s="40" t="s">
        <v>260</v>
      </c>
      <c r="C5" s="40" t="s">
        <v>431</v>
      </c>
      <c r="D5" s="40" t="s">
        <v>62</v>
      </c>
      <c r="E5" s="5">
        <v>415100</v>
      </c>
      <c r="F5" s="6">
        <v>840000</v>
      </c>
      <c r="G5" s="5">
        <v>364500</v>
      </c>
      <c r="H5" s="5">
        <v>18000</v>
      </c>
      <c r="I5" s="6">
        <f>E5+F5-G5-H5</f>
        <v>872600</v>
      </c>
      <c r="J5" s="69"/>
      <c r="K5" s="76">
        <f>144000</f>
        <v>144000</v>
      </c>
      <c r="L5" s="69"/>
      <c r="M5" s="76"/>
      <c r="N5" s="69">
        <f>18000+36000+36000</f>
        <v>90000</v>
      </c>
      <c r="O5" s="76">
        <f>35550+35700+36000+36150+17250</f>
        <v>160650</v>
      </c>
      <c r="P5" s="69"/>
      <c r="Q5" s="5">
        <f>SUM(J5:P5)</f>
        <v>394650</v>
      </c>
      <c r="R5" s="121">
        <f>Q5+Q6-I5-I6</f>
        <v>2371</v>
      </c>
    </row>
    <row r="6" spans="1:18" s="14" customFormat="1" ht="15.95" customHeight="1" x14ac:dyDescent="0.15">
      <c r="A6" s="120"/>
      <c r="B6" s="40" t="s">
        <v>261</v>
      </c>
      <c r="C6" s="40" t="s">
        <v>432</v>
      </c>
      <c r="D6" s="40" t="s">
        <v>63</v>
      </c>
      <c r="E6" s="5">
        <v>288504</v>
      </c>
      <c r="F6" s="6"/>
      <c r="G6" s="5">
        <v>364500</v>
      </c>
      <c r="H6" s="5"/>
      <c r="I6" s="6">
        <f>E6+F6-G6-H6</f>
        <v>-75996</v>
      </c>
      <c r="J6" s="69"/>
      <c r="K6" s="76"/>
      <c r="L6" s="69"/>
      <c r="M6" s="76"/>
      <c r="N6" s="69">
        <f>30040+36019+18099+36055+35963+35984+35915</f>
        <v>228075</v>
      </c>
      <c r="O6" s="76">
        <f>36000+36000+35900+35850+32500</f>
        <v>176250</v>
      </c>
      <c r="P6" s="69"/>
      <c r="Q6" s="5">
        <f t="shared" ref="Q6:Q36" si="0">SUM(J6:P6)</f>
        <v>404325</v>
      </c>
      <c r="R6" s="121"/>
    </row>
    <row r="7" spans="1:18" s="14" customFormat="1" ht="15.95" customHeight="1" x14ac:dyDescent="0.15">
      <c r="A7" s="120" t="s">
        <v>58</v>
      </c>
      <c r="B7" s="41" t="s">
        <v>262</v>
      </c>
      <c r="C7" s="41" t="s">
        <v>433</v>
      </c>
      <c r="D7" s="41" t="s">
        <v>64</v>
      </c>
      <c r="E7" s="5">
        <v>636466</v>
      </c>
      <c r="F7" s="6">
        <v>1080000</v>
      </c>
      <c r="G7" s="5">
        <f>558000+600000</f>
        <v>1158000</v>
      </c>
      <c r="H7" s="7"/>
      <c r="I7" s="6">
        <f t="shared" ref="I7:I20" si="1">E7+F7-G7-H7</f>
        <v>558466</v>
      </c>
      <c r="J7" s="69"/>
      <c r="K7" s="76"/>
      <c r="L7" s="69">
        <v>12000</v>
      </c>
      <c r="M7" s="76"/>
      <c r="N7" s="69">
        <f>11900</f>
        <v>11900</v>
      </c>
      <c r="O7" s="76">
        <f>73000+71000+72000+72000+71000+75000+71000+25000</f>
        <v>530000</v>
      </c>
      <c r="P7" s="69"/>
      <c r="Q7" s="5">
        <f t="shared" si="0"/>
        <v>553900</v>
      </c>
      <c r="R7" s="141">
        <f>Q7+Q8-I7-I8</f>
        <v>-5956</v>
      </c>
    </row>
    <row r="8" spans="1:18" s="14" customFormat="1" ht="15.75" customHeight="1" x14ac:dyDescent="0.15">
      <c r="A8" s="120"/>
      <c r="B8" s="41" t="s">
        <v>263</v>
      </c>
      <c r="C8" s="41" t="s">
        <v>434</v>
      </c>
      <c r="D8" s="41" t="s">
        <v>65</v>
      </c>
      <c r="E8" s="5">
        <v>611653</v>
      </c>
      <c r="F8" s="6">
        <v>1107200</v>
      </c>
      <c r="G8" s="5">
        <f>558000+600000</f>
        <v>1158000</v>
      </c>
      <c r="H8" s="7"/>
      <c r="I8" s="6">
        <f t="shared" si="1"/>
        <v>560853</v>
      </c>
      <c r="J8" s="69"/>
      <c r="K8" s="76">
        <v>36308</v>
      </c>
      <c r="L8" s="69">
        <v>24000</v>
      </c>
      <c r="M8" s="76">
        <f>23340</f>
        <v>23340</v>
      </c>
      <c r="N8" s="69">
        <f>74585+60230</f>
        <v>134815</v>
      </c>
      <c r="O8" s="76">
        <f>50000+73000+74000+72000+72000</f>
        <v>341000</v>
      </c>
      <c r="P8" s="69"/>
      <c r="Q8" s="5">
        <f t="shared" si="0"/>
        <v>559463</v>
      </c>
      <c r="R8" s="141"/>
    </row>
    <row r="9" spans="1:18" s="14" customFormat="1" ht="15.95" customHeight="1" x14ac:dyDescent="0.15">
      <c r="A9" s="120" t="s">
        <v>66</v>
      </c>
      <c r="B9" s="40" t="s">
        <v>264</v>
      </c>
      <c r="C9" s="40" t="s">
        <v>435</v>
      </c>
      <c r="D9" s="40" t="s">
        <v>67</v>
      </c>
      <c r="E9" s="5">
        <v>0</v>
      </c>
      <c r="F9" s="6"/>
      <c r="G9" s="5"/>
      <c r="H9" s="5"/>
      <c r="I9" s="6">
        <f t="shared" si="1"/>
        <v>0</v>
      </c>
      <c r="J9" s="69"/>
      <c r="K9" s="76"/>
      <c r="L9" s="69"/>
      <c r="M9" s="76"/>
      <c r="N9" s="69"/>
      <c r="O9" s="76"/>
      <c r="P9" s="69"/>
      <c r="Q9" s="5">
        <f t="shared" si="0"/>
        <v>0</v>
      </c>
      <c r="R9" s="121">
        <f>Q9+Q10-I9-I10</f>
        <v>0</v>
      </c>
    </row>
    <row r="10" spans="1:18" s="14" customFormat="1" ht="15.95" customHeight="1" x14ac:dyDescent="0.15">
      <c r="A10" s="120"/>
      <c r="B10" s="40" t="s">
        <v>265</v>
      </c>
      <c r="C10" s="40" t="s">
        <v>436</v>
      </c>
      <c r="D10" s="40" t="s">
        <v>68</v>
      </c>
      <c r="E10" s="5">
        <v>0</v>
      </c>
      <c r="F10" s="6"/>
      <c r="G10" s="5"/>
      <c r="H10" s="5"/>
      <c r="I10" s="6">
        <f t="shared" si="1"/>
        <v>0</v>
      </c>
      <c r="J10" s="69"/>
      <c r="K10" s="76"/>
      <c r="L10" s="69"/>
      <c r="M10" s="76"/>
      <c r="N10" s="69"/>
      <c r="O10" s="76"/>
      <c r="P10" s="69"/>
      <c r="Q10" s="5">
        <f t="shared" si="0"/>
        <v>0</v>
      </c>
      <c r="R10" s="121"/>
    </row>
    <row r="11" spans="1:18" s="14" customFormat="1" ht="15.75" customHeight="1" x14ac:dyDescent="0.15">
      <c r="A11" s="120" t="s">
        <v>69</v>
      </c>
      <c r="B11" s="41" t="s">
        <v>266</v>
      </c>
      <c r="C11" s="41" t="s">
        <v>437</v>
      </c>
      <c r="D11" s="41" t="s">
        <v>70</v>
      </c>
      <c r="E11" s="5">
        <v>0</v>
      </c>
      <c r="F11" s="6"/>
      <c r="G11" s="5"/>
      <c r="H11" s="5"/>
      <c r="I11" s="6">
        <f t="shared" si="1"/>
        <v>0</v>
      </c>
      <c r="J11" s="69"/>
      <c r="K11" s="76"/>
      <c r="L11" s="69"/>
      <c r="M11" s="76"/>
      <c r="N11" s="69"/>
      <c r="O11" s="76"/>
      <c r="P11" s="69"/>
      <c r="Q11" s="5">
        <f t="shared" si="0"/>
        <v>0</v>
      </c>
      <c r="R11" s="121">
        <f>Q11+Q12-I11-I12</f>
        <v>0</v>
      </c>
    </row>
    <row r="12" spans="1:18" s="14" customFormat="1" ht="15.95" customHeight="1" x14ac:dyDescent="0.15">
      <c r="A12" s="120"/>
      <c r="B12" s="41" t="s">
        <v>267</v>
      </c>
      <c r="C12" s="41" t="s">
        <v>438</v>
      </c>
      <c r="D12" s="41" t="s">
        <v>71</v>
      </c>
      <c r="E12" s="5">
        <v>0</v>
      </c>
      <c r="F12" s="6"/>
      <c r="G12" s="5"/>
      <c r="H12" s="5"/>
      <c r="I12" s="6">
        <f t="shared" si="1"/>
        <v>0</v>
      </c>
      <c r="J12" s="69"/>
      <c r="K12" s="76"/>
      <c r="L12" s="69"/>
      <c r="M12" s="76"/>
      <c r="N12" s="69"/>
      <c r="O12" s="76"/>
      <c r="P12" s="69"/>
      <c r="Q12" s="5">
        <f t="shared" si="0"/>
        <v>0</v>
      </c>
      <c r="R12" s="121"/>
    </row>
    <row r="13" spans="1:18" s="14" customFormat="1" ht="15.95" customHeight="1" x14ac:dyDescent="0.15">
      <c r="A13" s="120" t="s">
        <v>69</v>
      </c>
      <c r="B13" s="40" t="s">
        <v>268</v>
      </c>
      <c r="C13" s="40" t="s">
        <v>439</v>
      </c>
      <c r="D13" s="40" t="s">
        <v>72</v>
      </c>
      <c r="E13" s="5">
        <v>119900</v>
      </c>
      <c r="F13" s="6"/>
      <c r="G13" s="5">
        <v>60000</v>
      </c>
      <c r="H13" s="5"/>
      <c r="I13" s="6">
        <f t="shared" si="1"/>
        <v>59900</v>
      </c>
      <c r="J13" s="69"/>
      <c r="K13" s="76"/>
      <c r="L13" s="69"/>
      <c r="M13" s="76"/>
      <c r="N13" s="69"/>
      <c r="O13" s="76">
        <f>61000</f>
        <v>61000</v>
      </c>
      <c r="P13" s="69"/>
      <c r="Q13" s="5">
        <f t="shared" si="0"/>
        <v>61000</v>
      </c>
      <c r="R13" s="121">
        <f>Q13+Q14-I13-I14</f>
        <v>-1080</v>
      </c>
    </row>
    <row r="14" spans="1:18" s="14" customFormat="1" ht="15.95" customHeight="1" x14ac:dyDescent="0.15">
      <c r="A14" s="120"/>
      <c r="B14" s="40" t="s">
        <v>269</v>
      </c>
      <c r="C14" s="40" t="s">
        <v>440</v>
      </c>
      <c r="D14" s="40" t="s">
        <v>73</v>
      </c>
      <c r="E14" s="5">
        <v>122180</v>
      </c>
      <c r="F14" s="6"/>
      <c r="G14" s="5">
        <v>60000</v>
      </c>
      <c r="H14" s="5"/>
      <c r="I14" s="6">
        <f t="shared" si="1"/>
        <v>62180</v>
      </c>
      <c r="J14" s="69"/>
      <c r="K14" s="76"/>
      <c r="L14" s="69"/>
      <c r="M14" s="76"/>
      <c r="N14" s="69"/>
      <c r="O14" s="76">
        <f>60000</f>
        <v>60000</v>
      </c>
      <c r="P14" s="69"/>
      <c r="Q14" s="5">
        <f t="shared" si="0"/>
        <v>60000</v>
      </c>
      <c r="R14" s="121"/>
    </row>
    <row r="15" spans="1:18" s="14" customFormat="1" ht="15.95" customHeight="1" x14ac:dyDescent="0.15">
      <c r="A15" s="120" t="s">
        <v>69</v>
      </c>
      <c r="B15" s="41" t="s">
        <v>270</v>
      </c>
      <c r="C15" s="41" t="s">
        <v>441</v>
      </c>
      <c r="D15" s="41" t="s">
        <v>74</v>
      </c>
      <c r="E15" s="5">
        <v>137000</v>
      </c>
      <c r="F15" s="6">
        <v>120000</v>
      </c>
      <c r="G15" s="5">
        <v>72000</v>
      </c>
      <c r="H15" s="5"/>
      <c r="I15" s="6">
        <f t="shared" si="1"/>
        <v>185000</v>
      </c>
      <c r="J15" s="69"/>
      <c r="K15" s="76"/>
      <c r="L15" s="69"/>
      <c r="M15" s="76"/>
      <c r="N15" s="69">
        <f>71898+48533</f>
        <v>120431</v>
      </c>
      <c r="O15" s="76">
        <f>63000</f>
        <v>63000</v>
      </c>
      <c r="P15" s="69"/>
      <c r="Q15" s="5">
        <f t="shared" si="0"/>
        <v>183431</v>
      </c>
      <c r="R15" s="141">
        <f>Q15+Q16-I15-I16</f>
        <v>-4621</v>
      </c>
    </row>
    <row r="16" spans="1:18" s="14" customFormat="1" ht="15.95" customHeight="1" x14ac:dyDescent="0.15">
      <c r="A16" s="120"/>
      <c r="B16" s="41" t="s">
        <v>271</v>
      </c>
      <c r="C16" s="41" t="s">
        <v>442</v>
      </c>
      <c r="D16" s="41" t="s">
        <v>75</v>
      </c>
      <c r="E16" s="5">
        <v>83000</v>
      </c>
      <c r="F16" s="6">
        <v>180000</v>
      </c>
      <c r="G16" s="5">
        <v>72000</v>
      </c>
      <c r="H16" s="5"/>
      <c r="I16" s="6">
        <f t="shared" si="1"/>
        <v>191000</v>
      </c>
      <c r="J16" s="69"/>
      <c r="K16" s="76"/>
      <c r="L16" s="69"/>
      <c r="M16" s="76"/>
      <c r="N16" s="69">
        <v>9948</v>
      </c>
      <c r="O16" s="76">
        <f>75000+68000+35000</f>
        <v>178000</v>
      </c>
      <c r="P16" s="69"/>
      <c r="Q16" s="5">
        <f t="shared" si="0"/>
        <v>187948</v>
      </c>
      <c r="R16" s="141"/>
    </row>
    <row r="17" spans="1:18" s="14" customFormat="1" ht="15.95" customHeight="1" x14ac:dyDescent="0.15">
      <c r="A17" s="120" t="s">
        <v>69</v>
      </c>
      <c r="B17" s="40" t="s">
        <v>272</v>
      </c>
      <c r="C17" s="40" t="s">
        <v>443</v>
      </c>
      <c r="D17" s="40" t="s">
        <v>76</v>
      </c>
      <c r="E17" s="5">
        <v>128000</v>
      </c>
      <c r="F17" s="5"/>
      <c r="G17" s="5">
        <v>56000</v>
      </c>
      <c r="H17" s="5"/>
      <c r="I17" s="6">
        <f t="shared" si="1"/>
        <v>72000</v>
      </c>
      <c r="J17" s="69"/>
      <c r="K17" s="76"/>
      <c r="L17" s="69"/>
      <c r="M17" s="76"/>
      <c r="N17" s="69"/>
      <c r="O17" s="76">
        <f>72000</f>
        <v>72000</v>
      </c>
      <c r="P17" s="69"/>
      <c r="Q17" s="5">
        <f t="shared" si="0"/>
        <v>72000</v>
      </c>
      <c r="R17" s="121">
        <f>Q17+Q18-I17-I18</f>
        <v>280</v>
      </c>
    </row>
    <row r="18" spans="1:18" s="14" customFormat="1" ht="15.95" customHeight="1" x14ac:dyDescent="0.15">
      <c r="A18" s="120"/>
      <c r="B18" s="40" t="s">
        <v>273</v>
      </c>
      <c r="C18" s="40" t="s">
        <v>444</v>
      </c>
      <c r="D18" s="40" t="s">
        <v>77</v>
      </c>
      <c r="E18" s="5">
        <v>132720</v>
      </c>
      <c r="F18" s="5"/>
      <c r="G18" s="5">
        <v>56000</v>
      </c>
      <c r="H18" s="5"/>
      <c r="I18" s="6">
        <f t="shared" si="1"/>
        <v>76720</v>
      </c>
      <c r="J18" s="69"/>
      <c r="K18" s="76"/>
      <c r="L18" s="69"/>
      <c r="M18" s="76"/>
      <c r="N18" s="69"/>
      <c r="O18" s="76">
        <f>8000+69000</f>
        <v>77000</v>
      </c>
      <c r="P18" s="69"/>
      <c r="Q18" s="5">
        <f t="shared" si="0"/>
        <v>77000</v>
      </c>
      <c r="R18" s="121"/>
    </row>
    <row r="19" spans="1:18" s="14" customFormat="1" ht="15.95" customHeight="1" x14ac:dyDescent="0.15">
      <c r="A19" s="120" t="s">
        <v>157</v>
      </c>
      <c r="B19" s="41" t="s">
        <v>274</v>
      </c>
      <c r="C19" s="41" t="s">
        <v>445</v>
      </c>
      <c r="D19" s="41" t="s">
        <v>155</v>
      </c>
      <c r="E19" s="5">
        <v>1982</v>
      </c>
      <c r="F19" s="5"/>
      <c r="G19" s="5"/>
      <c r="H19" s="5"/>
      <c r="I19" s="6">
        <f t="shared" si="1"/>
        <v>1982</v>
      </c>
      <c r="J19" s="69"/>
      <c r="K19" s="76"/>
      <c r="L19" s="69"/>
      <c r="M19" s="76"/>
      <c r="N19" s="69"/>
      <c r="O19" s="76">
        <f>1000</f>
        <v>1000</v>
      </c>
      <c r="P19" s="69"/>
      <c r="Q19" s="5">
        <f>SUM(J19:P19)</f>
        <v>1000</v>
      </c>
      <c r="R19" s="121">
        <f>Q19+Q20-I19-I20</f>
        <v>-1327</v>
      </c>
    </row>
    <row r="20" spans="1:18" s="14" customFormat="1" ht="15.95" customHeight="1" x14ac:dyDescent="0.15">
      <c r="A20" s="120"/>
      <c r="B20" s="41" t="s">
        <v>275</v>
      </c>
      <c r="C20" s="41" t="s">
        <v>446</v>
      </c>
      <c r="D20" s="41" t="s">
        <v>156</v>
      </c>
      <c r="E20" s="5">
        <v>20345</v>
      </c>
      <c r="F20" s="5"/>
      <c r="G20" s="5"/>
      <c r="H20" s="5"/>
      <c r="I20" s="6">
        <f t="shared" si="1"/>
        <v>20345</v>
      </c>
      <c r="J20" s="69"/>
      <c r="K20" s="76"/>
      <c r="L20" s="69"/>
      <c r="M20" s="76"/>
      <c r="N20" s="69"/>
      <c r="O20" s="76">
        <f>20000</f>
        <v>20000</v>
      </c>
      <c r="P20" s="69"/>
      <c r="Q20" s="5">
        <f t="shared" si="0"/>
        <v>20000</v>
      </c>
      <c r="R20" s="121"/>
    </row>
    <row r="21" spans="1:18" s="14" customFormat="1" ht="15.95" customHeight="1" x14ac:dyDescent="0.15">
      <c r="A21" s="142"/>
      <c r="B21" s="99"/>
      <c r="C21" s="99"/>
      <c r="D21" s="144"/>
      <c r="E21" s="5">
        <v>0</v>
      </c>
      <c r="F21" s="5"/>
      <c r="G21" s="5"/>
      <c r="H21" s="5"/>
      <c r="I21" s="6">
        <f t="shared" ref="I21:I36" si="2">E21+F21-G21-H21</f>
        <v>0</v>
      </c>
      <c r="J21" s="69"/>
      <c r="K21" s="76"/>
      <c r="L21" s="69"/>
      <c r="M21" s="76"/>
      <c r="N21" s="69"/>
      <c r="O21" s="76"/>
      <c r="P21" s="69"/>
      <c r="Q21" s="5">
        <f t="shared" si="0"/>
        <v>0</v>
      </c>
      <c r="R21" s="121"/>
    </row>
    <row r="22" spans="1:18" s="14" customFormat="1" ht="15.95" customHeight="1" x14ac:dyDescent="0.15">
      <c r="A22" s="143"/>
      <c r="B22" s="99"/>
      <c r="C22" s="99"/>
      <c r="D22" s="145"/>
      <c r="E22" s="5">
        <v>0</v>
      </c>
      <c r="F22" s="5"/>
      <c r="G22" s="5"/>
      <c r="H22" s="5"/>
      <c r="I22" s="6">
        <f t="shared" si="2"/>
        <v>0</v>
      </c>
      <c r="J22" s="69"/>
      <c r="K22" s="76"/>
      <c r="L22" s="69"/>
      <c r="M22" s="76"/>
      <c r="N22" s="69"/>
      <c r="O22" s="76"/>
      <c r="P22" s="69"/>
      <c r="Q22" s="5">
        <f t="shared" si="0"/>
        <v>0</v>
      </c>
      <c r="R22" s="121"/>
    </row>
    <row r="23" spans="1:18" s="14" customFormat="1" ht="15.95" customHeight="1" x14ac:dyDescent="0.15">
      <c r="A23" s="120"/>
      <c r="B23" s="99"/>
      <c r="C23" s="99"/>
      <c r="D23" s="140"/>
      <c r="E23" s="5">
        <v>0</v>
      </c>
      <c r="F23" s="5"/>
      <c r="G23" s="5"/>
      <c r="H23" s="5"/>
      <c r="I23" s="6">
        <f t="shared" si="2"/>
        <v>0</v>
      </c>
      <c r="J23" s="69"/>
      <c r="K23" s="76"/>
      <c r="L23" s="69"/>
      <c r="M23" s="76"/>
      <c r="N23" s="69"/>
      <c r="O23" s="76"/>
      <c r="P23" s="69"/>
      <c r="Q23" s="5">
        <f t="shared" si="0"/>
        <v>0</v>
      </c>
      <c r="R23" s="121"/>
    </row>
    <row r="24" spans="1:18" s="14" customFormat="1" ht="15.95" customHeight="1" x14ac:dyDescent="0.15">
      <c r="A24" s="120"/>
      <c r="B24" s="99"/>
      <c r="C24" s="99"/>
      <c r="D24" s="140"/>
      <c r="E24" s="5">
        <v>0</v>
      </c>
      <c r="F24" s="5"/>
      <c r="G24" s="5"/>
      <c r="H24" s="5"/>
      <c r="I24" s="6">
        <f t="shared" si="2"/>
        <v>0</v>
      </c>
      <c r="J24" s="69"/>
      <c r="K24" s="76"/>
      <c r="L24" s="69"/>
      <c r="M24" s="76"/>
      <c r="N24" s="69"/>
      <c r="O24" s="76"/>
      <c r="P24" s="69"/>
      <c r="Q24" s="5">
        <f t="shared" si="0"/>
        <v>0</v>
      </c>
      <c r="R24" s="121"/>
    </row>
    <row r="25" spans="1:18" s="14" customFormat="1" ht="15.95" customHeight="1" x14ac:dyDescent="0.15">
      <c r="A25" s="120"/>
      <c r="B25" s="99"/>
      <c r="C25" s="99"/>
      <c r="D25" s="140"/>
      <c r="E25" s="5">
        <v>0</v>
      </c>
      <c r="F25" s="5"/>
      <c r="G25" s="5"/>
      <c r="H25" s="5"/>
      <c r="I25" s="6">
        <f t="shared" si="2"/>
        <v>0</v>
      </c>
      <c r="J25" s="69"/>
      <c r="K25" s="76"/>
      <c r="L25" s="69"/>
      <c r="M25" s="76"/>
      <c r="N25" s="69"/>
      <c r="O25" s="76"/>
      <c r="P25" s="69"/>
      <c r="Q25" s="5">
        <f t="shared" si="0"/>
        <v>0</v>
      </c>
      <c r="R25" s="121"/>
    </row>
    <row r="26" spans="1:18" s="14" customFormat="1" ht="15.95" customHeight="1" x14ac:dyDescent="0.15">
      <c r="A26" s="120"/>
      <c r="B26" s="99"/>
      <c r="C26" s="99"/>
      <c r="D26" s="140"/>
      <c r="E26" s="5">
        <v>0</v>
      </c>
      <c r="F26" s="5"/>
      <c r="G26" s="5"/>
      <c r="H26" s="5"/>
      <c r="I26" s="6">
        <f t="shared" si="2"/>
        <v>0</v>
      </c>
      <c r="J26" s="69"/>
      <c r="K26" s="76"/>
      <c r="L26" s="69"/>
      <c r="M26" s="76"/>
      <c r="N26" s="69"/>
      <c r="O26" s="76"/>
      <c r="P26" s="69"/>
      <c r="Q26" s="5">
        <f t="shared" si="0"/>
        <v>0</v>
      </c>
      <c r="R26" s="121"/>
    </row>
    <row r="27" spans="1:18" s="14" customFormat="1" ht="15.95" customHeight="1" x14ac:dyDescent="0.15">
      <c r="A27" s="120"/>
      <c r="B27" s="99"/>
      <c r="C27" s="99"/>
      <c r="D27" s="140"/>
      <c r="E27" s="5">
        <v>0</v>
      </c>
      <c r="F27" s="5"/>
      <c r="G27" s="5"/>
      <c r="H27" s="5"/>
      <c r="I27" s="6">
        <f t="shared" si="2"/>
        <v>0</v>
      </c>
      <c r="J27" s="69"/>
      <c r="K27" s="76"/>
      <c r="L27" s="69"/>
      <c r="M27" s="76"/>
      <c r="N27" s="69"/>
      <c r="O27" s="76"/>
      <c r="P27" s="69"/>
      <c r="Q27" s="5">
        <f t="shared" si="0"/>
        <v>0</v>
      </c>
      <c r="R27" s="121"/>
    </row>
    <row r="28" spans="1:18" s="14" customFormat="1" ht="15.95" customHeight="1" x14ac:dyDescent="0.15">
      <c r="A28" s="120"/>
      <c r="B28" s="99"/>
      <c r="C28" s="99"/>
      <c r="D28" s="140"/>
      <c r="E28" s="5">
        <v>0</v>
      </c>
      <c r="F28" s="5"/>
      <c r="G28" s="5"/>
      <c r="H28" s="5"/>
      <c r="I28" s="6">
        <f t="shared" si="2"/>
        <v>0</v>
      </c>
      <c r="J28" s="69"/>
      <c r="K28" s="76"/>
      <c r="L28" s="69"/>
      <c r="M28" s="76"/>
      <c r="N28" s="69"/>
      <c r="O28" s="76"/>
      <c r="P28" s="69"/>
      <c r="Q28" s="5">
        <f t="shared" si="0"/>
        <v>0</v>
      </c>
      <c r="R28" s="121"/>
    </row>
    <row r="29" spans="1:18" s="14" customFormat="1" ht="15.95" customHeight="1" x14ac:dyDescent="0.15">
      <c r="A29" s="120"/>
      <c r="B29" s="99"/>
      <c r="C29" s="99"/>
      <c r="D29" s="140"/>
      <c r="E29" s="5">
        <v>0</v>
      </c>
      <c r="F29" s="5"/>
      <c r="G29" s="5"/>
      <c r="H29" s="5"/>
      <c r="I29" s="6">
        <f t="shared" si="2"/>
        <v>0</v>
      </c>
      <c r="J29" s="69"/>
      <c r="K29" s="76"/>
      <c r="L29" s="69"/>
      <c r="M29" s="76"/>
      <c r="N29" s="69"/>
      <c r="O29" s="76"/>
      <c r="P29" s="69"/>
      <c r="Q29" s="5">
        <f t="shared" si="0"/>
        <v>0</v>
      </c>
      <c r="R29" s="121"/>
    </row>
    <row r="30" spans="1:18" s="14" customFormat="1" ht="15.95" customHeight="1" x14ac:dyDescent="0.15">
      <c r="A30" s="120"/>
      <c r="B30" s="99"/>
      <c r="C30" s="99"/>
      <c r="D30" s="140"/>
      <c r="E30" s="5">
        <v>0</v>
      </c>
      <c r="F30" s="5"/>
      <c r="G30" s="5"/>
      <c r="H30" s="5"/>
      <c r="I30" s="6">
        <f t="shared" si="2"/>
        <v>0</v>
      </c>
      <c r="J30" s="69"/>
      <c r="K30" s="76"/>
      <c r="L30" s="69"/>
      <c r="M30" s="76"/>
      <c r="N30" s="69"/>
      <c r="O30" s="76"/>
      <c r="P30" s="69"/>
      <c r="Q30" s="5">
        <f t="shared" si="0"/>
        <v>0</v>
      </c>
      <c r="R30" s="121"/>
    </row>
    <row r="31" spans="1:18" s="14" customFormat="1" ht="15.95" customHeight="1" x14ac:dyDescent="0.15">
      <c r="A31" s="120"/>
      <c r="B31" s="99"/>
      <c r="C31" s="99"/>
      <c r="D31" s="140"/>
      <c r="E31" s="5">
        <v>0</v>
      </c>
      <c r="F31" s="5"/>
      <c r="G31" s="5"/>
      <c r="H31" s="5"/>
      <c r="I31" s="6">
        <f t="shared" si="2"/>
        <v>0</v>
      </c>
      <c r="J31" s="69"/>
      <c r="K31" s="76"/>
      <c r="L31" s="69"/>
      <c r="M31" s="76"/>
      <c r="N31" s="69"/>
      <c r="O31" s="76"/>
      <c r="P31" s="69"/>
      <c r="Q31" s="5">
        <f t="shared" si="0"/>
        <v>0</v>
      </c>
      <c r="R31" s="121"/>
    </row>
    <row r="32" spans="1:18" s="14" customFormat="1" ht="15.95" customHeight="1" x14ac:dyDescent="0.15">
      <c r="A32" s="120"/>
      <c r="B32" s="99"/>
      <c r="C32" s="99"/>
      <c r="D32" s="140"/>
      <c r="E32" s="5">
        <v>0</v>
      </c>
      <c r="F32" s="5"/>
      <c r="G32" s="5"/>
      <c r="H32" s="5"/>
      <c r="I32" s="6">
        <f t="shared" si="2"/>
        <v>0</v>
      </c>
      <c r="J32" s="69"/>
      <c r="K32" s="76"/>
      <c r="L32" s="69"/>
      <c r="M32" s="76"/>
      <c r="N32" s="69"/>
      <c r="O32" s="76"/>
      <c r="P32" s="69"/>
      <c r="Q32" s="5">
        <f t="shared" si="0"/>
        <v>0</v>
      </c>
      <c r="R32" s="121"/>
    </row>
    <row r="33" spans="1:18" s="14" customFormat="1" ht="15.95" customHeight="1" x14ac:dyDescent="0.15">
      <c r="A33" s="120"/>
      <c r="B33" s="99"/>
      <c r="C33" s="99"/>
      <c r="D33" s="140"/>
      <c r="E33" s="5">
        <v>0</v>
      </c>
      <c r="F33" s="5"/>
      <c r="G33" s="5"/>
      <c r="H33" s="5"/>
      <c r="I33" s="6">
        <f t="shared" si="2"/>
        <v>0</v>
      </c>
      <c r="J33" s="69"/>
      <c r="K33" s="76"/>
      <c r="L33" s="69"/>
      <c r="M33" s="76"/>
      <c r="N33" s="69"/>
      <c r="O33" s="76"/>
      <c r="P33" s="69"/>
      <c r="Q33" s="5">
        <f t="shared" si="0"/>
        <v>0</v>
      </c>
      <c r="R33" s="121"/>
    </row>
    <row r="34" spans="1:18" s="14" customFormat="1" ht="15.95" customHeight="1" x14ac:dyDescent="0.15">
      <c r="A34" s="120"/>
      <c r="B34" s="99"/>
      <c r="C34" s="99"/>
      <c r="D34" s="140"/>
      <c r="E34" s="5">
        <v>0</v>
      </c>
      <c r="F34" s="5"/>
      <c r="G34" s="5"/>
      <c r="H34" s="5"/>
      <c r="I34" s="6">
        <f t="shared" si="2"/>
        <v>0</v>
      </c>
      <c r="J34" s="69"/>
      <c r="K34" s="76"/>
      <c r="L34" s="69"/>
      <c r="M34" s="76"/>
      <c r="N34" s="69"/>
      <c r="O34" s="76"/>
      <c r="P34" s="69"/>
      <c r="Q34" s="5">
        <f>SUM(J34:P34)</f>
        <v>0</v>
      </c>
      <c r="R34" s="121"/>
    </row>
    <row r="35" spans="1:18" s="14" customFormat="1" ht="15.95" customHeight="1" x14ac:dyDescent="0.15">
      <c r="A35" s="120"/>
      <c r="B35" s="99"/>
      <c r="C35" s="99"/>
      <c r="D35" s="140"/>
      <c r="E35" s="5">
        <v>0</v>
      </c>
      <c r="F35" s="5"/>
      <c r="G35" s="5"/>
      <c r="H35" s="5"/>
      <c r="I35" s="6">
        <f t="shared" si="2"/>
        <v>0</v>
      </c>
      <c r="J35" s="69"/>
      <c r="K35" s="76"/>
      <c r="L35" s="69"/>
      <c r="M35" s="76"/>
      <c r="N35" s="69"/>
      <c r="O35" s="76"/>
      <c r="P35" s="69"/>
      <c r="Q35" s="5">
        <f t="shared" si="0"/>
        <v>0</v>
      </c>
      <c r="R35" s="121"/>
    </row>
    <row r="36" spans="1:18" s="14" customFormat="1" ht="15.95" customHeight="1" x14ac:dyDescent="0.15">
      <c r="A36" s="120"/>
      <c r="B36" s="99"/>
      <c r="C36" s="99"/>
      <c r="D36" s="140"/>
      <c r="E36" s="5">
        <v>0</v>
      </c>
      <c r="F36" s="5"/>
      <c r="G36" s="5"/>
      <c r="H36" s="5"/>
      <c r="I36" s="6">
        <f t="shared" si="2"/>
        <v>0</v>
      </c>
      <c r="J36" s="69"/>
      <c r="K36" s="76"/>
      <c r="L36" s="69"/>
      <c r="M36" s="76"/>
      <c r="N36" s="69"/>
      <c r="O36" s="76"/>
      <c r="P36" s="69"/>
      <c r="Q36" s="5">
        <f t="shared" si="0"/>
        <v>0</v>
      </c>
      <c r="R36" s="121"/>
    </row>
    <row r="37" spans="1:18" s="14" customFormat="1" ht="15.95" customHeight="1" thickBot="1" x14ac:dyDescent="0.2">
      <c r="A37" s="134" t="s">
        <v>18</v>
      </c>
      <c r="B37" s="135"/>
      <c r="C37" s="135"/>
      <c r="D37" s="136"/>
      <c r="E37" s="9">
        <f t="shared" ref="E37:M37" si="3">SUM(E5:E36)</f>
        <v>2696850</v>
      </c>
      <c r="F37" s="9">
        <f t="shared" si="3"/>
        <v>3327200</v>
      </c>
      <c r="G37" s="9">
        <f>SUM(G5:G36)</f>
        <v>3421000</v>
      </c>
      <c r="H37" s="9">
        <f t="shared" si="3"/>
        <v>18000</v>
      </c>
      <c r="I37" s="9">
        <f t="shared" si="3"/>
        <v>2585050</v>
      </c>
      <c r="J37" s="71">
        <f t="shared" si="3"/>
        <v>0</v>
      </c>
      <c r="K37" s="78">
        <f t="shared" si="3"/>
        <v>180308</v>
      </c>
      <c r="L37" s="71">
        <f t="shared" si="3"/>
        <v>36000</v>
      </c>
      <c r="M37" s="78">
        <f t="shared" si="3"/>
        <v>23340</v>
      </c>
      <c r="N37" s="71">
        <f>SUM(N5:N36)</f>
        <v>595169</v>
      </c>
      <c r="O37" s="78">
        <f>SUM(O5:O36)</f>
        <v>1739900</v>
      </c>
      <c r="P37" s="71">
        <f>SUM(P5:P36)</f>
        <v>0</v>
      </c>
      <c r="Q37" s="9">
        <f>SUM(Q5:Q36)</f>
        <v>2574717</v>
      </c>
      <c r="R37" s="13">
        <f>SUM(R5:R36)</f>
        <v>-10333</v>
      </c>
    </row>
    <row r="38" spans="1:18" s="12" customFormat="1" ht="15.95" customHeight="1" x14ac:dyDescent="0.15">
      <c r="A38" s="14" t="s">
        <v>26</v>
      </c>
      <c r="B38" s="14"/>
      <c r="C38" s="14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s="15" customFormat="1" ht="15" customHeight="1" x14ac:dyDescent="0.15">
      <c r="A39" s="14" t="s">
        <v>27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 t="s">
        <v>28</v>
      </c>
      <c r="M39" s="14"/>
      <c r="N39" s="14"/>
      <c r="O39" s="14"/>
      <c r="P39" s="14"/>
      <c r="Q39" s="14" t="s">
        <v>29</v>
      </c>
      <c r="R39" s="14"/>
    </row>
    <row r="40" spans="1:18" s="16" customFormat="1" ht="15.95" customHeight="1" x14ac:dyDescent="0.15">
      <c r="A40" s="17"/>
      <c r="B40" s="17"/>
      <c r="C40" s="17"/>
      <c r="D40" s="23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s="16" customFormat="1" ht="14.25" x14ac:dyDescent="0.15">
      <c r="A41" s="17"/>
      <c r="B41" s="17"/>
      <c r="C41" s="17"/>
      <c r="D41" s="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s="16" customFormat="1" ht="14.25" x14ac:dyDescent="0.15">
      <c r="A42" s="17"/>
      <c r="B42" s="17"/>
      <c r="C42" s="17"/>
      <c r="D42" s="23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s="16" customFormat="1" ht="14.25" x14ac:dyDescent="0.15">
      <c r="A43" s="17"/>
      <c r="B43" s="17"/>
      <c r="C43" s="17"/>
      <c r="D43" s="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s="16" customFormat="1" ht="14.25" x14ac:dyDescent="0.15">
      <c r="A44" s="17"/>
      <c r="B44" s="17"/>
      <c r="C44" s="17"/>
      <c r="D44" s="23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s="16" customFormat="1" ht="14.25" x14ac:dyDescent="0.15">
      <c r="A45" s="17"/>
      <c r="B45" s="17"/>
      <c r="C45" s="17"/>
      <c r="D45" s="23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s="16" customFormat="1" ht="14.25" x14ac:dyDescent="0.15">
      <c r="D46" s="33"/>
    </row>
    <row r="47" spans="1:18" s="36" customFormat="1" x14ac:dyDescent="0.15">
      <c r="D47" s="35"/>
    </row>
    <row r="48" spans="1:18" s="16" customFormat="1" ht="14.25" x14ac:dyDescent="0.15">
      <c r="D48" s="33"/>
    </row>
    <row r="49" spans="4:4" s="16" customFormat="1" ht="14.25" x14ac:dyDescent="0.15">
      <c r="D49" s="33"/>
    </row>
    <row r="50" spans="4:4" s="16" customFormat="1" ht="14.25" x14ac:dyDescent="0.15">
      <c r="D50" s="33"/>
    </row>
    <row r="51" spans="4:4" s="16" customFormat="1" ht="14.25" x14ac:dyDescent="0.15">
      <c r="D51" s="33"/>
    </row>
    <row r="52" spans="4:4" s="16" customFormat="1" ht="14.25" x14ac:dyDescent="0.15">
      <c r="D52" s="33"/>
    </row>
    <row r="53" spans="4:4" s="16" customFormat="1" ht="14.25" x14ac:dyDescent="0.15">
      <c r="D53" s="33"/>
    </row>
    <row r="54" spans="4:4" s="16" customFormat="1" ht="14.25" x14ac:dyDescent="0.15">
      <c r="D54" s="33"/>
    </row>
    <row r="55" spans="4:4" s="16" customFormat="1" ht="14.25" x14ac:dyDescent="0.15">
      <c r="D55" s="33"/>
    </row>
    <row r="56" spans="4:4" s="16" customFormat="1" ht="14.25" x14ac:dyDescent="0.15">
      <c r="D56" s="33"/>
    </row>
    <row r="57" spans="4:4" s="16" customFormat="1" ht="14.25" x14ac:dyDescent="0.15">
      <c r="D57" s="33"/>
    </row>
    <row r="58" spans="4:4" s="16" customFormat="1" ht="14.25" x14ac:dyDescent="0.15">
      <c r="D58" s="33"/>
    </row>
    <row r="59" spans="4:4" s="16" customFormat="1" ht="14.25" x14ac:dyDescent="0.15">
      <c r="D59" s="33"/>
    </row>
    <row r="60" spans="4:4" s="16" customFormat="1" ht="14.25" x14ac:dyDescent="0.15">
      <c r="D60" s="33"/>
    </row>
    <row r="61" spans="4:4" s="16" customFormat="1" ht="14.25" x14ac:dyDescent="0.15">
      <c r="D61" s="33"/>
    </row>
    <row r="62" spans="4:4" s="16" customFormat="1" ht="14.25" x14ac:dyDescent="0.15">
      <c r="D62" s="33"/>
    </row>
    <row r="63" spans="4:4" s="16" customFormat="1" ht="14.25" x14ac:dyDescent="0.15">
      <c r="D63" s="33"/>
    </row>
    <row r="64" spans="4:4" s="16" customFormat="1" ht="14.25" x14ac:dyDescent="0.15">
      <c r="D64" s="33"/>
    </row>
    <row r="65" spans="4:4" s="16" customFormat="1" ht="14.25" x14ac:dyDescent="0.15">
      <c r="D65" s="33"/>
    </row>
    <row r="66" spans="4:4" s="16" customFormat="1" ht="14.25" x14ac:dyDescent="0.15">
      <c r="D66" s="33"/>
    </row>
    <row r="67" spans="4:4" s="16" customFormat="1" ht="14.25" x14ac:dyDescent="0.15">
      <c r="D67" s="33"/>
    </row>
    <row r="68" spans="4:4" s="16" customFormat="1" ht="14.25" x14ac:dyDescent="0.15">
      <c r="D68" s="33"/>
    </row>
    <row r="69" spans="4:4" s="16" customFormat="1" ht="14.25" x14ac:dyDescent="0.15">
      <c r="D69" s="33"/>
    </row>
    <row r="70" spans="4:4" s="16" customFormat="1" ht="14.25" x14ac:dyDescent="0.15">
      <c r="D70" s="33"/>
    </row>
    <row r="71" spans="4:4" s="16" customFormat="1" ht="14.25" x14ac:dyDescent="0.15">
      <c r="D71" s="33"/>
    </row>
    <row r="72" spans="4:4" s="16" customFormat="1" ht="14.25" x14ac:dyDescent="0.15">
      <c r="D72" s="33"/>
    </row>
    <row r="73" spans="4:4" s="16" customFormat="1" ht="14.25" x14ac:dyDescent="0.15">
      <c r="D73" s="33"/>
    </row>
    <row r="74" spans="4:4" s="16" customFormat="1" ht="14.25" x14ac:dyDescent="0.15">
      <c r="D74" s="33"/>
    </row>
    <row r="75" spans="4:4" s="16" customFormat="1" ht="14.25" x14ac:dyDescent="0.15">
      <c r="D75" s="33"/>
    </row>
    <row r="76" spans="4:4" s="16" customFormat="1" ht="14.25" x14ac:dyDescent="0.15">
      <c r="D76" s="33"/>
    </row>
    <row r="77" spans="4:4" s="16" customFormat="1" ht="14.25" x14ac:dyDescent="0.15">
      <c r="D77" s="33"/>
    </row>
    <row r="78" spans="4:4" s="16" customFormat="1" ht="14.25" x14ac:dyDescent="0.15">
      <c r="D78" s="33"/>
    </row>
    <row r="79" spans="4:4" s="16" customFormat="1" ht="14.25" x14ac:dyDescent="0.15">
      <c r="D79" s="33"/>
    </row>
    <row r="80" spans="4:4" s="16" customFormat="1" ht="14.25" x14ac:dyDescent="0.15">
      <c r="D80" s="33"/>
    </row>
    <row r="81" spans="4:4" s="16" customFormat="1" ht="14.25" x14ac:dyDescent="0.15">
      <c r="D81" s="33"/>
    </row>
    <row r="82" spans="4:4" s="16" customFormat="1" ht="14.25" x14ac:dyDescent="0.15">
      <c r="D82" s="33"/>
    </row>
    <row r="83" spans="4:4" s="16" customFormat="1" ht="14.25" x14ac:dyDescent="0.15">
      <c r="D83" s="33"/>
    </row>
    <row r="84" spans="4:4" s="16" customFormat="1" ht="14.25" x14ac:dyDescent="0.15">
      <c r="D84" s="33"/>
    </row>
    <row r="85" spans="4:4" s="16" customFormat="1" ht="14.25" x14ac:dyDescent="0.15">
      <c r="D85" s="33"/>
    </row>
    <row r="86" spans="4:4" s="16" customFormat="1" ht="14.25" x14ac:dyDescent="0.15">
      <c r="D86" s="33"/>
    </row>
    <row r="87" spans="4:4" s="16" customFormat="1" ht="14.25" x14ac:dyDescent="0.15">
      <c r="D87" s="33"/>
    </row>
    <row r="88" spans="4:4" s="16" customFormat="1" ht="14.25" x14ac:dyDescent="0.15">
      <c r="D88" s="33"/>
    </row>
    <row r="89" spans="4:4" s="16" customFormat="1" ht="14.25" x14ac:dyDescent="0.15">
      <c r="D89" s="33"/>
    </row>
    <row r="90" spans="4:4" s="16" customFormat="1" ht="14.25" x14ac:dyDescent="0.15">
      <c r="D90" s="33"/>
    </row>
    <row r="91" spans="4:4" s="16" customFormat="1" ht="14.25" x14ac:dyDescent="0.15">
      <c r="D91" s="33"/>
    </row>
    <row r="92" spans="4:4" s="16" customFormat="1" ht="14.25" x14ac:dyDescent="0.15">
      <c r="D92" s="33"/>
    </row>
    <row r="93" spans="4:4" s="16" customFormat="1" ht="14.25" x14ac:dyDescent="0.15">
      <c r="D93" s="33"/>
    </row>
    <row r="94" spans="4:4" s="16" customFormat="1" ht="14.25" x14ac:dyDescent="0.15">
      <c r="D94" s="33"/>
    </row>
    <row r="95" spans="4:4" s="16" customFormat="1" ht="14.25" x14ac:dyDescent="0.15">
      <c r="D95" s="33"/>
    </row>
    <row r="96" spans="4:4" s="16" customFormat="1" ht="14.25" x14ac:dyDescent="0.15">
      <c r="D96" s="33"/>
    </row>
    <row r="97" spans="4:4" s="16" customFormat="1" ht="14.25" x14ac:dyDescent="0.15">
      <c r="D97" s="33"/>
    </row>
    <row r="98" spans="4:4" s="16" customFormat="1" ht="14.25" x14ac:dyDescent="0.15">
      <c r="D98" s="33"/>
    </row>
    <row r="99" spans="4:4" s="16" customFormat="1" ht="14.25" x14ac:dyDescent="0.15">
      <c r="D99" s="33"/>
    </row>
    <row r="100" spans="4:4" s="16" customFormat="1" ht="14.25" x14ac:dyDescent="0.15">
      <c r="D100" s="33"/>
    </row>
    <row r="101" spans="4:4" s="16" customFormat="1" ht="14.25" x14ac:dyDescent="0.15">
      <c r="D101" s="33"/>
    </row>
    <row r="102" spans="4:4" s="16" customFormat="1" ht="14.25" x14ac:dyDescent="0.15">
      <c r="D102" s="33"/>
    </row>
    <row r="103" spans="4:4" s="16" customFormat="1" ht="14.25" x14ac:dyDescent="0.15">
      <c r="D103" s="33"/>
    </row>
    <row r="104" spans="4:4" s="16" customFormat="1" ht="14.25" x14ac:dyDescent="0.15">
      <c r="D104" s="33"/>
    </row>
    <row r="105" spans="4:4" s="16" customFormat="1" ht="14.25" x14ac:dyDescent="0.15">
      <c r="D105" s="33"/>
    </row>
    <row r="106" spans="4:4" s="16" customFormat="1" ht="14.25" x14ac:dyDescent="0.15">
      <c r="D106" s="33"/>
    </row>
    <row r="107" spans="4:4" s="16" customFormat="1" ht="14.25" x14ac:dyDescent="0.15">
      <c r="D107" s="33"/>
    </row>
    <row r="108" spans="4:4" s="16" customFormat="1" ht="14.25" x14ac:dyDescent="0.15">
      <c r="D108" s="33"/>
    </row>
    <row r="109" spans="4:4" s="16" customFormat="1" ht="14.25" x14ac:dyDescent="0.15">
      <c r="D109" s="33"/>
    </row>
    <row r="110" spans="4:4" s="16" customFormat="1" ht="14.25" x14ac:dyDescent="0.15">
      <c r="D110" s="33"/>
    </row>
    <row r="111" spans="4:4" s="16" customFormat="1" ht="14.25" x14ac:dyDescent="0.15">
      <c r="D111" s="33"/>
    </row>
    <row r="112" spans="4:4" s="16" customFormat="1" ht="14.25" x14ac:dyDescent="0.15">
      <c r="D112" s="33"/>
    </row>
    <row r="113" spans="4:4" s="16" customFormat="1" ht="14.25" x14ac:dyDescent="0.15">
      <c r="D113" s="33"/>
    </row>
    <row r="114" spans="4:4" s="16" customFormat="1" ht="14.25" x14ac:dyDescent="0.15">
      <c r="D114" s="33"/>
    </row>
    <row r="115" spans="4:4" s="24" customFormat="1" ht="14.25" x14ac:dyDescent="0.25">
      <c r="D115" s="34"/>
    </row>
    <row r="116" spans="4:4" s="24" customFormat="1" ht="14.25" x14ac:dyDescent="0.25">
      <c r="D116" s="34"/>
    </row>
    <row r="117" spans="4:4" s="24" customFormat="1" ht="14.25" x14ac:dyDescent="0.25">
      <c r="D117" s="34"/>
    </row>
    <row r="118" spans="4:4" s="24" customFormat="1" ht="14.25" x14ac:dyDescent="0.25">
      <c r="D118" s="34"/>
    </row>
    <row r="119" spans="4:4" s="24" customFormat="1" ht="14.25" x14ac:dyDescent="0.25">
      <c r="D119" s="34"/>
    </row>
    <row r="120" spans="4:4" s="24" customFormat="1" ht="14.25" x14ac:dyDescent="0.25">
      <c r="D120" s="34"/>
    </row>
    <row r="121" spans="4:4" s="24" customFormat="1" ht="14.25" x14ac:dyDescent="0.25">
      <c r="D121" s="34"/>
    </row>
    <row r="122" spans="4:4" s="24" customFormat="1" ht="14.25" x14ac:dyDescent="0.25">
      <c r="D122" s="34"/>
    </row>
    <row r="123" spans="4:4" s="24" customFormat="1" ht="14.25" x14ac:dyDescent="0.25">
      <c r="D123" s="34"/>
    </row>
    <row r="124" spans="4:4" s="24" customFormat="1" ht="14.25" x14ac:dyDescent="0.25">
      <c r="D124" s="34"/>
    </row>
    <row r="125" spans="4:4" s="24" customFormat="1" ht="14.25" x14ac:dyDescent="0.25">
      <c r="D125" s="34"/>
    </row>
    <row r="126" spans="4:4" s="24" customFormat="1" ht="14.25" x14ac:dyDescent="0.25">
      <c r="D126" s="34"/>
    </row>
    <row r="127" spans="4:4" s="2" customFormat="1" ht="14.25" x14ac:dyDescent="0.25">
      <c r="D127" s="10"/>
    </row>
    <row r="128" spans="4:4" s="2" customFormat="1" ht="14.25" x14ac:dyDescent="0.25">
      <c r="D128" s="10"/>
    </row>
    <row r="129" spans="4:4" s="2" customFormat="1" ht="14.25" x14ac:dyDescent="0.25">
      <c r="D129" s="10"/>
    </row>
    <row r="130" spans="4:4" s="2" customFormat="1" ht="14.25" x14ac:dyDescent="0.25">
      <c r="D130" s="10"/>
    </row>
    <row r="131" spans="4:4" s="2" customFormat="1" ht="14.25" x14ac:dyDescent="0.25">
      <c r="D131" s="10"/>
    </row>
    <row r="132" spans="4:4" s="2" customFormat="1" ht="14.25" x14ac:dyDescent="0.25">
      <c r="D132" s="10"/>
    </row>
    <row r="133" spans="4:4" s="2" customFormat="1" ht="14.25" x14ac:dyDescent="0.25">
      <c r="D133" s="10"/>
    </row>
    <row r="134" spans="4:4" s="2" customFormat="1" ht="14.25" x14ac:dyDescent="0.25">
      <c r="D134" s="10"/>
    </row>
    <row r="135" spans="4:4" s="2" customFormat="1" ht="14.25" x14ac:dyDescent="0.25">
      <c r="D135" s="10"/>
    </row>
    <row r="136" spans="4:4" s="2" customFormat="1" ht="14.25" x14ac:dyDescent="0.25">
      <c r="D136" s="10"/>
    </row>
    <row r="137" spans="4:4" s="2" customFormat="1" ht="14.25" x14ac:dyDescent="0.25">
      <c r="D137" s="10"/>
    </row>
    <row r="138" spans="4:4" s="2" customFormat="1" ht="14.25" x14ac:dyDescent="0.25">
      <c r="D138" s="10"/>
    </row>
    <row r="139" spans="4:4" s="2" customFormat="1" ht="14.25" x14ac:dyDescent="0.25">
      <c r="D139" s="10"/>
    </row>
    <row r="140" spans="4:4" s="2" customFormat="1" ht="14.25" x14ac:dyDescent="0.25">
      <c r="D140" s="10"/>
    </row>
    <row r="141" spans="4:4" s="2" customFormat="1" ht="14.25" x14ac:dyDescent="0.25">
      <c r="D141" s="10"/>
    </row>
    <row r="142" spans="4:4" s="2" customFormat="1" ht="14.25" x14ac:dyDescent="0.25">
      <c r="D142" s="10"/>
    </row>
    <row r="143" spans="4:4" s="2" customFormat="1" ht="14.25" x14ac:dyDescent="0.25">
      <c r="D143" s="10"/>
    </row>
    <row r="144" spans="4:4" s="2" customFormat="1" ht="14.25" x14ac:dyDescent="0.25">
      <c r="D144" s="10"/>
    </row>
    <row r="145" spans="4:4" s="2" customFormat="1" ht="14.25" x14ac:dyDescent="0.25">
      <c r="D145" s="10"/>
    </row>
    <row r="146" spans="4:4" s="2" customFormat="1" ht="14.25" x14ac:dyDescent="0.25">
      <c r="D146" s="10"/>
    </row>
    <row r="147" spans="4:4" s="2" customFormat="1" ht="14.25" x14ac:dyDescent="0.25">
      <c r="D147" s="10"/>
    </row>
    <row r="148" spans="4:4" s="2" customFormat="1" ht="14.25" x14ac:dyDescent="0.25">
      <c r="D148" s="10"/>
    </row>
    <row r="149" spans="4:4" s="2" customFormat="1" ht="14.25" x14ac:dyDescent="0.25">
      <c r="D149" s="10"/>
    </row>
    <row r="150" spans="4:4" s="2" customFormat="1" ht="14.25" x14ac:dyDescent="0.25">
      <c r="D150" s="10"/>
    </row>
    <row r="151" spans="4:4" s="2" customFormat="1" ht="14.25" x14ac:dyDescent="0.25">
      <c r="D151" s="10"/>
    </row>
    <row r="152" spans="4:4" s="2" customFormat="1" ht="14.25" x14ac:dyDescent="0.25">
      <c r="D152" s="10"/>
    </row>
    <row r="153" spans="4:4" s="2" customFormat="1" ht="14.25" x14ac:dyDescent="0.25">
      <c r="D153" s="10"/>
    </row>
    <row r="154" spans="4:4" s="2" customFormat="1" ht="14.25" x14ac:dyDescent="0.25">
      <c r="D154" s="10"/>
    </row>
    <row r="155" spans="4:4" s="2" customFormat="1" ht="14.25" x14ac:dyDescent="0.25">
      <c r="D155" s="10"/>
    </row>
    <row r="156" spans="4:4" s="2" customFormat="1" ht="14.25" x14ac:dyDescent="0.25">
      <c r="D156" s="10"/>
    </row>
    <row r="157" spans="4:4" s="2" customFormat="1" ht="14.25" x14ac:dyDescent="0.25">
      <c r="D157" s="10"/>
    </row>
    <row r="158" spans="4:4" s="2" customFormat="1" ht="14.25" x14ac:dyDescent="0.25">
      <c r="D158" s="10"/>
    </row>
    <row r="159" spans="4:4" s="2" customFormat="1" ht="14.25" x14ac:dyDescent="0.25">
      <c r="D159" s="10"/>
    </row>
    <row r="160" spans="4:4" s="2" customFormat="1" ht="14.25" x14ac:dyDescent="0.25">
      <c r="D160" s="10"/>
    </row>
    <row r="161" spans="4:4" s="2" customFormat="1" ht="14.25" x14ac:dyDescent="0.25">
      <c r="D161" s="10"/>
    </row>
    <row r="162" spans="4:4" s="2" customFormat="1" ht="14.25" x14ac:dyDescent="0.25">
      <c r="D162" s="10"/>
    </row>
    <row r="163" spans="4:4" s="2" customFormat="1" ht="14.25" x14ac:dyDescent="0.25">
      <c r="D163" s="10"/>
    </row>
    <row r="164" spans="4:4" s="2" customFormat="1" ht="14.25" x14ac:dyDescent="0.25">
      <c r="D164" s="10"/>
    </row>
    <row r="165" spans="4:4" s="2" customFormat="1" ht="14.25" x14ac:dyDescent="0.25">
      <c r="D165" s="10"/>
    </row>
    <row r="166" spans="4:4" s="2" customFormat="1" ht="14.25" x14ac:dyDescent="0.25">
      <c r="D166" s="10"/>
    </row>
    <row r="167" spans="4:4" s="2" customFormat="1" ht="14.25" x14ac:dyDescent="0.25">
      <c r="D167" s="10"/>
    </row>
    <row r="168" spans="4:4" s="2" customFormat="1" ht="14.25" x14ac:dyDescent="0.25">
      <c r="D168" s="10"/>
    </row>
    <row r="169" spans="4:4" s="2" customFormat="1" ht="14.25" x14ac:dyDescent="0.25">
      <c r="D169" s="10"/>
    </row>
    <row r="170" spans="4:4" s="2" customFormat="1" ht="14.25" x14ac:dyDescent="0.25">
      <c r="D170" s="10"/>
    </row>
    <row r="171" spans="4:4" s="2" customFormat="1" ht="14.25" x14ac:dyDescent="0.25">
      <c r="D171" s="10"/>
    </row>
    <row r="172" spans="4:4" s="2" customFormat="1" ht="14.25" x14ac:dyDescent="0.25">
      <c r="D172" s="10"/>
    </row>
    <row r="173" spans="4:4" s="2" customFormat="1" ht="14.25" x14ac:dyDescent="0.25">
      <c r="D173" s="10"/>
    </row>
    <row r="174" spans="4:4" s="2" customFormat="1" ht="14.25" x14ac:dyDescent="0.25">
      <c r="D174" s="10"/>
    </row>
    <row r="175" spans="4:4" s="2" customFormat="1" ht="14.25" x14ac:dyDescent="0.25">
      <c r="D175" s="10"/>
    </row>
    <row r="176" spans="4:4" s="2" customFormat="1" ht="14.25" x14ac:dyDescent="0.25">
      <c r="D176" s="10"/>
    </row>
    <row r="177" spans="4:4" s="2" customFormat="1" ht="14.25" x14ac:dyDescent="0.25">
      <c r="D177" s="10"/>
    </row>
    <row r="178" spans="4:4" s="2" customFormat="1" ht="14.25" x14ac:dyDescent="0.25">
      <c r="D178" s="10"/>
    </row>
    <row r="179" spans="4:4" s="2" customFormat="1" ht="14.25" x14ac:dyDescent="0.25">
      <c r="D179" s="10"/>
    </row>
    <row r="180" spans="4:4" s="2" customFormat="1" ht="14.25" x14ac:dyDescent="0.25">
      <c r="D180" s="10"/>
    </row>
    <row r="181" spans="4:4" s="2" customFormat="1" ht="14.25" x14ac:dyDescent="0.25">
      <c r="D181" s="10"/>
    </row>
    <row r="182" spans="4:4" s="2" customFormat="1" ht="14.25" x14ac:dyDescent="0.25">
      <c r="D182" s="10"/>
    </row>
    <row r="183" spans="4:4" s="2" customFormat="1" ht="14.25" x14ac:dyDescent="0.25">
      <c r="D183" s="10"/>
    </row>
    <row r="184" spans="4:4" s="2" customFormat="1" ht="14.25" x14ac:dyDescent="0.25">
      <c r="D184" s="10"/>
    </row>
    <row r="185" spans="4:4" s="2" customFormat="1" ht="14.25" x14ac:dyDescent="0.25">
      <c r="D185" s="10"/>
    </row>
    <row r="186" spans="4:4" s="2" customFormat="1" ht="14.25" x14ac:dyDescent="0.25">
      <c r="D186" s="10"/>
    </row>
    <row r="187" spans="4:4" s="2" customFormat="1" ht="14.25" x14ac:dyDescent="0.25">
      <c r="D187" s="10"/>
    </row>
    <row r="188" spans="4:4" s="2" customFormat="1" ht="14.25" x14ac:dyDescent="0.25">
      <c r="D188" s="10"/>
    </row>
    <row r="189" spans="4:4" s="2" customFormat="1" ht="14.25" x14ac:dyDescent="0.25">
      <c r="D189" s="10"/>
    </row>
    <row r="190" spans="4:4" s="2" customFormat="1" ht="14.25" x14ac:dyDescent="0.25">
      <c r="D190" s="10"/>
    </row>
    <row r="191" spans="4:4" s="2" customFormat="1" ht="14.25" x14ac:dyDescent="0.25">
      <c r="D191" s="10"/>
    </row>
    <row r="192" spans="4:4" s="2" customFormat="1" ht="14.25" x14ac:dyDescent="0.25">
      <c r="D192" s="10"/>
    </row>
    <row r="193" spans="4:4" s="2" customFormat="1" ht="14.25" x14ac:dyDescent="0.25">
      <c r="D193" s="10"/>
    </row>
    <row r="194" spans="4:4" s="2" customFormat="1" ht="14.25" x14ac:dyDescent="0.25">
      <c r="D194" s="10"/>
    </row>
    <row r="195" spans="4:4" s="2" customFormat="1" ht="14.25" x14ac:dyDescent="0.25">
      <c r="D195" s="10"/>
    </row>
    <row r="196" spans="4:4" s="2" customFormat="1" ht="14.25" x14ac:dyDescent="0.25">
      <c r="D196" s="10"/>
    </row>
    <row r="197" spans="4:4" s="2" customFormat="1" ht="14.25" x14ac:dyDescent="0.25">
      <c r="D197" s="10"/>
    </row>
    <row r="198" spans="4:4" s="2" customFormat="1" ht="14.25" x14ac:dyDescent="0.25">
      <c r="D198" s="10"/>
    </row>
    <row r="199" spans="4:4" s="2" customFormat="1" ht="14.25" x14ac:dyDescent="0.25">
      <c r="D199" s="10"/>
    </row>
    <row r="200" spans="4:4" s="2" customFormat="1" ht="14.25" x14ac:dyDescent="0.25">
      <c r="D200" s="10"/>
    </row>
    <row r="201" spans="4:4" s="2" customFormat="1" ht="14.25" x14ac:dyDescent="0.25">
      <c r="D201" s="10"/>
    </row>
    <row r="202" spans="4:4" s="2" customFormat="1" ht="14.25" x14ac:dyDescent="0.25">
      <c r="D202" s="10"/>
    </row>
    <row r="203" spans="4:4" s="2" customFormat="1" ht="14.25" x14ac:dyDescent="0.25">
      <c r="D203" s="10"/>
    </row>
    <row r="204" spans="4:4" s="2" customFormat="1" ht="14.25" x14ac:dyDescent="0.25">
      <c r="D204" s="10"/>
    </row>
    <row r="205" spans="4:4" s="2" customFormat="1" ht="14.25" x14ac:dyDescent="0.25">
      <c r="D205" s="10"/>
    </row>
    <row r="206" spans="4:4" s="2" customFormat="1" ht="14.25" x14ac:dyDescent="0.25">
      <c r="D206" s="10"/>
    </row>
    <row r="207" spans="4:4" s="2" customFormat="1" ht="14.25" x14ac:dyDescent="0.25">
      <c r="D207" s="10"/>
    </row>
    <row r="208" spans="4:4" s="2" customFormat="1" ht="14.25" x14ac:dyDescent="0.25">
      <c r="D208" s="10"/>
    </row>
    <row r="209" spans="4:4" s="2" customFormat="1" ht="14.25" x14ac:dyDescent="0.25">
      <c r="D209" s="10"/>
    </row>
    <row r="210" spans="4:4" s="2" customFormat="1" ht="14.25" x14ac:dyDescent="0.25">
      <c r="D210" s="10"/>
    </row>
    <row r="211" spans="4:4" s="2" customFormat="1" ht="14.25" x14ac:dyDescent="0.25">
      <c r="D211" s="10"/>
    </row>
    <row r="212" spans="4:4" s="2" customFormat="1" ht="14.25" x14ac:dyDescent="0.25">
      <c r="D212" s="10"/>
    </row>
    <row r="213" spans="4:4" s="2" customFormat="1" ht="14.25" x14ac:dyDescent="0.25">
      <c r="D213" s="10"/>
    </row>
    <row r="214" spans="4:4" s="2" customFormat="1" ht="14.25" x14ac:dyDescent="0.25">
      <c r="D214" s="10"/>
    </row>
    <row r="215" spans="4:4" s="2" customFormat="1" ht="14.25" x14ac:dyDescent="0.25">
      <c r="D215" s="10"/>
    </row>
    <row r="216" spans="4:4" s="2" customFormat="1" ht="14.25" x14ac:dyDescent="0.25">
      <c r="D216" s="10"/>
    </row>
    <row r="217" spans="4:4" s="2" customFormat="1" ht="14.25" x14ac:dyDescent="0.25">
      <c r="D217" s="10"/>
    </row>
    <row r="218" spans="4:4" s="2" customFormat="1" ht="14.25" x14ac:dyDescent="0.25">
      <c r="D218" s="10"/>
    </row>
    <row r="219" spans="4:4" s="2" customFormat="1" ht="14.25" x14ac:dyDescent="0.25">
      <c r="D219" s="10"/>
    </row>
    <row r="220" spans="4:4" s="2" customFormat="1" ht="14.25" x14ac:dyDescent="0.25">
      <c r="D220" s="10"/>
    </row>
    <row r="221" spans="4:4" s="2" customFormat="1" ht="14.25" x14ac:dyDescent="0.25">
      <c r="D221" s="10"/>
    </row>
    <row r="222" spans="4:4" s="2" customFormat="1" ht="14.25" x14ac:dyDescent="0.25">
      <c r="D222" s="10"/>
    </row>
    <row r="223" spans="4:4" s="2" customFormat="1" ht="14.25" x14ac:dyDescent="0.25">
      <c r="D223" s="10"/>
    </row>
    <row r="224" spans="4:4" s="2" customFormat="1" ht="14.25" x14ac:dyDescent="0.25">
      <c r="D224" s="10"/>
    </row>
    <row r="225" spans="4:4" s="2" customFormat="1" ht="14.25" x14ac:dyDescent="0.25">
      <c r="D225" s="10"/>
    </row>
    <row r="226" spans="4:4" s="2" customFormat="1" ht="14.25" x14ac:dyDescent="0.25">
      <c r="D226" s="10"/>
    </row>
    <row r="227" spans="4:4" s="2" customFormat="1" ht="14.25" x14ac:dyDescent="0.25">
      <c r="D227" s="10"/>
    </row>
    <row r="228" spans="4:4" s="2" customFormat="1" ht="14.25" x14ac:dyDescent="0.25">
      <c r="D228" s="10"/>
    </row>
    <row r="229" spans="4:4" s="2" customFormat="1" ht="14.25" x14ac:dyDescent="0.25">
      <c r="D229" s="10"/>
    </row>
    <row r="230" spans="4:4" s="2" customFormat="1" ht="14.25" x14ac:dyDescent="0.25">
      <c r="D230" s="10"/>
    </row>
    <row r="231" spans="4:4" s="2" customFormat="1" ht="14.25" x14ac:dyDescent="0.25">
      <c r="D231" s="10"/>
    </row>
    <row r="232" spans="4:4" s="2" customFormat="1" ht="14.25" x14ac:dyDescent="0.25">
      <c r="D232" s="10"/>
    </row>
    <row r="233" spans="4:4" s="2" customFormat="1" ht="14.25" x14ac:dyDescent="0.25">
      <c r="D233" s="10"/>
    </row>
    <row r="234" spans="4:4" s="2" customFormat="1" ht="14.25" x14ac:dyDescent="0.25">
      <c r="D234" s="10"/>
    </row>
    <row r="235" spans="4:4" s="2" customFormat="1" ht="14.25" x14ac:dyDescent="0.25">
      <c r="D235" s="10"/>
    </row>
    <row r="236" spans="4:4" s="2" customFormat="1" ht="14.25" x14ac:dyDescent="0.25">
      <c r="D236" s="10"/>
    </row>
    <row r="237" spans="4:4" s="2" customFormat="1" ht="14.25" x14ac:dyDescent="0.25">
      <c r="D237" s="10"/>
    </row>
    <row r="238" spans="4:4" s="2" customFormat="1" ht="14.25" x14ac:dyDescent="0.25">
      <c r="D238" s="10"/>
    </row>
    <row r="239" spans="4:4" s="2" customFormat="1" ht="14.25" x14ac:dyDescent="0.25">
      <c r="D239" s="10"/>
    </row>
    <row r="240" spans="4:4" s="2" customFormat="1" ht="14.25" x14ac:dyDescent="0.25">
      <c r="D240" s="10"/>
    </row>
    <row r="241" spans="4:4" s="2" customFormat="1" ht="14.25" x14ac:dyDescent="0.25">
      <c r="D241" s="10"/>
    </row>
    <row r="242" spans="4:4" s="2" customFormat="1" ht="14.25" x14ac:dyDescent="0.25">
      <c r="D242" s="10"/>
    </row>
    <row r="243" spans="4:4" s="2" customFormat="1" ht="14.25" x14ac:dyDescent="0.25">
      <c r="D243" s="10"/>
    </row>
    <row r="244" spans="4:4" s="2" customFormat="1" ht="14.25" x14ac:dyDescent="0.25">
      <c r="D244" s="10"/>
    </row>
    <row r="245" spans="4:4" s="2" customFormat="1" ht="14.25" x14ac:dyDescent="0.25">
      <c r="D245" s="10"/>
    </row>
    <row r="246" spans="4:4" s="2" customFormat="1" ht="14.25" x14ac:dyDescent="0.25">
      <c r="D246" s="10"/>
    </row>
    <row r="247" spans="4:4" s="2" customFormat="1" ht="14.25" x14ac:dyDescent="0.25">
      <c r="D247" s="10"/>
    </row>
    <row r="248" spans="4:4" s="2" customFormat="1" ht="14.25" x14ac:dyDescent="0.25">
      <c r="D248" s="10"/>
    </row>
    <row r="249" spans="4:4" s="2" customFormat="1" ht="14.25" x14ac:dyDescent="0.25">
      <c r="D249" s="10"/>
    </row>
    <row r="250" spans="4:4" s="2" customFormat="1" ht="14.25" x14ac:dyDescent="0.25">
      <c r="D250" s="10"/>
    </row>
    <row r="251" spans="4:4" s="2" customFormat="1" ht="14.25" x14ac:dyDescent="0.25">
      <c r="D251" s="10"/>
    </row>
    <row r="252" spans="4:4" s="2" customFormat="1" ht="14.25" x14ac:dyDescent="0.25">
      <c r="D252" s="10"/>
    </row>
    <row r="253" spans="4:4" s="2" customFormat="1" ht="14.25" x14ac:dyDescent="0.25">
      <c r="D253" s="10"/>
    </row>
    <row r="254" spans="4:4" s="2" customFormat="1" ht="14.25" x14ac:dyDescent="0.25">
      <c r="D254" s="10"/>
    </row>
    <row r="255" spans="4:4" s="2" customFormat="1" ht="14.25" x14ac:dyDescent="0.25">
      <c r="D255" s="10"/>
    </row>
    <row r="256" spans="4:4" s="2" customFormat="1" ht="14.25" x14ac:dyDescent="0.25">
      <c r="D256" s="10"/>
    </row>
    <row r="257" spans="4:4" s="2" customFormat="1" ht="14.25" x14ac:dyDescent="0.25">
      <c r="D257" s="10"/>
    </row>
    <row r="258" spans="4:4" s="2" customFormat="1" ht="14.25" x14ac:dyDescent="0.25">
      <c r="D258" s="10"/>
    </row>
    <row r="259" spans="4:4" s="2" customFormat="1" ht="14.25" x14ac:dyDescent="0.25">
      <c r="D259" s="10"/>
    </row>
    <row r="260" spans="4:4" s="2" customFormat="1" ht="14.25" x14ac:dyDescent="0.25">
      <c r="D260" s="10"/>
    </row>
    <row r="261" spans="4:4" s="2" customFormat="1" ht="14.25" x14ac:dyDescent="0.25">
      <c r="D261" s="10"/>
    </row>
    <row r="262" spans="4:4" s="2" customFormat="1" ht="14.25" x14ac:dyDescent="0.25">
      <c r="D262" s="10"/>
    </row>
    <row r="263" spans="4:4" s="2" customFormat="1" ht="14.25" x14ac:dyDescent="0.25">
      <c r="D263" s="10"/>
    </row>
    <row r="264" spans="4:4" s="2" customFormat="1" ht="14.25" x14ac:dyDescent="0.25">
      <c r="D264" s="10"/>
    </row>
    <row r="265" spans="4:4" s="2" customFormat="1" ht="14.25" x14ac:dyDescent="0.25">
      <c r="D265" s="10"/>
    </row>
    <row r="266" spans="4:4" s="2" customFormat="1" ht="14.25" x14ac:dyDescent="0.25">
      <c r="D266" s="10"/>
    </row>
    <row r="267" spans="4:4" s="2" customFormat="1" ht="14.25" x14ac:dyDescent="0.25">
      <c r="D267" s="10"/>
    </row>
    <row r="268" spans="4:4" s="2" customFormat="1" ht="14.25" x14ac:dyDescent="0.25">
      <c r="D268" s="10"/>
    </row>
    <row r="269" spans="4:4" s="2" customFormat="1" ht="14.25" x14ac:dyDescent="0.25">
      <c r="D269" s="10"/>
    </row>
    <row r="270" spans="4:4" s="2" customFormat="1" ht="14.25" x14ac:dyDescent="0.25">
      <c r="D270" s="10"/>
    </row>
    <row r="271" spans="4:4" s="2" customFormat="1" ht="14.25" x14ac:dyDescent="0.25">
      <c r="D271" s="10"/>
    </row>
    <row r="272" spans="4:4" s="2" customFormat="1" ht="14.25" x14ac:dyDescent="0.25">
      <c r="D272" s="10"/>
    </row>
    <row r="273" spans="4:4" s="2" customFormat="1" ht="14.25" x14ac:dyDescent="0.25">
      <c r="D273" s="10"/>
    </row>
    <row r="274" spans="4:4" s="2" customFormat="1" ht="14.25" x14ac:dyDescent="0.25">
      <c r="D274" s="10"/>
    </row>
    <row r="275" spans="4:4" s="2" customFormat="1" ht="14.25" x14ac:dyDescent="0.25">
      <c r="D275" s="10"/>
    </row>
    <row r="276" spans="4:4" s="2" customFormat="1" ht="14.25" x14ac:dyDescent="0.25">
      <c r="D276" s="10"/>
    </row>
    <row r="277" spans="4:4" s="2" customFormat="1" ht="14.25" x14ac:dyDescent="0.25">
      <c r="D277" s="10"/>
    </row>
    <row r="278" spans="4:4" s="2" customFormat="1" ht="14.25" x14ac:dyDescent="0.25">
      <c r="D278" s="10"/>
    </row>
    <row r="279" spans="4:4" s="2" customFormat="1" ht="14.25" x14ac:dyDescent="0.25">
      <c r="D279" s="10"/>
    </row>
  </sheetData>
  <mergeCells count="51">
    <mergeCell ref="A33:A34"/>
    <mergeCell ref="D33:D34"/>
    <mergeCell ref="R35:R36"/>
    <mergeCell ref="R19:R20"/>
    <mergeCell ref="R33:R34"/>
    <mergeCell ref="R31:R32"/>
    <mergeCell ref="R21:R22"/>
    <mergeCell ref="R25:R26"/>
    <mergeCell ref="R29:R30"/>
    <mergeCell ref="R23:R24"/>
    <mergeCell ref="R27:R28"/>
    <mergeCell ref="A1:R1"/>
    <mergeCell ref="A2:R2"/>
    <mergeCell ref="A3:A4"/>
    <mergeCell ref="D3:D4"/>
    <mergeCell ref="G3:G4"/>
    <mergeCell ref="H3:H4"/>
    <mergeCell ref="J3:Q3"/>
    <mergeCell ref="R3:R4"/>
    <mergeCell ref="B3:B4"/>
    <mergeCell ref="C3:C4"/>
    <mergeCell ref="A17:A18"/>
    <mergeCell ref="A13:A14"/>
    <mergeCell ref="A15:A16"/>
    <mergeCell ref="R17:R18"/>
    <mergeCell ref="R11:R12"/>
    <mergeCell ref="R15:R16"/>
    <mergeCell ref="A37:D37"/>
    <mergeCell ref="A19:A20"/>
    <mergeCell ref="A21:A22"/>
    <mergeCell ref="D21:D22"/>
    <mergeCell ref="A25:A26"/>
    <mergeCell ref="D25:D26"/>
    <mergeCell ref="A23:A24"/>
    <mergeCell ref="D23:D24"/>
    <mergeCell ref="A27:A28"/>
    <mergeCell ref="D27:D28"/>
    <mergeCell ref="A35:A36"/>
    <mergeCell ref="D35:D36"/>
    <mergeCell ref="A29:A30"/>
    <mergeCell ref="D29:D30"/>
    <mergeCell ref="A31:A32"/>
    <mergeCell ref="D31:D32"/>
    <mergeCell ref="A5:A6"/>
    <mergeCell ref="A9:A10"/>
    <mergeCell ref="A7:A8"/>
    <mergeCell ref="R5:R6"/>
    <mergeCell ref="R13:R14"/>
    <mergeCell ref="A11:A12"/>
    <mergeCell ref="R9:R10"/>
    <mergeCell ref="R7:R8"/>
  </mergeCells>
  <phoneticPr fontId="2" type="noConversion"/>
  <printOptions horizontalCentered="1" verticalCentered="1"/>
  <pageMargins left="0.19685039370078741" right="0.19685039370078741" top="0" bottom="0" header="0.31496062992125984" footer="0.42"/>
  <pageSetup paperSize="9" scale="85" orientation="landscape" r:id="rId1"/>
  <headerFooter alignWithMargins="0">
    <oddHeader>&amp;R第&amp;P页，共&amp;N页</oddHeader>
    <oddFooter>&amp;RSTPM-D-4-005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48"/>
  <sheetViews>
    <sheetView zoomScale="80" zoomScaleNormal="80" zoomScaleSheetLayoutView="80" workbookViewId="0">
      <pane xSplit="4" ySplit="4" topLeftCell="E6" activePane="bottomRight" state="frozen"/>
      <selection activeCell="E31" sqref="E31"/>
      <selection pane="topRight" activeCell="E31" sqref="E31"/>
      <selection pane="bottomLeft" activeCell="E31" sqref="E31"/>
      <selection pane="bottomRight" activeCell="S8" sqref="S8"/>
    </sheetView>
  </sheetViews>
  <sheetFormatPr defaultColWidth="11.25" defaultRowHeight="14.45" customHeight="1" x14ac:dyDescent="0.3"/>
  <cols>
    <col min="1" max="2" width="9.625" style="1" customWidth="1"/>
    <col min="3" max="3" width="13.75" style="1" customWidth="1"/>
    <col min="4" max="4" width="13.625" style="1" customWidth="1"/>
    <col min="5" max="5" width="9.625" style="1" customWidth="1"/>
    <col min="6" max="6" width="10.625" style="1" customWidth="1"/>
    <col min="7" max="7" width="10.125" style="1" customWidth="1"/>
    <col min="8" max="9" width="9.625" style="1" customWidth="1"/>
    <col min="10" max="10" width="10.25" style="1" customWidth="1"/>
    <col min="11" max="15" width="9.625" style="1" customWidth="1"/>
    <col min="16" max="16" width="10.25" style="1" customWidth="1"/>
    <col min="17" max="17" width="4.625" style="1" customWidth="1"/>
    <col min="18" max="18" width="8" style="1" bestFit="1" customWidth="1"/>
    <col min="19" max="16384" width="11.25" style="1"/>
  </cols>
  <sheetData>
    <row r="1" spans="1:16" s="4" customFormat="1" ht="22.5" customHeight="1" x14ac:dyDescent="0.35">
      <c r="A1" s="151" t="s">
        <v>356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16" ht="18.75" thickBot="1" x14ac:dyDescent="0.35">
      <c r="A2" s="152" t="s">
        <v>357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</row>
    <row r="3" spans="1:16" s="12" customFormat="1" ht="14.25" x14ac:dyDescent="0.15">
      <c r="A3" s="124" t="s">
        <v>9</v>
      </c>
      <c r="B3" s="129" t="s">
        <v>165</v>
      </c>
      <c r="C3" s="129" t="s">
        <v>363</v>
      </c>
      <c r="D3" s="126" t="s">
        <v>10</v>
      </c>
      <c r="E3" s="107" t="s">
        <v>11</v>
      </c>
      <c r="F3" s="126" t="s">
        <v>12</v>
      </c>
      <c r="G3" s="126"/>
      <c r="H3" s="126"/>
      <c r="I3" s="126" t="s">
        <v>14</v>
      </c>
      <c r="J3" s="126" t="s">
        <v>18</v>
      </c>
      <c r="K3" s="126" t="s">
        <v>16</v>
      </c>
      <c r="L3" s="126"/>
      <c r="M3" s="126"/>
      <c r="N3" s="126"/>
      <c r="O3" s="126"/>
      <c r="P3" s="146" t="s">
        <v>17</v>
      </c>
    </row>
    <row r="4" spans="1:16" s="12" customFormat="1" ht="14.25" x14ac:dyDescent="0.15">
      <c r="A4" s="125"/>
      <c r="B4" s="130"/>
      <c r="C4" s="130"/>
      <c r="D4" s="128"/>
      <c r="E4" s="108" t="s">
        <v>18</v>
      </c>
      <c r="F4" s="108" t="s">
        <v>19</v>
      </c>
      <c r="G4" s="108" t="s">
        <v>30</v>
      </c>
      <c r="H4" s="108" t="s">
        <v>31</v>
      </c>
      <c r="I4" s="128"/>
      <c r="J4" s="128"/>
      <c r="K4" s="81" t="s">
        <v>19</v>
      </c>
      <c r="L4" s="84" t="s">
        <v>30</v>
      </c>
      <c r="M4" s="81" t="s">
        <v>32</v>
      </c>
      <c r="N4" s="84" t="s">
        <v>20</v>
      </c>
      <c r="O4" s="108" t="s">
        <v>18</v>
      </c>
      <c r="P4" s="147"/>
    </row>
    <row r="5" spans="1:16" s="12" customFormat="1" ht="14.25" x14ac:dyDescent="0.15">
      <c r="A5" s="25" t="s">
        <v>55</v>
      </c>
      <c r="B5" s="102" t="s">
        <v>173</v>
      </c>
      <c r="C5" s="102" t="s">
        <v>447</v>
      </c>
      <c r="D5" s="42" t="s">
        <v>276</v>
      </c>
      <c r="E5" s="26">
        <v>0</v>
      </c>
      <c r="F5" s="26"/>
      <c r="G5" s="26">
        <f t="shared" ref="G5:G39" si="0">H5+L5</f>
        <v>0</v>
      </c>
      <c r="H5" s="26"/>
      <c r="I5" s="26"/>
      <c r="J5" s="26">
        <f>E5+F5-H5-I5</f>
        <v>0</v>
      </c>
      <c r="K5" s="82"/>
      <c r="L5" s="85"/>
      <c r="M5" s="82"/>
      <c r="N5" s="85"/>
      <c r="O5" s="26">
        <f>K5+L5+M5+N5</f>
        <v>0</v>
      </c>
      <c r="P5" s="27">
        <f t="shared" ref="P5:P14" si="1">O5-J5</f>
        <v>0</v>
      </c>
    </row>
    <row r="6" spans="1:16" s="12" customFormat="1" ht="14.25" x14ac:dyDescent="0.15">
      <c r="A6" s="25" t="s">
        <v>55</v>
      </c>
      <c r="B6" s="103" t="s">
        <v>311</v>
      </c>
      <c r="C6" s="103" t="s">
        <v>448</v>
      </c>
      <c r="D6" s="43" t="s">
        <v>277</v>
      </c>
      <c r="E6" s="26">
        <v>0</v>
      </c>
      <c r="F6" s="26">
        <v>192000</v>
      </c>
      <c r="G6" s="26">
        <f t="shared" si="0"/>
        <v>160000</v>
      </c>
      <c r="H6" s="26">
        <v>160000</v>
      </c>
      <c r="I6" s="26"/>
      <c r="J6" s="26">
        <f t="shared" ref="J6:J39" si="2">E6+F6-H6-I6</f>
        <v>32000</v>
      </c>
      <c r="K6" s="82">
        <v>32000</v>
      </c>
      <c r="L6" s="85"/>
      <c r="M6" s="82"/>
      <c r="N6" s="85"/>
      <c r="O6" s="26">
        <f t="shared" ref="O6:O39" si="3">K6+L6+M6+N6</f>
        <v>32000</v>
      </c>
      <c r="P6" s="27">
        <f t="shared" si="1"/>
        <v>0</v>
      </c>
    </row>
    <row r="7" spans="1:16" s="12" customFormat="1" ht="14.25" x14ac:dyDescent="0.15">
      <c r="A7" s="25" t="s">
        <v>55</v>
      </c>
      <c r="B7" s="102" t="s">
        <v>312</v>
      </c>
      <c r="C7" s="102" t="s">
        <v>449</v>
      </c>
      <c r="D7" s="42" t="s">
        <v>278</v>
      </c>
      <c r="E7" s="26">
        <v>0</v>
      </c>
      <c r="F7" s="26">
        <v>624000</v>
      </c>
      <c r="G7" s="26">
        <f t="shared" si="0"/>
        <v>624000</v>
      </c>
      <c r="H7" s="26">
        <v>624000</v>
      </c>
      <c r="I7" s="26"/>
      <c r="J7" s="26">
        <f>E7+F7-H7-I7</f>
        <v>0</v>
      </c>
      <c r="K7" s="82"/>
      <c r="L7" s="85"/>
      <c r="M7" s="82"/>
      <c r="N7" s="85"/>
      <c r="O7" s="26">
        <f t="shared" si="3"/>
        <v>0</v>
      </c>
      <c r="P7" s="27">
        <f t="shared" si="1"/>
        <v>0</v>
      </c>
    </row>
    <row r="8" spans="1:16" s="12" customFormat="1" ht="14.25" x14ac:dyDescent="0.15">
      <c r="A8" s="25" t="s">
        <v>55</v>
      </c>
      <c r="B8" s="102" t="s">
        <v>312</v>
      </c>
      <c r="C8" s="102"/>
      <c r="D8" s="42" t="s">
        <v>279</v>
      </c>
      <c r="E8" s="26">
        <v>0</v>
      </c>
      <c r="F8" s="26"/>
      <c r="G8" s="26">
        <f t="shared" si="0"/>
        <v>0</v>
      </c>
      <c r="H8" s="26"/>
      <c r="I8" s="26"/>
      <c r="J8" s="26">
        <f>E8+F8-H8-I8</f>
        <v>0</v>
      </c>
      <c r="K8" s="82"/>
      <c r="L8" s="85"/>
      <c r="M8" s="82"/>
      <c r="N8" s="85"/>
      <c r="O8" s="26">
        <f>K8+L8+M8+N8</f>
        <v>0</v>
      </c>
      <c r="P8" s="27">
        <f t="shared" si="1"/>
        <v>0</v>
      </c>
    </row>
    <row r="9" spans="1:16" s="12" customFormat="1" ht="14.25" x14ac:dyDescent="0.15">
      <c r="A9" s="25" t="s">
        <v>55</v>
      </c>
      <c r="B9" s="103" t="s">
        <v>313</v>
      </c>
      <c r="C9" s="103" t="s">
        <v>450</v>
      </c>
      <c r="D9" s="43" t="s">
        <v>280</v>
      </c>
      <c r="E9" s="26">
        <v>0</v>
      </c>
      <c r="F9" s="26">
        <v>910000</v>
      </c>
      <c r="G9" s="26">
        <f t="shared" si="0"/>
        <v>910000</v>
      </c>
      <c r="H9" s="26">
        <v>910000</v>
      </c>
      <c r="I9" s="26"/>
      <c r="J9" s="26">
        <f t="shared" si="2"/>
        <v>0</v>
      </c>
      <c r="K9" s="82"/>
      <c r="L9" s="85"/>
      <c r="M9" s="82"/>
      <c r="N9" s="85"/>
      <c r="O9" s="26">
        <f t="shared" si="3"/>
        <v>0</v>
      </c>
      <c r="P9" s="27">
        <f t="shared" si="1"/>
        <v>0</v>
      </c>
    </row>
    <row r="10" spans="1:16" s="12" customFormat="1" ht="14.25" x14ac:dyDescent="0.15">
      <c r="A10" s="25" t="s">
        <v>55</v>
      </c>
      <c r="B10" s="102" t="s">
        <v>314</v>
      </c>
      <c r="C10" s="102" t="s">
        <v>451</v>
      </c>
      <c r="D10" s="42" t="s">
        <v>281</v>
      </c>
      <c r="E10" s="26">
        <v>0</v>
      </c>
      <c r="F10" s="26">
        <v>216000</v>
      </c>
      <c r="G10" s="26">
        <f t="shared" si="0"/>
        <v>216000</v>
      </c>
      <c r="H10" s="26">
        <v>216000</v>
      </c>
      <c r="I10" s="26"/>
      <c r="J10" s="26">
        <f t="shared" si="2"/>
        <v>0</v>
      </c>
      <c r="K10" s="82"/>
      <c r="L10" s="85"/>
      <c r="M10" s="82"/>
      <c r="N10" s="85"/>
      <c r="O10" s="26">
        <f t="shared" si="3"/>
        <v>0</v>
      </c>
      <c r="P10" s="27">
        <f t="shared" si="1"/>
        <v>0</v>
      </c>
    </row>
    <row r="11" spans="1:16" s="12" customFormat="1" ht="14.25" x14ac:dyDescent="0.15">
      <c r="A11" s="25" t="s">
        <v>55</v>
      </c>
      <c r="B11" s="103" t="s">
        <v>315</v>
      </c>
      <c r="C11" s="103" t="s">
        <v>452</v>
      </c>
      <c r="D11" s="43" t="s">
        <v>282</v>
      </c>
      <c r="E11" s="26">
        <v>0</v>
      </c>
      <c r="F11" s="26">
        <v>252000</v>
      </c>
      <c r="G11" s="26">
        <f t="shared" si="0"/>
        <v>243600</v>
      </c>
      <c r="H11" s="26">
        <v>243600</v>
      </c>
      <c r="I11" s="26"/>
      <c r="J11" s="26">
        <f t="shared" si="2"/>
        <v>8400</v>
      </c>
      <c r="K11" s="82">
        <v>8400</v>
      </c>
      <c r="L11" s="85"/>
      <c r="M11" s="82"/>
      <c r="N11" s="85"/>
      <c r="O11" s="26">
        <f t="shared" si="3"/>
        <v>8400</v>
      </c>
      <c r="P11" s="27">
        <f t="shared" si="1"/>
        <v>0</v>
      </c>
    </row>
    <row r="12" spans="1:16" s="12" customFormat="1" ht="14.25" x14ac:dyDescent="0.15">
      <c r="A12" s="25" t="s">
        <v>55</v>
      </c>
      <c r="B12" s="102" t="s">
        <v>316</v>
      </c>
      <c r="C12" s="102" t="s">
        <v>453</v>
      </c>
      <c r="D12" s="42" t="s">
        <v>283</v>
      </c>
      <c r="E12" s="26">
        <v>0</v>
      </c>
      <c r="F12" s="26">
        <v>108000</v>
      </c>
      <c r="G12" s="26">
        <f t="shared" si="0"/>
        <v>108000</v>
      </c>
      <c r="H12" s="26">
        <v>108000</v>
      </c>
      <c r="I12" s="26"/>
      <c r="J12" s="26">
        <f t="shared" si="2"/>
        <v>0</v>
      </c>
      <c r="K12" s="82"/>
      <c r="L12" s="85"/>
      <c r="M12" s="82"/>
      <c r="N12" s="85"/>
      <c r="O12" s="26">
        <f t="shared" si="3"/>
        <v>0</v>
      </c>
      <c r="P12" s="27">
        <f t="shared" si="1"/>
        <v>0</v>
      </c>
    </row>
    <row r="13" spans="1:16" s="12" customFormat="1" ht="14.25" x14ac:dyDescent="0.15">
      <c r="A13" s="25" t="s">
        <v>55</v>
      </c>
      <c r="B13" s="103" t="s">
        <v>317</v>
      </c>
      <c r="C13" s="103" t="s">
        <v>454</v>
      </c>
      <c r="D13" s="43" t="s">
        <v>284</v>
      </c>
      <c r="E13" s="26">
        <v>0</v>
      </c>
      <c r="F13" s="26">
        <v>315000</v>
      </c>
      <c r="G13" s="26">
        <f t="shared" si="0"/>
        <v>315000</v>
      </c>
      <c r="H13" s="26">
        <v>315000</v>
      </c>
      <c r="I13" s="26"/>
      <c r="J13" s="26">
        <f t="shared" si="2"/>
        <v>0</v>
      </c>
      <c r="K13" s="82"/>
      <c r="L13" s="85"/>
      <c r="M13" s="82"/>
      <c r="N13" s="85"/>
      <c r="O13" s="26">
        <f t="shared" si="3"/>
        <v>0</v>
      </c>
      <c r="P13" s="27">
        <f t="shared" si="1"/>
        <v>0</v>
      </c>
    </row>
    <row r="14" spans="1:16" s="12" customFormat="1" ht="14.25" x14ac:dyDescent="0.15">
      <c r="A14" s="25" t="s">
        <v>153</v>
      </c>
      <c r="B14" s="102" t="s">
        <v>318</v>
      </c>
      <c r="C14" s="102" t="s">
        <v>455</v>
      </c>
      <c r="D14" s="42" t="s">
        <v>285</v>
      </c>
      <c r="E14" s="26">
        <v>184800</v>
      </c>
      <c r="F14" s="26">
        <v>6064800</v>
      </c>
      <c r="G14" s="26">
        <f t="shared" si="0"/>
        <v>6249600</v>
      </c>
      <c r="H14" s="26">
        <v>6249600</v>
      </c>
      <c r="I14" s="26"/>
      <c r="J14" s="26">
        <f t="shared" si="2"/>
        <v>0</v>
      </c>
      <c r="K14" s="82">
        <v>33600</v>
      </c>
      <c r="L14" s="85"/>
      <c r="M14" s="82"/>
      <c r="N14" s="85"/>
      <c r="O14" s="26">
        <f t="shared" si="3"/>
        <v>33600</v>
      </c>
      <c r="P14" s="27">
        <f t="shared" si="1"/>
        <v>33600</v>
      </c>
    </row>
    <row r="15" spans="1:16" s="12" customFormat="1" ht="14.25" x14ac:dyDescent="0.15">
      <c r="A15" s="25" t="s">
        <v>55</v>
      </c>
      <c r="B15" s="102" t="s">
        <v>318</v>
      </c>
      <c r="C15" s="102"/>
      <c r="D15" s="42" t="s">
        <v>286</v>
      </c>
      <c r="E15" s="26">
        <v>0</v>
      </c>
      <c r="F15" s="26"/>
      <c r="G15" s="26">
        <f t="shared" si="0"/>
        <v>0</v>
      </c>
      <c r="H15" s="26"/>
      <c r="I15" s="26"/>
      <c r="J15" s="26">
        <f t="shared" si="2"/>
        <v>0</v>
      </c>
      <c r="K15" s="82"/>
      <c r="L15" s="85"/>
      <c r="M15" s="82"/>
      <c r="N15" s="85"/>
      <c r="O15" s="26">
        <f t="shared" si="3"/>
        <v>0</v>
      </c>
      <c r="P15" s="27">
        <f t="shared" ref="P15:P31" si="4">O15-J15</f>
        <v>0</v>
      </c>
    </row>
    <row r="16" spans="1:16" s="12" customFormat="1" ht="14.25" x14ac:dyDescent="0.15">
      <c r="A16" s="90" t="s">
        <v>55</v>
      </c>
      <c r="B16" s="103" t="s">
        <v>319</v>
      </c>
      <c r="C16" s="103" t="s">
        <v>456</v>
      </c>
      <c r="D16" s="43" t="s">
        <v>287</v>
      </c>
      <c r="E16" s="26">
        <v>12000</v>
      </c>
      <c r="F16" s="26">
        <v>2424000</v>
      </c>
      <c r="G16" s="26">
        <f t="shared" si="0"/>
        <v>2316000</v>
      </c>
      <c r="H16" s="26">
        <v>2316000</v>
      </c>
      <c r="I16" s="26"/>
      <c r="J16" s="26">
        <f t="shared" si="2"/>
        <v>120000</v>
      </c>
      <c r="K16" s="82">
        <f>12000+108000</f>
        <v>120000</v>
      </c>
      <c r="L16" s="85"/>
      <c r="M16" s="82"/>
      <c r="N16" s="85"/>
      <c r="O16" s="26">
        <f>K16+L16+M16+N16</f>
        <v>120000</v>
      </c>
      <c r="P16" s="27">
        <f t="shared" si="4"/>
        <v>0</v>
      </c>
    </row>
    <row r="17" spans="1:16" s="12" customFormat="1" ht="14.25" x14ac:dyDescent="0.15">
      <c r="A17" s="25" t="s">
        <v>55</v>
      </c>
      <c r="B17" s="103" t="s">
        <v>319</v>
      </c>
      <c r="C17" s="103"/>
      <c r="D17" s="43" t="s">
        <v>288</v>
      </c>
      <c r="E17" s="26">
        <v>0</v>
      </c>
      <c r="F17" s="26"/>
      <c r="G17" s="26">
        <f t="shared" si="0"/>
        <v>0</v>
      </c>
      <c r="H17" s="26"/>
      <c r="I17" s="26"/>
      <c r="J17" s="26">
        <f t="shared" si="2"/>
        <v>0</v>
      </c>
      <c r="K17" s="82"/>
      <c r="L17" s="85"/>
      <c r="M17" s="82"/>
      <c r="N17" s="85"/>
      <c r="O17" s="26">
        <f t="shared" si="3"/>
        <v>0</v>
      </c>
      <c r="P17" s="27">
        <f t="shared" si="4"/>
        <v>0</v>
      </c>
    </row>
    <row r="18" spans="1:16" s="12" customFormat="1" ht="14.25" x14ac:dyDescent="0.15">
      <c r="A18" s="25" t="s">
        <v>55</v>
      </c>
      <c r="B18" s="102" t="s">
        <v>320</v>
      </c>
      <c r="C18" s="102" t="s">
        <v>457</v>
      </c>
      <c r="D18" s="42" t="s">
        <v>289</v>
      </c>
      <c r="E18" s="26">
        <v>0</v>
      </c>
      <c r="F18" s="26">
        <v>777600</v>
      </c>
      <c r="G18" s="26">
        <f t="shared" si="0"/>
        <v>672000</v>
      </c>
      <c r="H18" s="26">
        <v>672000</v>
      </c>
      <c r="I18" s="26"/>
      <c r="J18" s="26">
        <f t="shared" si="2"/>
        <v>105600</v>
      </c>
      <c r="K18" s="82">
        <v>105600</v>
      </c>
      <c r="L18" s="85"/>
      <c r="M18" s="82"/>
      <c r="N18" s="85"/>
      <c r="O18" s="26">
        <f t="shared" si="3"/>
        <v>105600</v>
      </c>
      <c r="P18" s="27">
        <f t="shared" si="4"/>
        <v>0</v>
      </c>
    </row>
    <row r="19" spans="1:16" s="12" customFormat="1" ht="14.25" x14ac:dyDescent="0.15">
      <c r="A19" s="25" t="s">
        <v>55</v>
      </c>
      <c r="B19" s="103" t="s">
        <v>321</v>
      </c>
      <c r="C19" s="103" t="s">
        <v>458</v>
      </c>
      <c r="D19" s="43" t="s">
        <v>290</v>
      </c>
      <c r="E19" s="26">
        <v>0</v>
      </c>
      <c r="F19" s="26">
        <v>675000</v>
      </c>
      <c r="G19" s="26">
        <f t="shared" si="0"/>
        <v>675000</v>
      </c>
      <c r="H19" s="26">
        <v>675000</v>
      </c>
      <c r="I19" s="26"/>
      <c r="J19" s="26">
        <f t="shared" si="2"/>
        <v>0</v>
      </c>
      <c r="K19" s="82"/>
      <c r="L19" s="85"/>
      <c r="M19" s="82"/>
      <c r="N19" s="85"/>
      <c r="O19" s="26">
        <f t="shared" si="3"/>
        <v>0</v>
      </c>
      <c r="P19" s="27">
        <f t="shared" si="4"/>
        <v>0</v>
      </c>
    </row>
    <row r="20" spans="1:16" s="12" customFormat="1" ht="14.25" x14ac:dyDescent="0.15">
      <c r="A20" s="25" t="s">
        <v>55</v>
      </c>
      <c r="B20" s="102" t="s">
        <v>322</v>
      </c>
      <c r="C20" s="102" t="s">
        <v>459</v>
      </c>
      <c r="D20" s="42" t="s">
        <v>291</v>
      </c>
      <c r="E20" s="26">
        <v>0</v>
      </c>
      <c r="F20" s="26"/>
      <c r="G20" s="26">
        <f t="shared" si="0"/>
        <v>0</v>
      </c>
      <c r="H20" s="26"/>
      <c r="I20" s="26"/>
      <c r="J20" s="26">
        <f t="shared" si="2"/>
        <v>0</v>
      </c>
      <c r="K20" s="82"/>
      <c r="L20" s="85"/>
      <c r="M20" s="82"/>
      <c r="N20" s="85"/>
      <c r="O20" s="26">
        <f t="shared" si="3"/>
        <v>0</v>
      </c>
      <c r="P20" s="27">
        <f t="shared" si="4"/>
        <v>0</v>
      </c>
    </row>
    <row r="21" spans="1:16" s="12" customFormat="1" ht="14.25" x14ac:dyDescent="0.15">
      <c r="A21" s="25" t="s">
        <v>55</v>
      </c>
      <c r="B21" s="103" t="s">
        <v>323</v>
      </c>
      <c r="C21" s="103" t="s">
        <v>460</v>
      </c>
      <c r="D21" s="43" t="s">
        <v>292</v>
      </c>
      <c r="E21" s="26">
        <v>0</v>
      </c>
      <c r="F21" s="26"/>
      <c r="G21" s="26">
        <f t="shared" si="0"/>
        <v>0</v>
      </c>
      <c r="H21" s="26"/>
      <c r="I21" s="26"/>
      <c r="J21" s="26">
        <f t="shared" si="2"/>
        <v>0</v>
      </c>
      <c r="K21" s="82"/>
      <c r="L21" s="85"/>
      <c r="M21" s="82"/>
      <c r="N21" s="85"/>
      <c r="O21" s="26">
        <f t="shared" si="3"/>
        <v>0</v>
      </c>
      <c r="P21" s="27">
        <f t="shared" si="4"/>
        <v>0</v>
      </c>
    </row>
    <row r="22" spans="1:16" s="12" customFormat="1" ht="14.25" x14ac:dyDescent="0.15">
      <c r="A22" s="25" t="s">
        <v>55</v>
      </c>
      <c r="B22" s="102" t="s">
        <v>324</v>
      </c>
      <c r="C22" s="102" t="s">
        <v>461</v>
      </c>
      <c r="D22" s="42" t="s">
        <v>293</v>
      </c>
      <c r="E22" s="26">
        <v>0</v>
      </c>
      <c r="F22" s="26">
        <v>201600</v>
      </c>
      <c r="G22" s="26">
        <f t="shared" si="0"/>
        <v>194950</v>
      </c>
      <c r="H22" s="26">
        <v>184800</v>
      </c>
      <c r="I22" s="26"/>
      <c r="J22" s="26">
        <f t="shared" si="2"/>
        <v>16800</v>
      </c>
      <c r="K22" s="82"/>
      <c r="L22" s="85">
        <v>10150</v>
      </c>
      <c r="M22" s="82"/>
      <c r="N22" s="85">
        <v>6650</v>
      </c>
      <c r="O22" s="26">
        <f t="shared" si="3"/>
        <v>16800</v>
      </c>
      <c r="P22" s="118">
        <f t="shared" si="4"/>
        <v>0</v>
      </c>
    </row>
    <row r="23" spans="1:16" s="12" customFormat="1" ht="14.25" x14ac:dyDescent="0.15">
      <c r="A23" s="25" t="s">
        <v>55</v>
      </c>
      <c r="B23" s="103" t="s">
        <v>325</v>
      </c>
      <c r="C23" s="103" t="s">
        <v>462</v>
      </c>
      <c r="D23" s="43" t="s">
        <v>294</v>
      </c>
      <c r="E23" s="26">
        <v>0</v>
      </c>
      <c r="F23" s="26"/>
      <c r="G23" s="26">
        <f t="shared" si="0"/>
        <v>0</v>
      </c>
      <c r="H23" s="26"/>
      <c r="I23" s="26"/>
      <c r="J23" s="26">
        <f t="shared" si="2"/>
        <v>0</v>
      </c>
      <c r="K23" s="82"/>
      <c r="L23" s="85"/>
      <c r="M23" s="82"/>
      <c r="N23" s="85"/>
      <c r="O23" s="26">
        <f t="shared" si="3"/>
        <v>0</v>
      </c>
      <c r="P23" s="27">
        <f t="shared" si="4"/>
        <v>0</v>
      </c>
    </row>
    <row r="24" spans="1:16" s="12" customFormat="1" ht="14.25" x14ac:dyDescent="0.15">
      <c r="A24" s="25" t="s">
        <v>56</v>
      </c>
      <c r="B24" s="102" t="s">
        <v>326</v>
      </c>
      <c r="C24" s="102" t="s">
        <v>463</v>
      </c>
      <c r="D24" s="42" t="s">
        <v>295</v>
      </c>
      <c r="E24" s="26">
        <v>12000</v>
      </c>
      <c r="F24" s="26"/>
      <c r="G24" s="26">
        <f t="shared" si="0"/>
        <v>0</v>
      </c>
      <c r="H24" s="26"/>
      <c r="I24" s="26"/>
      <c r="J24" s="26">
        <f t="shared" si="2"/>
        <v>12000</v>
      </c>
      <c r="K24" s="82">
        <v>12000</v>
      </c>
      <c r="L24" s="85"/>
      <c r="M24" s="82"/>
      <c r="N24" s="85"/>
      <c r="O24" s="26">
        <f t="shared" si="3"/>
        <v>12000</v>
      </c>
      <c r="P24" s="27">
        <f t="shared" si="4"/>
        <v>0</v>
      </c>
    </row>
    <row r="25" spans="1:16" s="12" customFormat="1" ht="14.25" x14ac:dyDescent="0.15">
      <c r="A25" s="105" t="s">
        <v>57</v>
      </c>
      <c r="B25" s="103" t="s">
        <v>327</v>
      </c>
      <c r="C25" s="103" t="s">
        <v>464</v>
      </c>
      <c r="D25" s="43" t="s">
        <v>296</v>
      </c>
      <c r="E25" s="26">
        <v>28500</v>
      </c>
      <c r="F25" s="26"/>
      <c r="G25" s="26">
        <f t="shared" si="0"/>
        <v>0</v>
      </c>
      <c r="H25" s="26"/>
      <c r="I25" s="26"/>
      <c r="J25" s="26">
        <f>E25+F25-H25-I25</f>
        <v>28500</v>
      </c>
      <c r="K25" s="82">
        <v>28500</v>
      </c>
      <c r="L25" s="85"/>
      <c r="M25" s="82"/>
      <c r="N25" s="85"/>
      <c r="O25" s="26">
        <f t="shared" si="3"/>
        <v>28500</v>
      </c>
      <c r="P25" s="27">
        <f t="shared" si="4"/>
        <v>0</v>
      </c>
    </row>
    <row r="26" spans="1:16" s="12" customFormat="1" ht="14.25" x14ac:dyDescent="0.15">
      <c r="A26" s="25" t="s">
        <v>154</v>
      </c>
      <c r="B26" s="102" t="s">
        <v>328</v>
      </c>
      <c r="C26" s="102" t="s">
        <v>465</v>
      </c>
      <c r="D26" s="42" t="s">
        <v>297</v>
      </c>
      <c r="E26" s="26">
        <v>0</v>
      </c>
      <c r="F26" s="26">
        <v>480000</v>
      </c>
      <c r="G26" s="26">
        <f t="shared" si="0"/>
        <v>480000</v>
      </c>
      <c r="H26" s="26">
        <v>480000</v>
      </c>
      <c r="I26" s="26"/>
      <c r="J26" s="26">
        <f t="shared" ref="J26:J31" si="5">E26+F26-H26-I26</f>
        <v>0</v>
      </c>
      <c r="K26" s="82"/>
      <c r="L26" s="85"/>
      <c r="M26" s="82"/>
      <c r="N26" s="85"/>
      <c r="O26" s="26">
        <f t="shared" si="3"/>
        <v>0</v>
      </c>
      <c r="P26" s="27">
        <f t="shared" si="4"/>
        <v>0</v>
      </c>
    </row>
    <row r="27" spans="1:16" s="12" customFormat="1" ht="14.25" x14ac:dyDescent="0.15">
      <c r="A27" s="25" t="s">
        <v>159</v>
      </c>
      <c r="B27" s="103" t="s">
        <v>329</v>
      </c>
      <c r="C27" s="103" t="s">
        <v>466</v>
      </c>
      <c r="D27" s="43" t="s">
        <v>298</v>
      </c>
      <c r="E27" s="26">
        <v>28800</v>
      </c>
      <c r="F27" s="26">
        <v>249600</v>
      </c>
      <c r="G27" s="26">
        <f t="shared" si="0"/>
        <v>115200</v>
      </c>
      <c r="H27" s="26">
        <v>115200</v>
      </c>
      <c r="I27" s="26"/>
      <c r="J27" s="26">
        <f t="shared" si="5"/>
        <v>163200</v>
      </c>
      <c r="K27" s="82">
        <v>163200</v>
      </c>
      <c r="L27" s="85"/>
      <c r="M27" s="82"/>
      <c r="N27" s="85"/>
      <c r="O27" s="26">
        <f t="shared" si="3"/>
        <v>163200</v>
      </c>
      <c r="P27" s="27">
        <f t="shared" si="4"/>
        <v>0</v>
      </c>
    </row>
    <row r="28" spans="1:16" s="12" customFormat="1" ht="14.25" x14ac:dyDescent="0.15">
      <c r="A28" s="25" t="s">
        <v>159</v>
      </c>
      <c r="B28" s="102" t="s">
        <v>330</v>
      </c>
      <c r="C28" s="102" t="s">
        <v>467</v>
      </c>
      <c r="D28" s="42" t="s">
        <v>299</v>
      </c>
      <c r="E28" s="26">
        <v>0</v>
      </c>
      <c r="F28" s="26"/>
      <c r="G28" s="26"/>
      <c r="H28" s="26"/>
      <c r="I28" s="26"/>
      <c r="J28" s="26">
        <f t="shared" si="5"/>
        <v>0</v>
      </c>
      <c r="K28" s="82"/>
      <c r="L28" s="85"/>
      <c r="M28" s="82"/>
      <c r="N28" s="85"/>
      <c r="O28" s="26">
        <f t="shared" si="3"/>
        <v>0</v>
      </c>
      <c r="P28" s="27">
        <f t="shared" si="4"/>
        <v>0</v>
      </c>
    </row>
    <row r="29" spans="1:16" s="12" customFormat="1" ht="14.25" x14ac:dyDescent="0.15">
      <c r="A29" s="25" t="s">
        <v>58</v>
      </c>
      <c r="B29" s="103" t="s">
        <v>331</v>
      </c>
      <c r="C29" s="103" t="s">
        <v>468</v>
      </c>
      <c r="D29" s="43" t="s">
        <v>300</v>
      </c>
      <c r="E29" s="26">
        <v>0</v>
      </c>
      <c r="F29" s="26"/>
      <c r="G29" s="26">
        <f t="shared" si="0"/>
        <v>0</v>
      </c>
      <c r="H29" s="26"/>
      <c r="I29" s="26"/>
      <c r="J29" s="26">
        <f t="shared" si="5"/>
        <v>0</v>
      </c>
      <c r="K29" s="82"/>
      <c r="L29" s="85"/>
      <c r="M29" s="82"/>
      <c r="N29" s="85"/>
      <c r="O29" s="26">
        <f t="shared" si="3"/>
        <v>0</v>
      </c>
      <c r="P29" s="27">
        <f t="shared" si="4"/>
        <v>0</v>
      </c>
    </row>
    <row r="30" spans="1:16" s="12" customFormat="1" ht="14.25" x14ac:dyDescent="0.15">
      <c r="A30" s="25" t="s">
        <v>58</v>
      </c>
      <c r="B30" s="102" t="s">
        <v>174</v>
      </c>
      <c r="C30" s="102" t="s">
        <v>469</v>
      </c>
      <c r="D30" s="42" t="s">
        <v>301</v>
      </c>
      <c r="E30" s="26">
        <v>10000</v>
      </c>
      <c r="F30" s="26"/>
      <c r="G30" s="26">
        <f t="shared" si="0"/>
        <v>10000</v>
      </c>
      <c r="H30" s="26">
        <v>10000</v>
      </c>
      <c r="I30" s="26"/>
      <c r="J30" s="26">
        <f t="shared" si="5"/>
        <v>0</v>
      </c>
      <c r="K30" s="82"/>
      <c r="L30" s="85"/>
      <c r="M30" s="82"/>
      <c r="N30" s="85"/>
      <c r="O30" s="26">
        <f t="shared" si="3"/>
        <v>0</v>
      </c>
      <c r="P30" s="27">
        <f t="shared" si="4"/>
        <v>0</v>
      </c>
    </row>
    <row r="31" spans="1:16" s="12" customFormat="1" ht="14.25" x14ac:dyDescent="0.15">
      <c r="A31" s="25" t="s">
        <v>33</v>
      </c>
      <c r="B31" s="103" t="s">
        <v>175</v>
      </c>
      <c r="C31" s="103" t="s">
        <v>470</v>
      </c>
      <c r="D31" s="43" t="s">
        <v>302</v>
      </c>
      <c r="E31" s="26">
        <v>20000</v>
      </c>
      <c r="F31" s="26"/>
      <c r="G31" s="26">
        <f t="shared" si="0"/>
        <v>0</v>
      </c>
      <c r="H31" s="26"/>
      <c r="I31" s="26"/>
      <c r="J31" s="26">
        <f t="shared" si="5"/>
        <v>20000</v>
      </c>
      <c r="K31" s="82">
        <v>20000</v>
      </c>
      <c r="L31" s="85"/>
      <c r="M31" s="82"/>
      <c r="N31" s="85"/>
      <c r="O31" s="26">
        <f t="shared" si="3"/>
        <v>20000</v>
      </c>
      <c r="P31" s="27">
        <f t="shared" si="4"/>
        <v>0</v>
      </c>
    </row>
    <row r="32" spans="1:16" s="12" customFormat="1" ht="14.25" x14ac:dyDescent="0.15">
      <c r="A32" s="25" t="s">
        <v>33</v>
      </c>
      <c r="B32" s="102" t="s">
        <v>176</v>
      </c>
      <c r="C32" s="102" t="s">
        <v>471</v>
      </c>
      <c r="D32" s="42" t="s">
        <v>303</v>
      </c>
      <c r="E32" s="26">
        <v>0</v>
      </c>
      <c r="F32" s="26"/>
      <c r="G32" s="26">
        <f t="shared" si="0"/>
        <v>0</v>
      </c>
      <c r="H32" s="26"/>
      <c r="I32" s="26"/>
      <c r="J32" s="26">
        <f t="shared" ref="J32:J38" si="6">E32+F32-H32-I32</f>
        <v>0</v>
      </c>
      <c r="K32" s="82"/>
      <c r="L32" s="85"/>
      <c r="M32" s="82"/>
      <c r="N32" s="85"/>
      <c r="O32" s="26">
        <f t="shared" si="3"/>
        <v>0</v>
      </c>
      <c r="P32" s="27">
        <f t="shared" ref="P32:P38" si="7">O32-J32</f>
        <v>0</v>
      </c>
    </row>
    <row r="33" spans="1:16" s="12" customFormat="1" ht="14.25" x14ac:dyDescent="0.15">
      <c r="A33" s="25" t="s">
        <v>33</v>
      </c>
      <c r="B33" s="103" t="s">
        <v>177</v>
      </c>
      <c r="C33" s="103" t="s">
        <v>472</v>
      </c>
      <c r="D33" s="43" t="s">
        <v>304</v>
      </c>
      <c r="E33" s="26">
        <v>50000</v>
      </c>
      <c r="F33" s="26">
        <v>100000</v>
      </c>
      <c r="G33" s="26">
        <f t="shared" si="0"/>
        <v>50000</v>
      </c>
      <c r="H33" s="26">
        <v>50000</v>
      </c>
      <c r="I33" s="26"/>
      <c r="J33" s="26">
        <f t="shared" si="6"/>
        <v>100000</v>
      </c>
      <c r="K33" s="82">
        <v>100000</v>
      </c>
      <c r="L33" s="85"/>
      <c r="M33" s="82"/>
      <c r="N33" s="85"/>
      <c r="O33" s="26">
        <f t="shared" si="3"/>
        <v>100000</v>
      </c>
      <c r="P33" s="27">
        <f t="shared" si="7"/>
        <v>0</v>
      </c>
    </row>
    <row r="34" spans="1:16" s="12" customFormat="1" ht="14.25" x14ac:dyDescent="0.15">
      <c r="A34" s="25" t="s">
        <v>33</v>
      </c>
      <c r="B34" s="102" t="s">
        <v>178</v>
      </c>
      <c r="C34" s="102" t="s">
        <v>473</v>
      </c>
      <c r="D34" s="42" t="s">
        <v>305</v>
      </c>
      <c r="E34" s="26">
        <v>0</v>
      </c>
      <c r="F34" s="26"/>
      <c r="G34" s="26">
        <f t="shared" si="0"/>
        <v>0</v>
      </c>
      <c r="H34" s="26"/>
      <c r="I34" s="26"/>
      <c r="J34" s="26">
        <f t="shared" si="6"/>
        <v>0</v>
      </c>
      <c r="K34" s="82"/>
      <c r="L34" s="85"/>
      <c r="M34" s="82"/>
      <c r="N34" s="85"/>
      <c r="O34" s="26">
        <f t="shared" si="3"/>
        <v>0</v>
      </c>
      <c r="P34" s="27">
        <f t="shared" si="7"/>
        <v>0</v>
      </c>
    </row>
    <row r="35" spans="1:16" s="12" customFormat="1" ht="14.25" x14ac:dyDescent="0.15">
      <c r="A35" s="25" t="s">
        <v>33</v>
      </c>
      <c r="B35" s="103" t="s">
        <v>179</v>
      </c>
      <c r="C35" s="103" t="s">
        <v>474</v>
      </c>
      <c r="D35" s="43" t="s">
        <v>306</v>
      </c>
      <c r="E35" s="26">
        <v>0</v>
      </c>
      <c r="F35" s="26"/>
      <c r="G35" s="26">
        <f t="shared" si="0"/>
        <v>0</v>
      </c>
      <c r="H35" s="26"/>
      <c r="I35" s="26"/>
      <c r="J35" s="26">
        <f t="shared" si="6"/>
        <v>0</v>
      </c>
      <c r="K35" s="82"/>
      <c r="L35" s="85"/>
      <c r="M35" s="82"/>
      <c r="N35" s="85"/>
      <c r="O35" s="26">
        <f t="shared" si="3"/>
        <v>0</v>
      </c>
      <c r="P35" s="27">
        <f t="shared" si="7"/>
        <v>0</v>
      </c>
    </row>
    <row r="36" spans="1:16" s="12" customFormat="1" ht="14.25" x14ac:dyDescent="0.15">
      <c r="A36" s="25" t="s">
        <v>33</v>
      </c>
      <c r="B36" s="102" t="s">
        <v>180</v>
      </c>
      <c r="C36" s="102" t="s">
        <v>475</v>
      </c>
      <c r="D36" s="42" t="s">
        <v>307</v>
      </c>
      <c r="E36" s="26">
        <v>0</v>
      </c>
      <c r="F36" s="26"/>
      <c r="G36" s="26">
        <f t="shared" si="0"/>
        <v>0</v>
      </c>
      <c r="H36" s="26"/>
      <c r="I36" s="26"/>
      <c r="J36" s="26">
        <f t="shared" si="6"/>
        <v>0</v>
      </c>
      <c r="K36" s="82"/>
      <c r="L36" s="85"/>
      <c r="M36" s="82"/>
      <c r="N36" s="85"/>
      <c r="O36" s="26">
        <f t="shared" si="3"/>
        <v>0</v>
      </c>
      <c r="P36" s="27">
        <f t="shared" si="7"/>
        <v>0</v>
      </c>
    </row>
    <row r="37" spans="1:16" s="12" customFormat="1" ht="14.25" x14ac:dyDescent="0.15">
      <c r="A37" s="25" t="s">
        <v>33</v>
      </c>
      <c r="B37" s="103" t="s">
        <v>181</v>
      </c>
      <c r="C37" s="103" t="s">
        <v>476</v>
      </c>
      <c r="D37" s="43" t="s">
        <v>308</v>
      </c>
      <c r="E37" s="26">
        <v>0</v>
      </c>
      <c r="F37" s="26">
        <v>100000</v>
      </c>
      <c r="G37" s="26">
        <f t="shared" si="0"/>
        <v>0</v>
      </c>
      <c r="H37" s="26"/>
      <c r="I37" s="26"/>
      <c r="J37" s="26">
        <f t="shared" si="6"/>
        <v>100000</v>
      </c>
      <c r="K37" s="82">
        <v>100000</v>
      </c>
      <c r="L37" s="85"/>
      <c r="M37" s="82"/>
      <c r="N37" s="85"/>
      <c r="O37" s="26">
        <f t="shared" si="3"/>
        <v>100000</v>
      </c>
      <c r="P37" s="27">
        <f t="shared" si="7"/>
        <v>0</v>
      </c>
    </row>
    <row r="38" spans="1:16" s="12" customFormat="1" ht="14.25" x14ac:dyDescent="0.15">
      <c r="A38" s="25" t="s">
        <v>33</v>
      </c>
      <c r="B38" s="102" t="s">
        <v>182</v>
      </c>
      <c r="C38" s="102" t="s">
        <v>477</v>
      </c>
      <c r="D38" s="42" t="s">
        <v>309</v>
      </c>
      <c r="E38" s="26">
        <v>5000</v>
      </c>
      <c r="F38" s="26">
        <v>150000</v>
      </c>
      <c r="G38" s="26">
        <f t="shared" si="0"/>
        <v>185000</v>
      </c>
      <c r="H38" s="26">
        <v>185000</v>
      </c>
      <c r="I38" s="26"/>
      <c r="J38" s="26">
        <f t="shared" si="6"/>
        <v>-30000</v>
      </c>
      <c r="K38" s="82"/>
      <c r="L38" s="85"/>
      <c r="M38" s="82"/>
      <c r="N38" s="85"/>
      <c r="O38" s="26">
        <f t="shared" si="3"/>
        <v>0</v>
      </c>
      <c r="P38" s="118">
        <f t="shared" si="7"/>
        <v>30000</v>
      </c>
    </row>
    <row r="39" spans="1:16" s="12" customFormat="1" ht="14.25" x14ac:dyDescent="0.15">
      <c r="A39" s="25" t="s">
        <v>59</v>
      </c>
      <c r="B39" s="108" t="s">
        <v>183</v>
      </c>
      <c r="C39" s="119" t="s">
        <v>478</v>
      </c>
      <c r="D39" s="28" t="s">
        <v>310</v>
      </c>
      <c r="E39" s="26">
        <v>14400</v>
      </c>
      <c r="F39" s="26">
        <v>288000</v>
      </c>
      <c r="G39" s="26">
        <f t="shared" si="0"/>
        <v>302400</v>
      </c>
      <c r="H39" s="26">
        <v>302400</v>
      </c>
      <c r="I39" s="26"/>
      <c r="J39" s="26">
        <f t="shared" si="2"/>
        <v>0</v>
      </c>
      <c r="K39" s="82"/>
      <c r="L39" s="85"/>
      <c r="M39" s="82"/>
      <c r="N39" s="85"/>
      <c r="O39" s="26">
        <f t="shared" si="3"/>
        <v>0</v>
      </c>
      <c r="P39" s="27">
        <f>O39-J39</f>
        <v>0</v>
      </c>
    </row>
    <row r="40" spans="1:16" s="12" customFormat="1" ht="15" thickBot="1" x14ac:dyDescent="0.2">
      <c r="A40" s="148" t="s">
        <v>18</v>
      </c>
      <c r="B40" s="149"/>
      <c r="C40" s="149"/>
      <c r="D40" s="150"/>
      <c r="E40" s="30">
        <f t="shared" ref="E40:O40" si="8">SUM(E5:E39)</f>
        <v>365500</v>
      </c>
      <c r="F40" s="30">
        <f t="shared" si="8"/>
        <v>14127600</v>
      </c>
      <c r="G40" s="30">
        <f t="shared" si="8"/>
        <v>13826750</v>
      </c>
      <c r="H40" s="45">
        <f t="shared" si="8"/>
        <v>13816600</v>
      </c>
      <c r="I40" s="30">
        <f t="shared" si="8"/>
        <v>0</v>
      </c>
      <c r="J40" s="30">
        <f t="shared" si="8"/>
        <v>676500</v>
      </c>
      <c r="K40" s="83">
        <f t="shared" si="8"/>
        <v>723300</v>
      </c>
      <c r="L40" s="86">
        <f t="shared" si="8"/>
        <v>10150</v>
      </c>
      <c r="M40" s="83">
        <f t="shared" si="8"/>
        <v>0</v>
      </c>
      <c r="N40" s="86">
        <f t="shared" si="8"/>
        <v>6650</v>
      </c>
      <c r="O40" s="30">
        <f t="shared" si="8"/>
        <v>740100</v>
      </c>
      <c r="P40" s="31">
        <f>SUM(P5:P39)</f>
        <v>63600</v>
      </c>
    </row>
    <row r="41" spans="1:16" s="12" customFormat="1" ht="15" customHeight="1" x14ac:dyDescent="0.15">
      <c r="A41" s="12" t="s">
        <v>26</v>
      </c>
      <c r="H41" s="14"/>
      <c r="K41" s="12">
        <f>28500+12000+100000+20000+32000+33600+108000+100000+12000</f>
        <v>446100</v>
      </c>
    </row>
    <row r="42" spans="1:16" s="12" customFormat="1" ht="15" customHeight="1" x14ac:dyDescent="0.15">
      <c r="A42" s="12" t="s">
        <v>27</v>
      </c>
      <c r="I42" s="12" t="s">
        <v>28</v>
      </c>
      <c r="O42" s="12" t="s">
        <v>46</v>
      </c>
    </row>
    <row r="43" spans="1:16" s="12" customFormat="1" ht="14.25" x14ac:dyDescent="0.15"/>
    <row r="48" spans="1:16" ht="14.45" customHeight="1" x14ac:dyDescent="0.3">
      <c r="G48" s="89"/>
    </row>
  </sheetData>
  <mergeCells count="12">
    <mergeCell ref="J3:J4"/>
    <mergeCell ref="A40:D40"/>
    <mergeCell ref="A1:P1"/>
    <mergeCell ref="A2:P2"/>
    <mergeCell ref="A3:A4"/>
    <mergeCell ref="D3:D4"/>
    <mergeCell ref="F3:H3"/>
    <mergeCell ref="I3:I4"/>
    <mergeCell ref="K3:O3"/>
    <mergeCell ref="P3:P4"/>
    <mergeCell ref="B3:B4"/>
    <mergeCell ref="C3:C4"/>
  </mergeCells>
  <phoneticPr fontId="2" type="noConversion"/>
  <printOptions horizontalCentered="1" verticalCentered="1"/>
  <pageMargins left="0.19685039370078741" right="0.19685039370078741" top="0" bottom="0.39370078740157483" header="0.31496062992125984" footer="0.59"/>
  <pageSetup paperSize="9" scale="88" orientation="landscape" r:id="rId1"/>
  <headerFooter alignWithMargins="0">
    <oddHeader>&amp;R第&amp;"Times New Roman,常规" &amp;P &amp;"宋体,常规"页，共&amp;"Times New Roman,常规" &amp;N &amp;"宋体,常规"页</oddHeader>
    <oddFooter>&amp;RSTPM-D-4-005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7"/>
  </sheetPr>
  <dimension ref="A1:P128"/>
  <sheetViews>
    <sheetView zoomScale="80" zoomScaleNormal="80" workbookViewId="0">
      <pane xSplit="4" ySplit="4" topLeftCell="F5" activePane="bottomRight" state="frozen"/>
      <selection activeCell="E31" sqref="E31"/>
      <selection pane="topRight" activeCell="E31" sqref="E31"/>
      <selection pane="bottomLeft" activeCell="E31" sqref="E31"/>
      <selection pane="bottomRight" activeCell="T16" sqref="T16"/>
    </sheetView>
  </sheetViews>
  <sheetFormatPr defaultRowHeight="14.45" customHeight="1" x14ac:dyDescent="0.3"/>
  <cols>
    <col min="1" max="2" width="9.625" style="1" customWidth="1"/>
    <col min="3" max="3" width="11.375" style="1" customWidth="1"/>
    <col min="4" max="4" width="23" style="1" bestFit="1" customWidth="1"/>
    <col min="5" max="5" width="8.875" style="1" customWidth="1"/>
    <col min="6" max="16" width="9.625" style="1" customWidth="1"/>
    <col min="17" max="17" width="9" style="1" customWidth="1"/>
    <col min="18" max="16384" width="9" style="1"/>
  </cols>
  <sheetData>
    <row r="1" spans="1:16" s="4" customFormat="1" ht="22.5" x14ac:dyDescent="0.35">
      <c r="A1" s="151" t="s">
        <v>356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16" ht="18.75" thickBot="1" x14ac:dyDescent="0.35">
      <c r="A2" s="152" t="s">
        <v>358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</row>
    <row r="3" spans="1:16" s="12" customFormat="1" ht="17.45" customHeight="1" x14ac:dyDescent="0.15">
      <c r="A3" s="124" t="s">
        <v>9</v>
      </c>
      <c r="B3" s="129" t="s">
        <v>165</v>
      </c>
      <c r="C3" s="129" t="s">
        <v>409</v>
      </c>
      <c r="D3" s="126" t="s">
        <v>10</v>
      </c>
      <c r="E3" s="107" t="s">
        <v>11</v>
      </c>
      <c r="F3" s="126" t="s">
        <v>12</v>
      </c>
      <c r="G3" s="126"/>
      <c r="H3" s="126"/>
      <c r="I3" s="126" t="s">
        <v>14</v>
      </c>
      <c r="J3" s="126" t="s">
        <v>18</v>
      </c>
      <c r="K3" s="126" t="s">
        <v>16</v>
      </c>
      <c r="L3" s="126"/>
      <c r="M3" s="126"/>
      <c r="N3" s="126"/>
      <c r="O3" s="126"/>
      <c r="P3" s="146" t="s">
        <v>17</v>
      </c>
    </row>
    <row r="4" spans="1:16" s="12" customFormat="1" ht="17.45" customHeight="1" x14ac:dyDescent="0.15">
      <c r="A4" s="125"/>
      <c r="B4" s="130"/>
      <c r="C4" s="130"/>
      <c r="D4" s="128"/>
      <c r="E4" s="108" t="s">
        <v>18</v>
      </c>
      <c r="F4" s="108" t="s">
        <v>19</v>
      </c>
      <c r="G4" s="108" t="s">
        <v>30</v>
      </c>
      <c r="H4" s="108" t="s">
        <v>31</v>
      </c>
      <c r="I4" s="128"/>
      <c r="J4" s="128"/>
      <c r="K4" s="81" t="s">
        <v>19</v>
      </c>
      <c r="L4" s="84" t="s">
        <v>30</v>
      </c>
      <c r="M4" s="81" t="s">
        <v>32</v>
      </c>
      <c r="N4" s="84" t="s">
        <v>20</v>
      </c>
      <c r="O4" s="108" t="s">
        <v>18</v>
      </c>
      <c r="P4" s="147"/>
    </row>
    <row r="5" spans="1:16" s="12" customFormat="1" ht="14.25" x14ac:dyDescent="0.15">
      <c r="A5" s="25" t="s">
        <v>47</v>
      </c>
      <c r="B5" s="102" t="s">
        <v>332</v>
      </c>
      <c r="C5" s="102" t="s">
        <v>479</v>
      </c>
      <c r="D5" s="42" t="s">
        <v>48</v>
      </c>
      <c r="E5" s="26">
        <v>117000</v>
      </c>
      <c r="F5" s="26">
        <v>120000</v>
      </c>
      <c r="G5" s="26">
        <f t="shared" ref="G5:G32" si="0">H5+L5</f>
        <v>237000</v>
      </c>
      <c r="H5" s="26">
        <v>48000</v>
      </c>
      <c r="I5" s="28"/>
      <c r="J5" s="28">
        <f>E5+F5-H5-I5</f>
        <v>189000</v>
      </c>
      <c r="K5" s="82"/>
      <c r="L5" s="85">
        <v>189000</v>
      </c>
      <c r="M5" s="82"/>
      <c r="N5" s="85"/>
      <c r="O5" s="26">
        <f>SUM(K5:N5)</f>
        <v>189000</v>
      </c>
      <c r="P5" s="27">
        <f t="shared" ref="P5:P33" si="1">O5-J5</f>
        <v>0</v>
      </c>
    </row>
    <row r="6" spans="1:16" s="12" customFormat="1" ht="14.25" x14ac:dyDescent="0.15">
      <c r="A6" s="25" t="s">
        <v>47</v>
      </c>
      <c r="B6" s="103" t="s">
        <v>333</v>
      </c>
      <c r="C6" s="103" t="s">
        <v>480</v>
      </c>
      <c r="D6" s="43" t="s">
        <v>49</v>
      </c>
      <c r="E6" s="26">
        <v>206400</v>
      </c>
      <c r="F6" s="26"/>
      <c r="G6" s="26">
        <f t="shared" si="0"/>
        <v>206400</v>
      </c>
      <c r="H6" s="26">
        <v>136800</v>
      </c>
      <c r="I6" s="28"/>
      <c r="J6" s="28">
        <f t="shared" ref="J6:J13" si="2">E6+F6-H6-I6</f>
        <v>69600</v>
      </c>
      <c r="K6" s="82"/>
      <c r="L6" s="85">
        <v>69600</v>
      </c>
      <c r="M6" s="82"/>
      <c r="N6" s="85"/>
      <c r="O6" s="26">
        <f t="shared" ref="O6:O17" si="3">SUM(K6:N6)</f>
        <v>69600</v>
      </c>
      <c r="P6" s="27">
        <f t="shared" si="1"/>
        <v>0</v>
      </c>
    </row>
    <row r="7" spans="1:16" s="12" customFormat="1" ht="14.25" x14ac:dyDescent="0.15">
      <c r="A7" s="25" t="s">
        <v>47</v>
      </c>
      <c r="B7" s="102" t="s">
        <v>334</v>
      </c>
      <c r="C7" s="102" t="s">
        <v>481</v>
      </c>
      <c r="D7" s="42" t="s">
        <v>50</v>
      </c>
      <c r="E7" s="26">
        <v>316000</v>
      </c>
      <c r="F7" s="26">
        <v>240000</v>
      </c>
      <c r="G7" s="26">
        <f t="shared" si="0"/>
        <v>554000</v>
      </c>
      <c r="H7" s="26">
        <v>298000</v>
      </c>
      <c r="I7" s="28"/>
      <c r="J7" s="28">
        <f t="shared" si="2"/>
        <v>258000</v>
      </c>
      <c r="K7" s="82"/>
      <c r="L7" s="85">
        <v>256000</v>
      </c>
      <c r="M7" s="82"/>
      <c r="N7" s="85"/>
      <c r="O7" s="26">
        <f t="shared" si="3"/>
        <v>256000</v>
      </c>
      <c r="P7" s="27">
        <f t="shared" si="1"/>
        <v>-2000</v>
      </c>
    </row>
    <row r="8" spans="1:16" s="12" customFormat="1" ht="14.25" x14ac:dyDescent="0.15">
      <c r="A8" s="25" t="s">
        <v>47</v>
      </c>
      <c r="B8" s="103" t="s">
        <v>335</v>
      </c>
      <c r="C8" s="103" t="s">
        <v>482</v>
      </c>
      <c r="D8" s="43" t="s">
        <v>51</v>
      </c>
      <c r="E8" s="26">
        <v>42000</v>
      </c>
      <c r="F8" s="26"/>
      <c r="G8" s="26">
        <f t="shared" si="0"/>
        <v>26000</v>
      </c>
      <c r="H8" s="26">
        <v>10000</v>
      </c>
      <c r="I8" s="28"/>
      <c r="J8" s="28">
        <f t="shared" si="2"/>
        <v>32000</v>
      </c>
      <c r="K8" s="82">
        <v>16000</v>
      </c>
      <c r="L8" s="85">
        <v>16000</v>
      </c>
      <c r="M8" s="82"/>
      <c r="N8" s="85"/>
      <c r="O8" s="26">
        <f t="shared" si="3"/>
        <v>32000</v>
      </c>
      <c r="P8" s="27">
        <f t="shared" si="1"/>
        <v>0</v>
      </c>
    </row>
    <row r="9" spans="1:16" s="12" customFormat="1" ht="14.25" x14ac:dyDescent="0.15">
      <c r="A9" s="25" t="s">
        <v>47</v>
      </c>
      <c r="B9" s="102" t="s">
        <v>336</v>
      </c>
      <c r="C9" s="102" t="s">
        <v>483</v>
      </c>
      <c r="D9" s="42" t="s">
        <v>52</v>
      </c>
      <c r="E9" s="26">
        <v>80000</v>
      </c>
      <c r="F9" s="26"/>
      <c r="G9" s="26">
        <f t="shared" si="0"/>
        <v>44000</v>
      </c>
      <c r="H9" s="26">
        <v>2000</v>
      </c>
      <c r="I9" s="28"/>
      <c r="J9" s="28">
        <f t="shared" si="2"/>
        <v>78000</v>
      </c>
      <c r="K9" s="82">
        <v>36000</v>
      </c>
      <c r="L9" s="85">
        <v>42000</v>
      </c>
      <c r="M9" s="82"/>
      <c r="N9" s="85"/>
      <c r="O9" s="26">
        <f t="shared" si="3"/>
        <v>78000</v>
      </c>
      <c r="P9" s="27">
        <f t="shared" si="1"/>
        <v>0</v>
      </c>
    </row>
    <row r="10" spans="1:16" s="12" customFormat="1" ht="14.25" x14ac:dyDescent="0.15">
      <c r="A10" s="25" t="s">
        <v>47</v>
      </c>
      <c r="B10" s="103" t="s">
        <v>337</v>
      </c>
      <c r="C10" s="103" t="s">
        <v>484</v>
      </c>
      <c r="D10" s="43" t="s">
        <v>53</v>
      </c>
      <c r="E10" s="26">
        <v>184000</v>
      </c>
      <c r="F10" s="26">
        <v>140000</v>
      </c>
      <c r="G10" s="26">
        <f t="shared" si="0"/>
        <v>324000</v>
      </c>
      <c r="H10" s="26">
        <v>50000</v>
      </c>
      <c r="I10" s="28"/>
      <c r="J10" s="28">
        <f t="shared" si="2"/>
        <v>274000</v>
      </c>
      <c r="K10" s="82"/>
      <c r="L10" s="85">
        <v>274000</v>
      </c>
      <c r="M10" s="82"/>
      <c r="N10" s="85"/>
      <c r="O10" s="26">
        <f t="shared" si="3"/>
        <v>274000</v>
      </c>
      <c r="P10" s="27">
        <f t="shared" si="1"/>
        <v>0</v>
      </c>
    </row>
    <row r="11" spans="1:16" s="12" customFormat="1" ht="14.25" x14ac:dyDescent="0.15">
      <c r="A11" s="25" t="s">
        <v>47</v>
      </c>
      <c r="B11" s="103" t="s">
        <v>337</v>
      </c>
      <c r="C11" s="103"/>
      <c r="D11" s="43" t="s">
        <v>342</v>
      </c>
      <c r="E11" s="26">
        <v>0</v>
      </c>
      <c r="F11" s="26"/>
      <c r="G11" s="26">
        <f t="shared" si="0"/>
        <v>0</v>
      </c>
      <c r="H11" s="26"/>
      <c r="I11" s="28"/>
      <c r="J11" s="28">
        <f>E11+F11-H11-I11</f>
        <v>0</v>
      </c>
      <c r="K11" s="82"/>
      <c r="L11" s="85"/>
      <c r="M11" s="82"/>
      <c r="N11" s="85"/>
      <c r="O11" s="26">
        <f t="shared" ref="O11:O12" si="4">SUM(K11:N11)</f>
        <v>0</v>
      </c>
      <c r="P11" s="27">
        <f t="shared" ref="P11:P12" si="5">O11-J11</f>
        <v>0</v>
      </c>
    </row>
    <row r="12" spans="1:16" s="12" customFormat="1" ht="14.25" x14ac:dyDescent="0.15">
      <c r="A12" s="25" t="s">
        <v>47</v>
      </c>
      <c r="B12" s="102" t="s">
        <v>338</v>
      </c>
      <c r="C12" s="102" t="s">
        <v>485</v>
      </c>
      <c r="D12" s="42" t="s">
        <v>54</v>
      </c>
      <c r="E12" s="26">
        <v>18000</v>
      </c>
      <c r="F12" s="26"/>
      <c r="G12" s="26">
        <f t="shared" si="0"/>
        <v>18000</v>
      </c>
      <c r="H12" s="26"/>
      <c r="I12" s="28"/>
      <c r="J12" s="28">
        <f t="shared" si="2"/>
        <v>18000</v>
      </c>
      <c r="K12" s="82"/>
      <c r="L12" s="85">
        <v>18000</v>
      </c>
      <c r="M12" s="82"/>
      <c r="N12" s="85"/>
      <c r="O12" s="26">
        <f t="shared" si="4"/>
        <v>18000</v>
      </c>
      <c r="P12" s="27">
        <f t="shared" si="5"/>
        <v>0</v>
      </c>
    </row>
    <row r="13" spans="1:16" s="12" customFormat="1" ht="14.25" x14ac:dyDescent="0.15">
      <c r="A13" s="25"/>
      <c r="B13" s="100"/>
      <c r="C13" s="100"/>
      <c r="D13" s="28"/>
      <c r="E13" s="26">
        <v>0</v>
      </c>
      <c r="F13" s="26"/>
      <c r="G13" s="26">
        <f t="shared" si="0"/>
        <v>0</v>
      </c>
      <c r="H13" s="26"/>
      <c r="I13" s="28"/>
      <c r="J13" s="28">
        <f t="shared" si="2"/>
        <v>0</v>
      </c>
      <c r="K13" s="82"/>
      <c r="L13" s="85"/>
      <c r="M13" s="82"/>
      <c r="N13" s="85"/>
      <c r="O13" s="26">
        <f t="shared" si="3"/>
        <v>0</v>
      </c>
      <c r="P13" s="27">
        <f t="shared" si="1"/>
        <v>0</v>
      </c>
    </row>
    <row r="14" spans="1:16" s="12" customFormat="1" ht="14.25" x14ac:dyDescent="0.15">
      <c r="A14" s="25"/>
      <c r="B14" s="100"/>
      <c r="C14" s="100"/>
      <c r="D14" s="28"/>
      <c r="E14" s="26">
        <v>0</v>
      </c>
      <c r="F14" s="26"/>
      <c r="G14" s="26">
        <f t="shared" si="0"/>
        <v>0</v>
      </c>
      <c r="H14" s="26"/>
      <c r="I14" s="28"/>
      <c r="J14" s="26">
        <f t="shared" ref="J14:J32" si="6">E14+F14-H14-I14</f>
        <v>0</v>
      </c>
      <c r="K14" s="82"/>
      <c r="L14" s="85"/>
      <c r="M14" s="82"/>
      <c r="N14" s="85"/>
      <c r="O14" s="26">
        <f t="shared" si="3"/>
        <v>0</v>
      </c>
      <c r="P14" s="27">
        <f t="shared" si="1"/>
        <v>0</v>
      </c>
    </row>
    <row r="15" spans="1:16" s="12" customFormat="1" ht="14.25" x14ac:dyDescent="0.15">
      <c r="A15" s="25"/>
      <c r="B15" s="100"/>
      <c r="C15" s="100"/>
      <c r="D15" s="28"/>
      <c r="E15" s="26">
        <v>0</v>
      </c>
      <c r="F15" s="26"/>
      <c r="G15" s="26">
        <f t="shared" si="0"/>
        <v>0</v>
      </c>
      <c r="H15" s="26"/>
      <c r="I15" s="28"/>
      <c r="J15" s="26">
        <f t="shared" si="6"/>
        <v>0</v>
      </c>
      <c r="K15" s="82"/>
      <c r="L15" s="85"/>
      <c r="M15" s="82"/>
      <c r="N15" s="85"/>
      <c r="O15" s="26">
        <f t="shared" si="3"/>
        <v>0</v>
      </c>
      <c r="P15" s="27">
        <f t="shared" si="1"/>
        <v>0</v>
      </c>
    </row>
    <row r="16" spans="1:16" s="12" customFormat="1" ht="14.25" x14ac:dyDescent="0.15">
      <c r="A16" s="25"/>
      <c r="B16" s="100"/>
      <c r="C16" s="100"/>
      <c r="D16" s="28"/>
      <c r="E16" s="26">
        <v>0</v>
      </c>
      <c r="F16" s="26"/>
      <c r="G16" s="26">
        <f t="shared" si="0"/>
        <v>0</v>
      </c>
      <c r="H16" s="26"/>
      <c r="I16" s="44"/>
      <c r="J16" s="26">
        <f t="shared" si="6"/>
        <v>0</v>
      </c>
      <c r="K16" s="82"/>
      <c r="L16" s="85"/>
      <c r="M16" s="82"/>
      <c r="N16" s="85"/>
      <c r="O16" s="26">
        <f t="shared" si="3"/>
        <v>0</v>
      </c>
      <c r="P16" s="27">
        <f t="shared" si="1"/>
        <v>0</v>
      </c>
    </row>
    <row r="17" spans="1:16" s="12" customFormat="1" ht="14.25" x14ac:dyDescent="0.15">
      <c r="A17" s="25"/>
      <c r="B17" s="100"/>
      <c r="C17" s="100"/>
      <c r="D17" s="28"/>
      <c r="E17" s="26">
        <v>0</v>
      </c>
      <c r="F17" s="26"/>
      <c r="G17" s="26">
        <f t="shared" si="0"/>
        <v>0</v>
      </c>
      <c r="H17" s="26"/>
      <c r="I17" s="44"/>
      <c r="J17" s="26">
        <f t="shared" si="6"/>
        <v>0</v>
      </c>
      <c r="K17" s="82"/>
      <c r="L17" s="85"/>
      <c r="M17" s="82"/>
      <c r="N17" s="85"/>
      <c r="O17" s="26">
        <f t="shared" si="3"/>
        <v>0</v>
      </c>
      <c r="P17" s="27">
        <f t="shared" si="1"/>
        <v>0</v>
      </c>
    </row>
    <row r="18" spans="1:16" s="12" customFormat="1" ht="14.25" x14ac:dyDescent="0.15">
      <c r="A18" s="25"/>
      <c r="B18" s="100"/>
      <c r="C18" s="100"/>
      <c r="D18" s="28"/>
      <c r="E18" s="26">
        <v>0</v>
      </c>
      <c r="F18" s="26"/>
      <c r="G18" s="26">
        <f t="shared" si="0"/>
        <v>0</v>
      </c>
      <c r="H18" s="26"/>
      <c r="I18" s="44"/>
      <c r="J18" s="26">
        <f t="shared" si="6"/>
        <v>0</v>
      </c>
      <c r="K18" s="82"/>
      <c r="L18" s="85"/>
      <c r="M18" s="82"/>
      <c r="N18" s="85"/>
      <c r="O18" s="26">
        <f t="shared" ref="O18:O32" si="7">SUM(K18:N18)</f>
        <v>0</v>
      </c>
      <c r="P18" s="27">
        <f t="shared" si="1"/>
        <v>0</v>
      </c>
    </row>
    <row r="19" spans="1:16" s="12" customFormat="1" ht="14.25" x14ac:dyDescent="0.15">
      <c r="A19" s="25"/>
      <c r="B19" s="100"/>
      <c r="C19" s="100"/>
      <c r="D19" s="28"/>
      <c r="E19" s="26">
        <v>0</v>
      </c>
      <c r="F19" s="26"/>
      <c r="G19" s="26">
        <f t="shared" si="0"/>
        <v>0</v>
      </c>
      <c r="H19" s="26"/>
      <c r="I19" s="44"/>
      <c r="J19" s="26">
        <f t="shared" si="6"/>
        <v>0</v>
      </c>
      <c r="K19" s="82"/>
      <c r="L19" s="85"/>
      <c r="M19" s="82"/>
      <c r="N19" s="85"/>
      <c r="O19" s="26">
        <f t="shared" si="7"/>
        <v>0</v>
      </c>
      <c r="P19" s="27">
        <f t="shared" si="1"/>
        <v>0</v>
      </c>
    </row>
    <row r="20" spans="1:16" s="12" customFormat="1" ht="14.25" x14ac:dyDescent="0.15">
      <c r="A20" s="25"/>
      <c r="B20" s="100"/>
      <c r="C20" s="100"/>
      <c r="D20" s="28"/>
      <c r="E20" s="26">
        <v>0</v>
      </c>
      <c r="F20" s="26"/>
      <c r="G20" s="26">
        <f t="shared" si="0"/>
        <v>0</v>
      </c>
      <c r="H20" s="26"/>
      <c r="I20" s="44"/>
      <c r="J20" s="26">
        <f t="shared" si="6"/>
        <v>0</v>
      </c>
      <c r="K20" s="82"/>
      <c r="L20" s="85"/>
      <c r="M20" s="82"/>
      <c r="N20" s="85"/>
      <c r="O20" s="26">
        <f t="shared" si="7"/>
        <v>0</v>
      </c>
      <c r="P20" s="27">
        <f t="shared" si="1"/>
        <v>0</v>
      </c>
    </row>
    <row r="21" spans="1:16" s="12" customFormat="1" ht="14.25" x14ac:dyDescent="0.15">
      <c r="A21" s="25"/>
      <c r="B21" s="100"/>
      <c r="C21" s="100"/>
      <c r="D21" s="28"/>
      <c r="E21" s="26">
        <v>0</v>
      </c>
      <c r="F21" s="26"/>
      <c r="G21" s="26">
        <f t="shared" si="0"/>
        <v>0</v>
      </c>
      <c r="H21" s="26"/>
      <c r="I21" s="44"/>
      <c r="J21" s="26">
        <f t="shared" si="6"/>
        <v>0</v>
      </c>
      <c r="K21" s="82"/>
      <c r="L21" s="85"/>
      <c r="M21" s="82"/>
      <c r="N21" s="85"/>
      <c r="O21" s="26">
        <f t="shared" si="7"/>
        <v>0</v>
      </c>
      <c r="P21" s="27">
        <f t="shared" si="1"/>
        <v>0</v>
      </c>
    </row>
    <row r="22" spans="1:16" s="12" customFormat="1" ht="14.25" x14ac:dyDescent="0.15">
      <c r="A22" s="29"/>
      <c r="B22" s="101"/>
      <c r="C22" s="101"/>
      <c r="D22" s="28"/>
      <c r="E22" s="26">
        <v>0</v>
      </c>
      <c r="F22" s="26"/>
      <c r="G22" s="26">
        <f t="shared" si="0"/>
        <v>0</v>
      </c>
      <c r="H22" s="26"/>
      <c r="I22" s="44"/>
      <c r="J22" s="26">
        <f t="shared" si="6"/>
        <v>0</v>
      </c>
      <c r="K22" s="82"/>
      <c r="L22" s="85"/>
      <c r="M22" s="82"/>
      <c r="N22" s="85"/>
      <c r="O22" s="26">
        <f t="shared" si="7"/>
        <v>0</v>
      </c>
      <c r="P22" s="27">
        <f t="shared" si="1"/>
        <v>0</v>
      </c>
    </row>
    <row r="23" spans="1:16" s="12" customFormat="1" ht="14.25" x14ac:dyDescent="0.15">
      <c r="A23" s="25"/>
      <c r="B23" s="100"/>
      <c r="C23" s="100"/>
      <c r="D23" s="28"/>
      <c r="E23" s="26">
        <v>0</v>
      </c>
      <c r="F23" s="26"/>
      <c r="G23" s="26">
        <f t="shared" si="0"/>
        <v>0</v>
      </c>
      <c r="H23" s="26"/>
      <c r="I23" s="44"/>
      <c r="J23" s="26">
        <f t="shared" si="6"/>
        <v>0</v>
      </c>
      <c r="K23" s="82"/>
      <c r="L23" s="85"/>
      <c r="M23" s="82"/>
      <c r="N23" s="85"/>
      <c r="O23" s="26">
        <f t="shared" si="7"/>
        <v>0</v>
      </c>
      <c r="P23" s="27">
        <f t="shared" si="1"/>
        <v>0</v>
      </c>
    </row>
    <row r="24" spans="1:16" s="12" customFormat="1" ht="14.25" x14ac:dyDescent="0.15">
      <c r="A24" s="25"/>
      <c r="B24" s="100"/>
      <c r="C24" s="100"/>
      <c r="D24" s="28"/>
      <c r="E24" s="26">
        <v>0</v>
      </c>
      <c r="F24" s="26"/>
      <c r="G24" s="26">
        <f t="shared" si="0"/>
        <v>0</v>
      </c>
      <c r="H24" s="26"/>
      <c r="I24" s="44"/>
      <c r="J24" s="26">
        <f t="shared" si="6"/>
        <v>0</v>
      </c>
      <c r="K24" s="82"/>
      <c r="L24" s="85"/>
      <c r="M24" s="82"/>
      <c r="N24" s="85"/>
      <c r="O24" s="26">
        <f t="shared" si="7"/>
        <v>0</v>
      </c>
      <c r="P24" s="27">
        <f t="shared" si="1"/>
        <v>0</v>
      </c>
    </row>
    <row r="25" spans="1:16" s="12" customFormat="1" ht="14.25" x14ac:dyDescent="0.15">
      <c r="A25" s="25"/>
      <c r="B25" s="100"/>
      <c r="C25" s="100"/>
      <c r="D25" s="28"/>
      <c r="E25" s="26">
        <v>0</v>
      </c>
      <c r="F25" s="26"/>
      <c r="G25" s="26">
        <f t="shared" si="0"/>
        <v>0</v>
      </c>
      <c r="H25" s="26"/>
      <c r="I25" s="44"/>
      <c r="J25" s="26">
        <f t="shared" si="6"/>
        <v>0</v>
      </c>
      <c r="K25" s="82"/>
      <c r="L25" s="85"/>
      <c r="M25" s="82"/>
      <c r="N25" s="85"/>
      <c r="O25" s="26">
        <f t="shared" si="7"/>
        <v>0</v>
      </c>
      <c r="P25" s="27">
        <f t="shared" si="1"/>
        <v>0</v>
      </c>
    </row>
    <row r="26" spans="1:16" s="12" customFormat="1" ht="14.25" x14ac:dyDescent="0.15">
      <c r="A26" s="25"/>
      <c r="B26" s="100"/>
      <c r="C26" s="100"/>
      <c r="D26" s="28"/>
      <c r="E26" s="26">
        <v>0</v>
      </c>
      <c r="F26" s="26"/>
      <c r="G26" s="26">
        <f t="shared" si="0"/>
        <v>0</v>
      </c>
      <c r="H26" s="26"/>
      <c r="I26" s="44"/>
      <c r="J26" s="26">
        <f t="shared" si="6"/>
        <v>0</v>
      </c>
      <c r="K26" s="82"/>
      <c r="L26" s="85"/>
      <c r="M26" s="82"/>
      <c r="N26" s="85"/>
      <c r="O26" s="26">
        <f t="shared" si="7"/>
        <v>0</v>
      </c>
      <c r="P26" s="27">
        <f t="shared" si="1"/>
        <v>0</v>
      </c>
    </row>
    <row r="27" spans="1:16" s="12" customFormat="1" ht="14.25" x14ac:dyDescent="0.15">
      <c r="A27" s="25"/>
      <c r="B27" s="100"/>
      <c r="C27" s="100"/>
      <c r="D27" s="28"/>
      <c r="E27" s="26">
        <v>0</v>
      </c>
      <c r="F27" s="26"/>
      <c r="G27" s="26">
        <f t="shared" si="0"/>
        <v>0</v>
      </c>
      <c r="H27" s="26"/>
      <c r="I27" s="44"/>
      <c r="J27" s="26">
        <f t="shared" si="6"/>
        <v>0</v>
      </c>
      <c r="K27" s="82"/>
      <c r="L27" s="85"/>
      <c r="M27" s="82"/>
      <c r="N27" s="85"/>
      <c r="O27" s="26">
        <f t="shared" si="7"/>
        <v>0</v>
      </c>
      <c r="P27" s="27">
        <f t="shared" si="1"/>
        <v>0</v>
      </c>
    </row>
    <row r="28" spans="1:16" s="12" customFormat="1" ht="14.25" x14ac:dyDescent="0.15">
      <c r="A28" s="25"/>
      <c r="B28" s="100"/>
      <c r="C28" s="100"/>
      <c r="D28" s="28"/>
      <c r="E28" s="26">
        <v>0</v>
      </c>
      <c r="F28" s="26"/>
      <c r="G28" s="26">
        <f t="shared" si="0"/>
        <v>0</v>
      </c>
      <c r="H28" s="26"/>
      <c r="I28" s="44"/>
      <c r="J28" s="26">
        <f t="shared" si="6"/>
        <v>0</v>
      </c>
      <c r="K28" s="82"/>
      <c r="L28" s="85"/>
      <c r="M28" s="82"/>
      <c r="N28" s="85"/>
      <c r="O28" s="26">
        <f t="shared" si="7"/>
        <v>0</v>
      </c>
      <c r="P28" s="27">
        <f t="shared" si="1"/>
        <v>0</v>
      </c>
    </row>
    <row r="29" spans="1:16" s="12" customFormat="1" ht="14.25" x14ac:dyDescent="0.15">
      <c r="A29" s="25"/>
      <c r="B29" s="100"/>
      <c r="C29" s="100"/>
      <c r="D29" s="28"/>
      <c r="E29" s="26">
        <v>0</v>
      </c>
      <c r="F29" s="26"/>
      <c r="G29" s="26">
        <f t="shared" si="0"/>
        <v>0</v>
      </c>
      <c r="H29" s="26"/>
      <c r="I29" s="44"/>
      <c r="J29" s="26">
        <f t="shared" si="6"/>
        <v>0</v>
      </c>
      <c r="K29" s="82"/>
      <c r="L29" s="85"/>
      <c r="M29" s="82"/>
      <c r="N29" s="85"/>
      <c r="O29" s="26">
        <f t="shared" si="7"/>
        <v>0</v>
      </c>
      <c r="P29" s="27">
        <f t="shared" si="1"/>
        <v>0</v>
      </c>
    </row>
    <row r="30" spans="1:16" s="12" customFormat="1" ht="14.25" x14ac:dyDescent="0.15">
      <c r="A30" s="25"/>
      <c r="B30" s="100"/>
      <c r="C30" s="100"/>
      <c r="D30" s="28"/>
      <c r="E30" s="26">
        <v>0</v>
      </c>
      <c r="F30" s="26"/>
      <c r="G30" s="26">
        <f t="shared" si="0"/>
        <v>0</v>
      </c>
      <c r="H30" s="26"/>
      <c r="I30" s="44"/>
      <c r="J30" s="26">
        <f t="shared" si="6"/>
        <v>0</v>
      </c>
      <c r="K30" s="82"/>
      <c r="L30" s="85"/>
      <c r="M30" s="82"/>
      <c r="N30" s="85"/>
      <c r="O30" s="26">
        <f t="shared" si="7"/>
        <v>0</v>
      </c>
      <c r="P30" s="27">
        <f t="shared" si="1"/>
        <v>0</v>
      </c>
    </row>
    <row r="31" spans="1:16" s="12" customFormat="1" ht="14.25" x14ac:dyDescent="0.15">
      <c r="A31" s="25"/>
      <c r="B31" s="100"/>
      <c r="C31" s="100"/>
      <c r="D31" s="28"/>
      <c r="E31" s="26">
        <v>0</v>
      </c>
      <c r="F31" s="26"/>
      <c r="G31" s="26">
        <f t="shared" si="0"/>
        <v>0</v>
      </c>
      <c r="H31" s="26"/>
      <c r="I31" s="44"/>
      <c r="J31" s="26">
        <f t="shared" si="6"/>
        <v>0</v>
      </c>
      <c r="K31" s="82"/>
      <c r="L31" s="85"/>
      <c r="M31" s="82"/>
      <c r="N31" s="85"/>
      <c r="O31" s="26"/>
      <c r="P31" s="27">
        <f t="shared" si="1"/>
        <v>0</v>
      </c>
    </row>
    <row r="32" spans="1:16" s="12" customFormat="1" ht="14.25" x14ac:dyDescent="0.15">
      <c r="A32" s="25"/>
      <c r="B32" s="100"/>
      <c r="C32" s="100"/>
      <c r="D32" s="28"/>
      <c r="E32" s="26">
        <v>0</v>
      </c>
      <c r="F32" s="26"/>
      <c r="G32" s="26">
        <f t="shared" si="0"/>
        <v>0</v>
      </c>
      <c r="H32" s="26"/>
      <c r="I32" s="44"/>
      <c r="J32" s="26">
        <f t="shared" si="6"/>
        <v>0</v>
      </c>
      <c r="K32" s="82"/>
      <c r="L32" s="85"/>
      <c r="M32" s="82"/>
      <c r="N32" s="85"/>
      <c r="O32" s="26">
        <f t="shared" si="7"/>
        <v>0</v>
      </c>
      <c r="P32" s="27">
        <f t="shared" si="1"/>
        <v>0</v>
      </c>
    </row>
    <row r="33" spans="1:16" s="12" customFormat="1" ht="15" thickBot="1" x14ac:dyDescent="0.2">
      <c r="A33" s="148" t="s">
        <v>18</v>
      </c>
      <c r="B33" s="149"/>
      <c r="C33" s="149"/>
      <c r="D33" s="150"/>
      <c r="E33" s="30">
        <f t="shared" ref="E33:O33" si="8">SUM(E5:E32)</f>
        <v>963400</v>
      </c>
      <c r="F33" s="30">
        <f t="shared" si="8"/>
        <v>500000</v>
      </c>
      <c r="G33" s="58">
        <f t="shared" si="8"/>
        <v>1409400</v>
      </c>
      <c r="H33" s="30">
        <f t="shared" si="8"/>
        <v>544800</v>
      </c>
      <c r="I33" s="30">
        <f t="shared" si="8"/>
        <v>0</v>
      </c>
      <c r="J33" s="30">
        <f>SUM(J5:J32)</f>
        <v>918600</v>
      </c>
      <c r="K33" s="87">
        <f>SUM(K5:K32)</f>
        <v>52000</v>
      </c>
      <c r="L33" s="86">
        <f t="shared" si="8"/>
        <v>864600</v>
      </c>
      <c r="M33" s="83">
        <f t="shared" si="8"/>
        <v>0</v>
      </c>
      <c r="N33" s="86">
        <f t="shared" si="8"/>
        <v>0</v>
      </c>
      <c r="O33" s="30">
        <f t="shared" si="8"/>
        <v>916600</v>
      </c>
      <c r="P33" s="31">
        <f t="shared" si="1"/>
        <v>-2000</v>
      </c>
    </row>
    <row r="34" spans="1:16" s="12" customFormat="1" ht="15" customHeight="1" x14ac:dyDescent="0.15">
      <c r="A34" s="12" t="s">
        <v>26</v>
      </c>
      <c r="E34" s="18"/>
      <c r="F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s="12" customFormat="1" ht="15" customHeight="1" x14ac:dyDescent="0.15">
      <c r="A35" s="12" t="s">
        <v>27</v>
      </c>
      <c r="I35" s="12" t="s">
        <v>28</v>
      </c>
      <c r="O35" s="12" t="s">
        <v>46</v>
      </c>
    </row>
    <row r="36" spans="1:16" s="12" customFormat="1" ht="14.25" x14ac:dyDescent="0.15"/>
    <row r="37" spans="1:16" s="12" customFormat="1" ht="14.45" customHeight="1" x14ac:dyDescent="0.15"/>
    <row r="38" spans="1:16" s="12" customFormat="1" ht="14.45" customHeight="1" x14ac:dyDescent="0.15"/>
    <row r="39" spans="1:16" s="12" customFormat="1" ht="14.45" customHeight="1" x14ac:dyDescent="0.15"/>
    <row r="40" spans="1:16" s="12" customFormat="1" ht="14.45" customHeight="1" x14ac:dyDescent="0.15"/>
    <row r="41" spans="1:16" s="12" customFormat="1" ht="14.45" customHeight="1" x14ac:dyDescent="0.15"/>
    <row r="42" spans="1:16" s="12" customFormat="1" ht="14.45" customHeight="1" x14ac:dyDescent="0.15"/>
    <row r="43" spans="1:16" s="12" customFormat="1" ht="14.45" customHeight="1" x14ac:dyDescent="0.15"/>
    <row r="44" spans="1:16" s="12" customFormat="1" ht="14.45" customHeight="1" x14ac:dyDescent="0.15"/>
    <row r="45" spans="1:16" s="12" customFormat="1" ht="14.45" customHeight="1" x14ac:dyDescent="0.15"/>
    <row r="46" spans="1:16" s="12" customFormat="1" ht="14.45" customHeight="1" x14ac:dyDescent="0.15"/>
    <row r="47" spans="1:16" s="12" customFormat="1" ht="14.45" customHeight="1" x14ac:dyDescent="0.15"/>
    <row r="48" spans="1:16" s="12" customFormat="1" ht="14.45" customHeight="1" x14ac:dyDescent="0.15">
      <c r="G48" s="15"/>
    </row>
    <row r="49" spans="7:7" s="15" customFormat="1" ht="14.45" customHeight="1" x14ac:dyDescent="0.15">
      <c r="G49" s="12"/>
    </row>
    <row r="50" spans="7:7" s="12" customFormat="1" ht="14.45" customHeight="1" x14ac:dyDescent="0.15"/>
    <row r="51" spans="7:7" s="12" customFormat="1" ht="14.45" customHeight="1" x14ac:dyDescent="0.15"/>
    <row r="52" spans="7:7" s="12" customFormat="1" ht="14.45" customHeight="1" x14ac:dyDescent="0.15"/>
    <row r="53" spans="7:7" s="12" customFormat="1" ht="14.45" customHeight="1" x14ac:dyDescent="0.15"/>
    <row r="54" spans="7:7" s="12" customFormat="1" ht="14.45" customHeight="1" x14ac:dyDescent="0.15"/>
    <row r="55" spans="7:7" s="12" customFormat="1" ht="14.45" customHeight="1" x14ac:dyDescent="0.15"/>
    <row r="56" spans="7:7" s="12" customFormat="1" ht="14.45" customHeight="1" x14ac:dyDescent="0.15"/>
    <row r="57" spans="7:7" s="12" customFormat="1" ht="14.45" customHeight="1" x14ac:dyDescent="0.15"/>
    <row r="58" spans="7:7" s="12" customFormat="1" ht="14.45" customHeight="1" x14ac:dyDescent="0.15"/>
    <row r="59" spans="7:7" s="12" customFormat="1" ht="14.45" customHeight="1" x14ac:dyDescent="0.15"/>
    <row r="60" spans="7:7" s="12" customFormat="1" ht="14.45" customHeight="1" x14ac:dyDescent="0.15"/>
    <row r="61" spans="7:7" s="12" customFormat="1" ht="14.45" customHeight="1" x14ac:dyDescent="0.15"/>
    <row r="62" spans="7:7" s="12" customFormat="1" ht="14.45" customHeight="1" x14ac:dyDescent="0.15"/>
    <row r="63" spans="7:7" s="12" customFormat="1" ht="14.45" customHeight="1" x14ac:dyDescent="0.15"/>
    <row r="64" spans="7:7" s="12" customFormat="1" ht="14.45" customHeight="1" x14ac:dyDescent="0.15"/>
    <row r="65" s="12" customFormat="1" ht="14.45" customHeight="1" x14ac:dyDescent="0.15"/>
    <row r="66" s="12" customFormat="1" ht="14.45" customHeight="1" x14ac:dyDescent="0.15"/>
    <row r="67" s="12" customFormat="1" ht="14.45" customHeight="1" x14ac:dyDescent="0.15"/>
    <row r="68" s="12" customFormat="1" ht="14.45" customHeight="1" x14ac:dyDescent="0.15"/>
    <row r="69" s="12" customFormat="1" ht="14.45" customHeight="1" x14ac:dyDescent="0.15"/>
    <row r="70" s="12" customFormat="1" ht="14.45" customHeight="1" x14ac:dyDescent="0.15"/>
    <row r="71" s="12" customFormat="1" ht="14.45" customHeight="1" x14ac:dyDescent="0.15"/>
    <row r="72" s="12" customFormat="1" ht="14.45" customHeight="1" x14ac:dyDescent="0.15"/>
    <row r="73" s="12" customFormat="1" ht="14.45" customHeight="1" x14ac:dyDescent="0.15"/>
    <row r="74" s="12" customFormat="1" ht="14.45" customHeight="1" x14ac:dyDescent="0.15"/>
    <row r="75" s="12" customFormat="1" ht="14.45" customHeight="1" x14ac:dyDescent="0.15"/>
    <row r="76" s="12" customFormat="1" ht="14.45" customHeight="1" x14ac:dyDescent="0.15"/>
    <row r="77" s="12" customFormat="1" ht="14.45" customHeight="1" x14ac:dyDescent="0.15"/>
    <row r="78" s="12" customFormat="1" ht="14.45" customHeight="1" x14ac:dyDescent="0.15"/>
    <row r="79" s="12" customFormat="1" ht="14.45" customHeight="1" x14ac:dyDescent="0.15"/>
    <row r="80" s="12" customFormat="1" ht="14.45" customHeight="1" x14ac:dyDescent="0.15"/>
    <row r="81" s="12" customFormat="1" ht="14.45" customHeight="1" x14ac:dyDescent="0.15"/>
    <row r="82" s="12" customFormat="1" ht="14.45" customHeight="1" x14ac:dyDescent="0.15"/>
    <row r="83" s="12" customFormat="1" ht="14.45" customHeight="1" x14ac:dyDescent="0.15"/>
    <row r="84" s="12" customFormat="1" ht="14.45" customHeight="1" x14ac:dyDescent="0.15"/>
    <row r="85" s="12" customFormat="1" ht="14.45" customHeight="1" x14ac:dyDescent="0.15"/>
    <row r="86" s="12" customFormat="1" ht="14.45" customHeight="1" x14ac:dyDescent="0.15"/>
    <row r="87" s="12" customFormat="1" ht="14.45" customHeight="1" x14ac:dyDescent="0.15"/>
    <row r="88" s="12" customFormat="1" ht="14.45" customHeight="1" x14ac:dyDescent="0.15"/>
    <row r="89" s="12" customFormat="1" ht="14.45" customHeight="1" x14ac:dyDescent="0.15"/>
    <row r="90" s="12" customFormat="1" ht="14.45" customHeight="1" x14ac:dyDescent="0.15"/>
    <row r="91" s="12" customFormat="1" ht="14.45" customHeight="1" x14ac:dyDescent="0.15"/>
    <row r="92" s="12" customFormat="1" ht="14.45" customHeight="1" x14ac:dyDescent="0.15"/>
    <row r="93" s="12" customFormat="1" ht="14.45" customHeight="1" x14ac:dyDescent="0.15"/>
    <row r="94" s="12" customFormat="1" ht="14.45" customHeight="1" x14ac:dyDescent="0.15"/>
    <row r="95" s="12" customFormat="1" ht="14.45" customHeight="1" x14ac:dyDescent="0.15"/>
    <row r="96" s="12" customFormat="1" ht="14.45" customHeight="1" x14ac:dyDescent="0.15"/>
    <row r="97" s="12" customFormat="1" ht="14.45" customHeight="1" x14ac:dyDescent="0.15"/>
    <row r="98" s="12" customFormat="1" ht="14.45" customHeight="1" x14ac:dyDescent="0.15"/>
    <row r="99" s="12" customFormat="1" ht="14.45" customHeight="1" x14ac:dyDescent="0.15"/>
    <row r="100" s="12" customFormat="1" ht="14.45" customHeight="1" x14ac:dyDescent="0.15"/>
    <row r="101" s="12" customFormat="1" ht="14.45" customHeight="1" x14ac:dyDescent="0.15"/>
    <row r="102" s="12" customFormat="1" ht="14.45" customHeight="1" x14ac:dyDescent="0.15"/>
    <row r="103" s="12" customFormat="1" ht="14.45" customHeight="1" x14ac:dyDescent="0.15"/>
    <row r="104" s="12" customFormat="1" ht="14.45" customHeight="1" x14ac:dyDescent="0.15"/>
    <row r="105" s="12" customFormat="1" ht="14.45" customHeight="1" x14ac:dyDescent="0.15"/>
    <row r="106" s="12" customFormat="1" ht="14.45" customHeight="1" x14ac:dyDescent="0.15"/>
    <row r="107" s="12" customFormat="1" ht="14.45" customHeight="1" x14ac:dyDescent="0.15"/>
    <row r="108" s="12" customFormat="1" ht="14.45" customHeight="1" x14ac:dyDescent="0.15"/>
    <row r="109" s="12" customFormat="1" ht="14.45" customHeight="1" x14ac:dyDescent="0.15"/>
    <row r="110" s="12" customFormat="1" ht="14.45" customHeight="1" x14ac:dyDescent="0.15"/>
    <row r="111" s="12" customFormat="1" ht="14.45" customHeight="1" x14ac:dyDescent="0.15"/>
    <row r="112" s="12" customFormat="1" ht="14.45" customHeight="1" x14ac:dyDescent="0.15"/>
    <row r="113" spans="7:7" s="12" customFormat="1" ht="14.45" customHeight="1" x14ac:dyDescent="0.15"/>
    <row r="114" spans="7:7" s="12" customFormat="1" ht="14.45" customHeight="1" x14ac:dyDescent="0.15"/>
    <row r="115" spans="7:7" s="12" customFormat="1" ht="14.45" customHeight="1" x14ac:dyDescent="0.15"/>
    <row r="116" spans="7:7" s="12" customFormat="1" ht="14.45" customHeight="1" x14ac:dyDescent="0.25">
      <c r="G116" s="32"/>
    </row>
    <row r="117" spans="7:7" s="32" customFormat="1" ht="14.45" customHeight="1" x14ac:dyDescent="0.25"/>
    <row r="118" spans="7:7" s="32" customFormat="1" ht="14.45" customHeight="1" x14ac:dyDescent="0.25"/>
    <row r="119" spans="7:7" s="32" customFormat="1" ht="14.45" customHeight="1" x14ac:dyDescent="0.25"/>
    <row r="120" spans="7:7" s="32" customFormat="1" ht="14.45" customHeight="1" x14ac:dyDescent="0.25"/>
    <row r="121" spans="7:7" s="32" customFormat="1" ht="14.45" customHeight="1" x14ac:dyDescent="0.25"/>
    <row r="122" spans="7:7" s="32" customFormat="1" ht="14.45" customHeight="1" x14ac:dyDescent="0.25"/>
    <row r="123" spans="7:7" s="32" customFormat="1" ht="14.45" customHeight="1" x14ac:dyDescent="0.25"/>
    <row r="124" spans="7:7" s="32" customFormat="1" ht="14.45" customHeight="1" x14ac:dyDescent="0.25"/>
    <row r="125" spans="7:7" s="32" customFormat="1" ht="14.45" customHeight="1" x14ac:dyDescent="0.25"/>
    <row r="126" spans="7:7" s="32" customFormat="1" ht="14.45" customHeight="1" x14ac:dyDescent="0.25"/>
    <row r="127" spans="7:7" s="32" customFormat="1" ht="14.45" customHeight="1" x14ac:dyDescent="0.25"/>
    <row r="128" spans="7:7" s="32" customFormat="1" ht="14.45" customHeight="1" x14ac:dyDescent="0.3">
      <c r="G128" s="1"/>
    </row>
  </sheetData>
  <mergeCells count="12">
    <mergeCell ref="A33:D33"/>
    <mergeCell ref="A1:P1"/>
    <mergeCell ref="A2:P2"/>
    <mergeCell ref="A3:A4"/>
    <mergeCell ref="D3:D4"/>
    <mergeCell ref="F3:H3"/>
    <mergeCell ref="I3:I4"/>
    <mergeCell ref="J3:J4"/>
    <mergeCell ref="K3:O3"/>
    <mergeCell ref="P3:P4"/>
    <mergeCell ref="B3:B4"/>
    <mergeCell ref="C3:C4"/>
  </mergeCells>
  <phoneticPr fontId="2" type="noConversion"/>
  <printOptions horizontalCentered="1" verticalCentered="1"/>
  <pageMargins left="0.19685039370078741" right="0.39370078740157483" top="0" bottom="0" header="0.51181102362204722" footer="0.55118110236220474"/>
  <pageSetup paperSize="9" scale="88" orientation="landscape" verticalDpi="0" r:id="rId1"/>
  <headerFooter alignWithMargins="0">
    <oddHeader>&amp;R第 &amp;P 页，共 &amp;N 页</oddHeader>
    <oddFooter>&amp;RSTPM-D-4-005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10"/>
  </sheetPr>
  <dimension ref="A1:P124"/>
  <sheetViews>
    <sheetView zoomScale="80" zoomScaleNormal="80" workbookViewId="0">
      <pane xSplit="4" ySplit="4" topLeftCell="E5" activePane="bottomRight" state="frozen"/>
      <selection activeCell="J11" sqref="J11"/>
      <selection pane="topRight" activeCell="J11" sqref="J11"/>
      <selection pane="bottomLeft" activeCell="J11" sqref="J11"/>
      <selection pane="bottomRight" activeCell="C3" sqref="C3:C4"/>
    </sheetView>
  </sheetViews>
  <sheetFormatPr defaultRowHeight="14.45" customHeight="1" x14ac:dyDescent="0.3"/>
  <cols>
    <col min="1" max="2" width="9.625" style="1" customWidth="1"/>
    <col min="3" max="3" width="9.75" style="1" customWidth="1"/>
    <col min="4" max="4" width="19.375" style="1" bestFit="1" customWidth="1"/>
    <col min="5" max="16" width="9.625" style="1" customWidth="1"/>
    <col min="17" max="18" width="9" style="1" customWidth="1"/>
    <col min="19" max="16384" width="9" style="1"/>
  </cols>
  <sheetData>
    <row r="1" spans="1:16" s="4" customFormat="1" ht="22.5" customHeight="1" x14ac:dyDescent="0.35">
      <c r="A1" s="151" t="s">
        <v>359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16" ht="18.75" thickBot="1" x14ac:dyDescent="0.35">
      <c r="A2" s="152" t="s">
        <v>360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</row>
    <row r="3" spans="1:16" s="12" customFormat="1" ht="14.25" x14ac:dyDescent="0.15">
      <c r="A3" s="124" t="s">
        <v>9</v>
      </c>
      <c r="B3" s="129" t="s">
        <v>165</v>
      </c>
      <c r="C3" s="129" t="s">
        <v>363</v>
      </c>
      <c r="D3" s="126" t="s">
        <v>10</v>
      </c>
      <c r="E3" s="107" t="s">
        <v>11</v>
      </c>
      <c r="F3" s="126" t="s">
        <v>12</v>
      </c>
      <c r="G3" s="126"/>
      <c r="H3" s="126"/>
      <c r="I3" s="126" t="s">
        <v>14</v>
      </c>
      <c r="J3" s="126" t="s">
        <v>18</v>
      </c>
      <c r="K3" s="126" t="s">
        <v>16</v>
      </c>
      <c r="L3" s="126"/>
      <c r="M3" s="126"/>
      <c r="N3" s="126"/>
      <c r="O3" s="126"/>
      <c r="P3" s="146" t="s">
        <v>17</v>
      </c>
    </row>
    <row r="4" spans="1:16" s="12" customFormat="1" ht="15" customHeight="1" x14ac:dyDescent="0.15">
      <c r="A4" s="125"/>
      <c r="B4" s="130"/>
      <c r="C4" s="130"/>
      <c r="D4" s="128"/>
      <c r="E4" s="108" t="s">
        <v>18</v>
      </c>
      <c r="F4" s="108" t="s">
        <v>19</v>
      </c>
      <c r="G4" s="108" t="s">
        <v>30</v>
      </c>
      <c r="H4" s="108" t="s">
        <v>31</v>
      </c>
      <c r="I4" s="128"/>
      <c r="J4" s="128"/>
      <c r="K4" s="81" t="s">
        <v>19</v>
      </c>
      <c r="L4" s="84" t="s">
        <v>30</v>
      </c>
      <c r="M4" s="81" t="s">
        <v>32</v>
      </c>
      <c r="N4" s="84" t="s">
        <v>20</v>
      </c>
      <c r="O4" s="108" t="s">
        <v>18</v>
      </c>
      <c r="P4" s="147"/>
    </row>
    <row r="5" spans="1:16" s="12" customFormat="1" ht="17.45" customHeight="1" x14ac:dyDescent="0.15">
      <c r="A5" s="25" t="s">
        <v>33</v>
      </c>
      <c r="B5" s="102" t="s">
        <v>184</v>
      </c>
      <c r="C5" s="102" t="s">
        <v>486</v>
      </c>
      <c r="D5" s="42" t="s">
        <v>34</v>
      </c>
      <c r="E5" s="26">
        <v>90000</v>
      </c>
      <c r="F5" s="26"/>
      <c r="G5" s="26">
        <f t="shared" ref="G5:G26" si="0">H5+L5</f>
        <v>0</v>
      </c>
      <c r="H5" s="26"/>
      <c r="I5" s="46"/>
      <c r="J5" s="26">
        <f t="shared" ref="J5:J10" si="1">E5+F5-H5-I5</f>
        <v>90000</v>
      </c>
      <c r="K5" s="82">
        <v>90000</v>
      </c>
      <c r="L5" s="85"/>
      <c r="M5" s="82"/>
      <c r="N5" s="85"/>
      <c r="O5" s="26">
        <f>SUM(K5:N5)</f>
        <v>90000</v>
      </c>
      <c r="P5" s="27">
        <f t="shared" ref="P5:P10" si="2">O5-J5</f>
        <v>0</v>
      </c>
    </row>
    <row r="6" spans="1:16" s="12" customFormat="1" ht="17.45" customHeight="1" x14ac:dyDescent="0.15">
      <c r="A6" s="25" t="s">
        <v>33</v>
      </c>
      <c r="B6" s="103" t="s">
        <v>185</v>
      </c>
      <c r="C6" s="103" t="s">
        <v>487</v>
      </c>
      <c r="D6" s="43" t="s">
        <v>35</v>
      </c>
      <c r="E6" s="26">
        <v>0</v>
      </c>
      <c r="F6" s="26">
        <v>210000</v>
      </c>
      <c r="G6" s="26">
        <f t="shared" si="0"/>
        <v>150000</v>
      </c>
      <c r="H6" s="26">
        <v>150000</v>
      </c>
      <c r="I6" s="26"/>
      <c r="J6" s="26">
        <f t="shared" si="1"/>
        <v>60000</v>
      </c>
      <c r="K6" s="82">
        <v>60000</v>
      </c>
      <c r="L6" s="85"/>
      <c r="M6" s="82"/>
      <c r="N6" s="85"/>
      <c r="O6" s="26">
        <f t="shared" ref="O6:O14" si="3">SUM(K6:N6)</f>
        <v>60000</v>
      </c>
      <c r="P6" s="27">
        <f t="shared" si="2"/>
        <v>0</v>
      </c>
    </row>
    <row r="7" spans="1:16" s="12" customFormat="1" ht="17.45" customHeight="1" x14ac:dyDescent="0.15">
      <c r="A7" s="25" t="s">
        <v>33</v>
      </c>
      <c r="B7" s="102" t="s">
        <v>186</v>
      </c>
      <c r="C7" s="102" t="s">
        <v>488</v>
      </c>
      <c r="D7" s="42" t="s">
        <v>36</v>
      </c>
      <c r="E7" s="26">
        <v>0</v>
      </c>
      <c r="F7" s="26"/>
      <c r="G7" s="26">
        <f t="shared" si="0"/>
        <v>0</v>
      </c>
      <c r="H7" s="26"/>
      <c r="I7" s="26"/>
      <c r="J7" s="26">
        <f t="shared" si="1"/>
        <v>0</v>
      </c>
      <c r="K7" s="82"/>
      <c r="L7" s="85"/>
      <c r="M7" s="82"/>
      <c r="N7" s="85"/>
      <c r="O7" s="26">
        <f t="shared" si="3"/>
        <v>0</v>
      </c>
      <c r="P7" s="27">
        <f t="shared" si="2"/>
        <v>0</v>
      </c>
    </row>
    <row r="8" spans="1:16" s="12" customFormat="1" ht="17.45" customHeight="1" x14ac:dyDescent="0.15">
      <c r="A8" s="25" t="s">
        <v>33</v>
      </c>
      <c r="B8" s="103" t="s">
        <v>187</v>
      </c>
      <c r="C8" s="103" t="s">
        <v>489</v>
      </c>
      <c r="D8" s="43" t="s">
        <v>37</v>
      </c>
      <c r="E8" s="26">
        <v>210000</v>
      </c>
      <c r="F8" s="26"/>
      <c r="G8" s="26">
        <f t="shared" si="0"/>
        <v>200000</v>
      </c>
      <c r="H8" s="26">
        <v>200000</v>
      </c>
      <c r="I8" s="26"/>
      <c r="J8" s="26">
        <f t="shared" si="1"/>
        <v>10000</v>
      </c>
      <c r="K8" s="82"/>
      <c r="L8" s="85"/>
      <c r="M8" s="82"/>
      <c r="N8" s="85">
        <v>10000</v>
      </c>
      <c r="O8" s="26">
        <f t="shared" si="3"/>
        <v>10000</v>
      </c>
      <c r="P8" s="27">
        <f t="shared" si="2"/>
        <v>0</v>
      </c>
    </row>
    <row r="9" spans="1:16" s="12" customFormat="1" ht="17.45" customHeight="1" x14ac:dyDescent="0.15">
      <c r="A9" s="25" t="s">
        <v>33</v>
      </c>
      <c r="B9" s="102" t="s">
        <v>188</v>
      </c>
      <c r="C9" s="102" t="s">
        <v>490</v>
      </c>
      <c r="D9" s="42" t="s">
        <v>38</v>
      </c>
      <c r="E9" s="26">
        <v>0</v>
      </c>
      <c r="F9" s="26">
        <v>350000</v>
      </c>
      <c r="G9" s="26">
        <f t="shared" si="0"/>
        <v>350000</v>
      </c>
      <c r="H9" s="26">
        <v>350000</v>
      </c>
      <c r="I9" s="26"/>
      <c r="J9" s="26">
        <f t="shared" si="1"/>
        <v>0</v>
      </c>
      <c r="K9" s="82"/>
      <c r="L9" s="85"/>
      <c r="M9" s="82"/>
      <c r="N9" s="85"/>
      <c r="O9" s="26">
        <f t="shared" si="3"/>
        <v>0</v>
      </c>
      <c r="P9" s="27">
        <f t="shared" si="2"/>
        <v>0</v>
      </c>
    </row>
    <row r="10" spans="1:16" s="12" customFormat="1" ht="17.45" customHeight="1" x14ac:dyDescent="0.15">
      <c r="A10" s="25" t="s">
        <v>33</v>
      </c>
      <c r="B10" s="103" t="s">
        <v>189</v>
      </c>
      <c r="C10" s="103" t="s">
        <v>491</v>
      </c>
      <c r="D10" s="43" t="s">
        <v>39</v>
      </c>
      <c r="E10" s="26">
        <v>0</v>
      </c>
      <c r="F10" s="26">
        <v>300000</v>
      </c>
      <c r="G10" s="26">
        <f t="shared" si="0"/>
        <v>300000</v>
      </c>
      <c r="H10" s="26">
        <v>300000</v>
      </c>
      <c r="I10" s="26"/>
      <c r="J10" s="26">
        <f t="shared" si="1"/>
        <v>0</v>
      </c>
      <c r="K10" s="82"/>
      <c r="L10" s="85"/>
      <c r="M10" s="82"/>
      <c r="N10" s="85"/>
      <c r="O10" s="26">
        <f t="shared" si="3"/>
        <v>0</v>
      </c>
      <c r="P10" s="27">
        <f t="shared" si="2"/>
        <v>0</v>
      </c>
    </row>
    <row r="11" spans="1:16" s="12" customFormat="1" ht="17.45" customHeight="1" x14ac:dyDescent="0.15">
      <c r="A11" s="25" t="s">
        <v>33</v>
      </c>
      <c r="B11" s="102" t="s">
        <v>190</v>
      </c>
      <c r="C11" s="102" t="s">
        <v>492</v>
      </c>
      <c r="D11" s="42" t="s">
        <v>40</v>
      </c>
      <c r="E11" s="26">
        <v>0</v>
      </c>
      <c r="F11" s="26"/>
      <c r="G11" s="26">
        <f t="shared" si="0"/>
        <v>0</v>
      </c>
      <c r="H11" s="26"/>
      <c r="I11" s="26"/>
      <c r="J11" s="26">
        <f t="shared" ref="J11:J16" si="4">E11+F11-H11-I11</f>
        <v>0</v>
      </c>
      <c r="K11" s="82"/>
      <c r="L11" s="85"/>
      <c r="M11" s="82"/>
      <c r="N11" s="85"/>
      <c r="O11" s="26">
        <f t="shared" si="3"/>
        <v>0</v>
      </c>
      <c r="P11" s="27">
        <f t="shared" ref="P11:P16" si="5">O11-J11</f>
        <v>0</v>
      </c>
    </row>
    <row r="12" spans="1:16" s="12" customFormat="1" ht="17.45" customHeight="1" x14ac:dyDescent="0.15">
      <c r="A12" s="25" t="s">
        <v>33</v>
      </c>
      <c r="B12" s="103" t="s">
        <v>191</v>
      </c>
      <c r="C12" s="103" t="s">
        <v>493</v>
      </c>
      <c r="D12" s="43" t="s">
        <v>41</v>
      </c>
      <c r="E12" s="26">
        <v>80000</v>
      </c>
      <c r="F12" s="26"/>
      <c r="G12" s="26">
        <f t="shared" si="0"/>
        <v>30000</v>
      </c>
      <c r="H12" s="26">
        <v>30000</v>
      </c>
      <c r="I12" s="26"/>
      <c r="J12" s="26">
        <f>E12+F12-H12-I12</f>
        <v>50000</v>
      </c>
      <c r="K12" s="82">
        <v>50000</v>
      </c>
      <c r="L12" s="85"/>
      <c r="M12" s="82"/>
      <c r="N12" s="85"/>
      <c r="O12" s="26">
        <f t="shared" si="3"/>
        <v>50000</v>
      </c>
      <c r="P12" s="27">
        <f>O12-J12</f>
        <v>0</v>
      </c>
    </row>
    <row r="13" spans="1:16" s="12" customFormat="1" ht="17.45" customHeight="1" x14ac:dyDescent="0.15">
      <c r="A13" s="25" t="s">
        <v>33</v>
      </c>
      <c r="B13" s="102" t="s">
        <v>192</v>
      </c>
      <c r="C13" s="102" t="s">
        <v>494</v>
      </c>
      <c r="D13" s="42" t="s">
        <v>42</v>
      </c>
      <c r="E13" s="26">
        <v>0</v>
      </c>
      <c r="F13" s="26">
        <v>500000</v>
      </c>
      <c r="G13" s="26">
        <f t="shared" si="0"/>
        <v>500000</v>
      </c>
      <c r="H13" s="26">
        <v>500000</v>
      </c>
      <c r="I13" s="26"/>
      <c r="J13" s="26">
        <f>E13+F13-H13-I13</f>
        <v>0</v>
      </c>
      <c r="K13" s="82"/>
      <c r="L13" s="85"/>
      <c r="M13" s="82"/>
      <c r="N13" s="85"/>
      <c r="O13" s="26">
        <f t="shared" si="3"/>
        <v>0</v>
      </c>
      <c r="P13" s="27">
        <f>O13-J13</f>
        <v>0</v>
      </c>
    </row>
    <row r="14" spans="1:16" s="12" customFormat="1" ht="17.25" customHeight="1" x14ac:dyDescent="0.15">
      <c r="A14" s="25" t="s">
        <v>33</v>
      </c>
      <c r="B14" s="103" t="s">
        <v>193</v>
      </c>
      <c r="C14" s="103" t="s">
        <v>495</v>
      </c>
      <c r="D14" s="43" t="s">
        <v>43</v>
      </c>
      <c r="E14" s="26">
        <v>0</v>
      </c>
      <c r="F14" s="26"/>
      <c r="G14" s="26">
        <f t="shared" si="0"/>
        <v>-30000</v>
      </c>
      <c r="H14" s="26">
        <v>-30000</v>
      </c>
      <c r="I14" s="26"/>
      <c r="J14" s="26">
        <f>E14+F14-H14-I14</f>
        <v>30000</v>
      </c>
      <c r="K14" s="82"/>
      <c r="L14" s="85"/>
      <c r="M14" s="82"/>
      <c r="N14" s="85"/>
      <c r="O14" s="26">
        <f t="shared" si="3"/>
        <v>0</v>
      </c>
      <c r="P14" s="118">
        <f>O14-J14</f>
        <v>-30000</v>
      </c>
    </row>
    <row r="15" spans="1:16" s="12" customFormat="1" ht="17.45" customHeight="1" x14ac:dyDescent="0.15">
      <c r="A15" s="25" t="s">
        <v>33</v>
      </c>
      <c r="B15" s="102" t="s">
        <v>194</v>
      </c>
      <c r="C15" s="102" t="s">
        <v>496</v>
      </c>
      <c r="D15" s="42" t="s">
        <v>44</v>
      </c>
      <c r="E15" s="26"/>
      <c r="F15" s="26"/>
      <c r="G15" s="26">
        <f t="shared" si="0"/>
        <v>0</v>
      </c>
      <c r="H15" s="26"/>
      <c r="I15" s="26"/>
      <c r="J15" s="26">
        <f t="shared" si="4"/>
        <v>0</v>
      </c>
      <c r="K15" s="82"/>
      <c r="L15" s="85"/>
      <c r="M15" s="82"/>
      <c r="N15" s="85"/>
      <c r="O15" s="26"/>
      <c r="P15" s="27">
        <f t="shared" si="5"/>
        <v>0</v>
      </c>
    </row>
    <row r="16" spans="1:16" s="12" customFormat="1" ht="17.45" customHeight="1" x14ac:dyDescent="0.15">
      <c r="A16" s="25" t="s">
        <v>33</v>
      </c>
      <c r="B16" s="103" t="s">
        <v>195</v>
      </c>
      <c r="C16" s="103" t="s">
        <v>497</v>
      </c>
      <c r="D16" s="43" t="s">
        <v>45</v>
      </c>
      <c r="E16" s="26">
        <v>0</v>
      </c>
      <c r="F16" s="26"/>
      <c r="G16" s="26">
        <f t="shared" si="0"/>
        <v>0</v>
      </c>
      <c r="H16" s="26"/>
      <c r="I16" s="46"/>
      <c r="J16" s="26">
        <f t="shared" si="4"/>
        <v>0</v>
      </c>
      <c r="K16" s="82"/>
      <c r="L16" s="85"/>
      <c r="M16" s="82"/>
      <c r="N16" s="85"/>
      <c r="O16" s="26">
        <f>SUM(K16:N16)</f>
        <v>0</v>
      </c>
      <c r="P16" s="27">
        <f t="shared" si="5"/>
        <v>0</v>
      </c>
    </row>
    <row r="17" spans="1:16" s="12" customFormat="1" ht="18" customHeight="1" x14ac:dyDescent="0.15">
      <c r="A17" s="25"/>
      <c r="B17" s="100"/>
      <c r="C17" s="100"/>
      <c r="D17" s="28"/>
      <c r="E17" s="26">
        <v>0</v>
      </c>
      <c r="F17" s="26"/>
      <c r="G17" s="26">
        <f t="shared" si="0"/>
        <v>0</v>
      </c>
      <c r="H17" s="26"/>
      <c r="I17" s="46"/>
      <c r="J17" s="26">
        <f>E17+F17-H17-I17</f>
        <v>0</v>
      </c>
      <c r="K17" s="82"/>
      <c r="L17" s="85"/>
      <c r="M17" s="82"/>
      <c r="N17" s="85"/>
      <c r="O17" s="26">
        <f t="shared" ref="O17:O28" si="6">SUM(K17:N17)</f>
        <v>0</v>
      </c>
      <c r="P17" s="27">
        <f t="shared" ref="P17:P29" si="7">O17-J17</f>
        <v>0</v>
      </c>
    </row>
    <row r="18" spans="1:16" s="12" customFormat="1" ht="17.45" customHeight="1" x14ac:dyDescent="0.15">
      <c r="A18" s="29"/>
      <c r="B18" s="101"/>
      <c r="C18" s="101"/>
      <c r="D18" s="28"/>
      <c r="E18" s="26">
        <v>0</v>
      </c>
      <c r="F18" s="26"/>
      <c r="G18" s="26">
        <f t="shared" si="0"/>
        <v>0</v>
      </c>
      <c r="H18" s="26"/>
      <c r="I18" s="46"/>
      <c r="J18" s="26">
        <f>E18+F18-H18-I18</f>
        <v>0</v>
      </c>
      <c r="K18" s="82"/>
      <c r="L18" s="85"/>
      <c r="M18" s="82"/>
      <c r="N18" s="85"/>
      <c r="O18" s="26">
        <f t="shared" si="6"/>
        <v>0</v>
      </c>
      <c r="P18" s="27">
        <f t="shared" si="7"/>
        <v>0</v>
      </c>
    </row>
    <row r="19" spans="1:16" s="12" customFormat="1" ht="17.45" customHeight="1" x14ac:dyDescent="0.15">
      <c r="A19" s="25"/>
      <c r="B19" s="100"/>
      <c r="C19" s="100"/>
      <c r="D19" s="28"/>
      <c r="E19" s="26">
        <v>0</v>
      </c>
      <c r="F19" s="26"/>
      <c r="G19" s="26">
        <f t="shared" si="0"/>
        <v>0</v>
      </c>
      <c r="H19" s="26"/>
      <c r="I19" s="46"/>
      <c r="J19" s="26">
        <f>E19+F19-H19-I19</f>
        <v>0</v>
      </c>
      <c r="K19" s="82"/>
      <c r="L19" s="85"/>
      <c r="M19" s="82"/>
      <c r="N19" s="85"/>
      <c r="O19" s="26">
        <f t="shared" si="6"/>
        <v>0</v>
      </c>
      <c r="P19" s="27">
        <f t="shared" si="7"/>
        <v>0</v>
      </c>
    </row>
    <row r="20" spans="1:16" s="12" customFormat="1" ht="17.45" customHeight="1" x14ac:dyDescent="0.15">
      <c r="A20" s="25"/>
      <c r="B20" s="100"/>
      <c r="C20" s="100"/>
      <c r="D20" s="28"/>
      <c r="E20" s="26">
        <v>0</v>
      </c>
      <c r="F20" s="26"/>
      <c r="G20" s="26">
        <f t="shared" si="0"/>
        <v>0</v>
      </c>
      <c r="H20" s="26"/>
      <c r="I20" s="46"/>
      <c r="J20" s="26">
        <f>E20+F20-H20-I20</f>
        <v>0</v>
      </c>
      <c r="K20" s="82"/>
      <c r="L20" s="85"/>
      <c r="M20" s="82"/>
      <c r="N20" s="85"/>
      <c r="O20" s="26">
        <f t="shared" si="6"/>
        <v>0</v>
      </c>
      <c r="P20" s="27">
        <f t="shared" si="7"/>
        <v>0</v>
      </c>
    </row>
    <row r="21" spans="1:16" s="12" customFormat="1" ht="17.45" customHeight="1" x14ac:dyDescent="0.15">
      <c r="A21" s="25"/>
      <c r="B21" s="100"/>
      <c r="C21" s="100"/>
      <c r="D21" s="28"/>
      <c r="E21" s="26">
        <v>0</v>
      </c>
      <c r="F21" s="26"/>
      <c r="G21" s="26">
        <f t="shared" si="0"/>
        <v>0</v>
      </c>
      <c r="H21" s="26"/>
      <c r="I21" s="46"/>
      <c r="J21" s="26">
        <f t="shared" ref="J21:J28" si="8">E21+F21-H21-I21</f>
        <v>0</v>
      </c>
      <c r="K21" s="82"/>
      <c r="L21" s="85"/>
      <c r="M21" s="82"/>
      <c r="N21" s="85"/>
      <c r="O21" s="26">
        <f t="shared" si="6"/>
        <v>0</v>
      </c>
      <c r="P21" s="27">
        <f t="shared" si="7"/>
        <v>0</v>
      </c>
    </row>
    <row r="22" spans="1:16" s="12" customFormat="1" ht="17.45" customHeight="1" x14ac:dyDescent="0.15">
      <c r="A22" s="25"/>
      <c r="B22" s="100"/>
      <c r="C22" s="100"/>
      <c r="D22" s="28"/>
      <c r="E22" s="26">
        <v>0</v>
      </c>
      <c r="F22" s="26"/>
      <c r="G22" s="26">
        <f t="shared" si="0"/>
        <v>0</v>
      </c>
      <c r="H22" s="26"/>
      <c r="I22" s="46"/>
      <c r="J22" s="26">
        <f t="shared" si="8"/>
        <v>0</v>
      </c>
      <c r="K22" s="82"/>
      <c r="L22" s="85"/>
      <c r="M22" s="82"/>
      <c r="N22" s="85"/>
      <c r="O22" s="26">
        <f t="shared" si="6"/>
        <v>0</v>
      </c>
      <c r="P22" s="27">
        <f t="shared" si="7"/>
        <v>0</v>
      </c>
    </row>
    <row r="23" spans="1:16" s="12" customFormat="1" ht="17.45" customHeight="1" x14ac:dyDescent="0.15">
      <c r="A23" s="25"/>
      <c r="B23" s="100"/>
      <c r="C23" s="100"/>
      <c r="D23" s="28"/>
      <c r="E23" s="26">
        <v>0</v>
      </c>
      <c r="F23" s="26"/>
      <c r="G23" s="26">
        <f t="shared" si="0"/>
        <v>0</v>
      </c>
      <c r="H23" s="26"/>
      <c r="I23" s="46"/>
      <c r="J23" s="26">
        <f t="shared" si="8"/>
        <v>0</v>
      </c>
      <c r="K23" s="82"/>
      <c r="L23" s="85"/>
      <c r="M23" s="82"/>
      <c r="N23" s="85"/>
      <c r="O23" s="26">
        <f t="shared" si="6"/>
        <v>0</v>
      </c>
      <c r="P23" s="27">
        <f t="shared" si="7"/>
        <v>0</v>
      </c>
    </row>
    <row r="24" spans="1:16" s="12" customFormat="1" ht="17.45" customHeight="1" x14ac:dyDescent="0.15">
      <c r="A24" s="25"/>
      <c r="B24" s="100"/>
      <c r="C24" s="100"/>
      <c r="D24" s="28"/>
      <c r="E24" s="26">
        <v>0</v>
      </c>
      <c r="F24" s="26"/>
      <c r="G24" s="26">
        <f t="shared" si="0"/>
        <v>0</v>
      </c>
      <c r="H24" s="26"/>
      <c r="I24" s="46"/>
      <c r="J24" s="26">
        <f t="shared" si="8"/>
        <v>0</v>
      </c>
      <c r="K24" s="82"/>
      <c r="L24" s="85"/>
      <c r="M24" s="82"/>
      <c r="N24" s="85"/>
      <c r="O24" s="26">
        <f t="shared" si="6"/>
        <v>0</v>
      </c>
      <c r="P24" s="27">
        <f t="shared" si="7"/>
        <v>0</v>
      </c>
    </row>
    <row r="25" spans="1:16" s="12" customFormat="1" ht="17.45" customHeight="1" x14ac:dyDescent="0.15">
      <c r="A25" s="25"/>
      <c r="B25" s="100"/>
      <c r="C25" s="100"/>
      <c r="D25" s="28"/>
      <c r="E25" s="26">
        <v>0</v>
      </c>
      <c r="F25" s="26"/>
      <c r="G25" s="26">
        <f t="shared" si="0"/>
        <v>0</v>
      </c>
      <c r="H25" s="26"/>
      <c r="I25" s="46"/>
      <c r="J25" s="26">
        <f t="shared" si="8"/>
        <v>0</v>
      </c>
      <c r="K25" s="82"/>
      <c r="L25" s="85"/>
      <c r="M25" s="82"/>
      <c r="N25" s="85"/>
      <c r="O25" s="26">
        <f t="shared" si="6"/>
        <v>0</v>
      </c>
      <c r="P25" s="27">
        <f t="shared" si="7"/>
        <v>0</v>
      </c>
    </row>
    <row r="26" spans="1:16" s="12" customFormat="1" ht="17.45" customHeight="1" x14ac:dyDescent="0.15">
      <c r="A26" s="25"/>
      <c r="B26" s="100"/>
      <c r="C26" s="100"/>
      <c r="D26" s="28"/>
      <c r="E26" s="26">
        <v>0</v>
      </c>
      <c r="F26" s="26"/>
      <c r="G26" s="26">
        <f t="shared" si="0"/>
        <v>0</v>
      </c>
      <c r="H26" s="26"/>
      <c r="I26" s="46"/>
      <c r="J26" s="26">
        <f t="shared" si="8"/>
        <v>0</v>
      </c>
      <c r="K26" s="82"/>
      <c r="L26" s="85"/>
      <c r="M26" s="82"/>
      <c r="N26" s="85"/>
      <c r="O26" s="26">
        <f t="shared" si="6"/>
        <v>0</v>
      </c>
      <c r="P26" s="27">
        <f t="shared" si="7"/>
        <v>0</v>
      </c>
    </row>
    <row r="27" spans="1:16" s="12" customFormat="1" ht="17.45" customHeight="1" x14ac:dyDescent="0.15">
      <c r="A27" s="25"/>
      <c r="B27" s="100"/>
      <c r="C27" s="100"/>
      <c r="D27" s="28"/>
      <c r="E27" s="26">
        <v>0</v>
      </c>
      <c r="F27" s="26"/>
      <c r="G27" s="26">
        <f>H27+L27</f>
        <v>0</v>
      </c>
      <c r="H27" s="26"/>
      <c r="I27" s="46"/>
      <c r="J27" s="26">
        <f t="shared" si="8"/>
        <v>0</v>
      </c>
      <c r="K27" s="82"/>
      <c r="L27" s="85"/>
      <c r="M27" s="82"/>
      <c r="N27" s="85"/>
      <c r="O27" s="26">
        <f t="shared" si="6"/>
        <v>0</v>
      </c>
      <c r="P27" s="27">
        <f t="shared" si="7"/>
        <v>0</v>
      </c>
    </row>
    <row r="28" spans="1:16" s="12" customFormat="1" ht="17.45" customHeight="1" x14ac:dyDescent="0.15">
      <c r="A28" s="25"/>
      <c r="B28" s="100"/>
      <c r="C28" s="100"/>
      <c r="D28" s="28"/>
      <c r="E28" s="26">
        <v>0</v>
      </c>
      <c r="F28" s="26"/>
      <c r="G28" s="26">
        <f>H28+L28</f>
        <v>0</v>
      </c>
      <c r="H28" s="26"/>
      <c r="I28" s="46"/>
      <c r="J28" s="26">
        <f t="shared" si="8"/>
        <v>0</v>
      </c>
      <c r="K28" s="82"/>
      <c r="L28" s="85"/>
      <c r="M28" s="82"/>
      <c r="N28" s="85"/>
      <c r="O28" s="26">
        <f t="shared" si="6"/>
        <v>0</v>
      </c>
      <c r="P28" s="27">
        <f t="shared" si="7"/>
        <v>0</v>
      </c>
    </row>
    <row r="29" spans="1:16" s="12" customFormat="1" ht="17.45" customHeight="1" thickBot="1" x14ac:dyDescent="0.2">
      <c r="A29" s="148" t="s">
        <v>18</v>
      </c>
      <c r="B29" s="149"/>
      <c r="C29" s="149"/>
      <c r="D29" s="150"/>
      <c r="E29" s="30">
        <f t="shared" ref="E29:O29" si="9">SUM(E5:E28)</f>
        <v>380000</v>
      </c>
      <c r="F29" s="30">
        <f t="shared" si="9"/>
        <v>1360000</v>
      </c>
      <c r="G29" s="30">
        <f t="shared" si="9"/>
        <v>1500000</v>
      </c>
      <c r="H29" s="30">
        <f t="shared" si="9"/>
        <v>1500000</v>
      </c>
      <c r="I29" s="30">
        <f t="shared" si="9"/>
        <v>0</v>
      </c>
      <c r="J29" s="30">
        <f t="shared" si="9"/>
        <v>240000</v>
      </c>
      <c r="K29" s="87">
        <f t="shared" si="9"/>
        <v>200000</v>
      </c>
      <c r="L29" s="86">
        <f t="shared" si="9"/>
        <v>0</v>
      </c>
      <c r="M29" s="83">
        <f t="shared" si="9"/>
        <v>0</v>
      </c>
      <c r="N29" s="86">
        <f t="shared" si="9"/>
        <v>10000</v>
      </c>
      <c r="O29" s="30">
        <f t="shared" si="9"/>
        <v>210000</v>
      </c>
      <c r="P29" s="88">
        <f t="shared" si="7"/>
        <v>-30000</v>
      </c>
    </row>
    <row r="30" spans="1:16" s="12" customFormat="1" ht="15" customHeight="1" x14ac:dyDescent="0.15">
      <c r="A30" s="12" t="s">
        <v>26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s="12" customFormat="1" ht="15" customHeight="1" x14ac:dyDescent="0.15">
      <c r="A31" s="12" t="s">
        <v>27</v>
      </c>
      <c r="I31" s="12" t="s">
        <v>28</v>
      </c>
      <c r="O31" s="12" t="s">
        <v>46</v>
      </c>
    </row>
    <row r="32" spans="1:16" s="12" customFormat="1" ht="14.25" x14ac:dyDescent="0.15"/>
    <row r="33" s="12" customFormat="1" ht="14.45" customHeight="1" x14ac:dyDescent="0.15"/>
    <row r="34" s="12" customFormat="1" ht="14.45" customHeight="1" x14ac:dyDescent="0.15"/>
    <row r="35" s="12" customFormat="1" ht="14.45" customHeight="1" x14ac:dyDescent="0.15"/>
    <row r="36" s="12" customFormat="1" ht="14.45" customHeight="1" x14ac:dyDescent="0.15"/>
    <row r="37" s="12" customFormat="1" ht="14.45" customHeight="1" x14ac:dyDescent="0.15"/>
    <row r="38" s="12" customFormat="1" ht="14.45" customHeight="1" x14ac:dyDescent="0.15"/>
    <row r="39" s="12" customFormat="1" ht="14.45" customHeight="1" x14ac:dyDescent="0.15"/>
    <row r="40" s="12" customFormat="1" ht="14.45" customHeight="1" x14ac:dyDescent="0.15"/>
    <row r="41" s="12" customFormat="1" ht="14.45" customHeight="1" x14ac:dyDescent="0.15"/>
    <row r="42" s="12" customFormat="1" ht="14.45" customHeight="1" x14ac:dyDescent="0.15"/>
    <row r="43" s="12" customFormat="1" ht="14.45" customHeight="1" x14ac:dyDescent="0.15"/>
    <row r="44" s="12" customFormat="1" ht="14.45" customHeight="1" x14ac:dyDescent="0.15"/>
    <row r="45" s="15" customFormat="1" ht="14.45" customHeight="1" x14ac:dyDescent="0.15"/>
    <row r="46" s="12" customFormat="1" ht="14.45" customHeight="1" x14ac:dyDescent="0.15"/>
    <row r="47" s="12" customFormat="1" ht="14.45" customHeight="1" x14ac:dyDescent="0.15"/>
    <row r="48" s="12" customFormat="1" ht="14.45" customHeight="1" x14ac:dyDescent="0.15"/>
    <row r="49" s="12" customFormat="1" ht="14.45" customHeight="1" x14ac:dyDescent="0.15"/>
    <row r="50" s="12" customFormat="1" ht="14.45" customHeight="1" x14ac:dyDescent="0.15"/>
    <row r="51" s="12" customFormat="1" ht="14.45" customHeight="1" x14ac:dyDescent="0.15"/>
    <row r="52" s="12" customFormat="1" ht="14.45" customHeight="1" x14ac:dyDescent="0.15"/>
    <row r="53" s="12" customFormat="1" ht="14.45" customHeight="1" x14ac:dyDescent="0.15"/>
    <row r="54" s="12" customFormat="1" ht="14.45" customHeight="1" x14ac:dyDescent="0.15"/>
    <row r="55" s="12" customFormat="1" ht="14.45" customHeight="1" x14ac:dyDescent="0.15"/>
    <row r="56" s="12" customFormat="1" ht="14.45" customHeight="1" x14ac:dyDescent="0.15"/>
    <row r="57" s="12" customFormat="1" ht="14.45" customHeight="1" x14ac:dyDescent="0.15"/>
    <row r="58" s="12" customFormat="1" ht="14.45" customHeight="1" x14ac:dyDescent="0.15"/>
    <row r="59" s="12" customFormat="1" ht="14.45" customHeight="1" x14ac:dyDescent="0.15"/>
    <row r="60" s="12" customFormat="1" ht="14.45" customHeight="1" x14ac:dyDescent="0.15"/>
    <row r="61" s="12" customFormat="1" ht="14.45" customHeight="1" x14ac:dyDescent="0.15"/>
    <row r="62" s="12" customFormat="1" ht="14.45" customHeight="1" x14ac:dyDescent="0.15"/>
    <row r="63" s="12" customFormat="1" ht="14.45" customHeight="1" x14ac:dyDescent="0.15"/>
    <row r="64" s="12" customFormat="1" ht="14.45" customHeight="1" x14ac:dyDescent="0.15"/>
    <row r="65" s="12" customFormat="1" ht="14.45" customHeight="1" x14ac:dyDescent="0.15"/>
    <row r="66" s="12" customFormat="1" ht="14.45" customHeight="1" x14ac:dyDescent="0.15"/>
    <row r="67" s="12" customFormat="1" ht="14.45" customHeight="1" x14ac:dyDescent="0.15"/>
    <row r="68" s="12" customFormat="1" ht="14.45" customHeight="1" x14ac:dyDescent="0.15"/>
    <row r="69" s="12" customFormat="1" ht="14.45" customHeight="1" x14ac:dyDescent="0.15"/>
    <row r="70" s="12" customFormat="1" ht="14.45" customHeight="1" x14ac:dyDescent="0.15"/>
    <row r="71" s="12" customFormat="1" ht="14.45" customHeight="1" x14ac:dyDescent="0.15"/>
    <row r="72" s="12" customFormat="1" ht="14.45" customHeight="1" x14ac:dyDescent="0.15"/>
    <row r="73" s="12" customFormat="1" ht="14.45" customHeight="1" x14ac:dyDescent="0.15"/>
    <row r="74" s="12" customFormat="1" ht="14.45" customHeight="1" x14ac:dyDescent="0.15"/>
    <row r="75" s="12" customFormat="1" ht="14.45" customHeight="1" x14ac:dyDescent="0.15"/>
    <row r="76" s="12" customFormat="1" ht="14.45" customHeight="1" x14ac:dyDescent="0.15"/>
    <row r="77" s="12" customFormat="1" ht="14.45" customHeight="1" x14ac:dyDescent="0.15"/>
    <row r="78" s="12" customFormat="1" ht="14.45" customHeight="1" x14ac:dyDescent="0.15"/>
    <row r="79" s="12" customFormat="1" ht="14.45" customHeight="1" x14ac:dyDescent="0.15"/>
    <row r="80" s="12" customFormat="1" ht="14.45" customHeight="1" x14ac:dyDescent="0.15"/>
    <row r="81" s="12" customFormat="1" ht="14.45" customHeight="1" x14ac:dyDescent="0.15"/>
    <row r="82" s="12" customFormat="1" ht="14.45" customHeight="1" x14ac:dyDescent="0.15"/>
    <row r="83" s="12" customFormat="1" ht="14.45" customHeight="1" x14ac:dyDescent="0.15"/>
    <row r="84" s="12" customFormat="1" ht="14.45" customHeight="1" x14ac:dyDescent="0.15"/>
    <row r="85" s="12" customFormat="1" ht="14.45" customHeight="1" x14ac:dyDescent="0.15"/>
    <row r="86" s="12" customFormat="1" ht="14.45" customHeight="1" x14ac:dyDescent="0.15"/>
    <row r="87" s="12" customFormat="1" ht="14.45" customHeight="1" x14ac:dyDescent="0.15"/>
    <row r="88" s="12" customFormat="1" ht="14.45" customHeight="1" x14ac:dyDescent="0.15"/>
    <row r="89" s="12" customFormat="1" ht="14.45" customHeight="1" x14ac:dyDescent="0.15"/>
    <row r="90" s="12" customFormat="1" ht="14.45" customHeight="1" x14ac:dyDescent="0.15"/>
    <row r="91" s="12" customFormat="1" ht="14.45" customHeight="1" x14ac:dyDescent="0.15"/>
    <row r="92" s="12" customFormat="1" ht="14.45" customHeight="1" x14ac:dyDescent="0.15"/>
    <row r="93" s="12" customFormat="1" ht="14.45" customHeight="1" x14ac:dyDescent="0.15"/>
    <row r="94" s="12" customFormat="1" ht="14.45" customHeight="1" x14ac:dyDescent="0.15"/>
    <row r="95" s="12" customFormat="1" ht="14.45" customHeight="1" x14ac:dyDescent="0.15"/>
    <row r="96" s="12" customFormat="1" ht="14.45" customHeight="1" x14ac:dyDescent="0.15"/>
    <row r="97" s="12" customFormat="1" ht="14.45" customHeight="1" x14ac:dyDescent="0.15"/>
    <row r="98" s="12" customFormat="1" ht="14.45" customHeight="1" x14ac:dyDescent="0.15"/>
    <row r="99" s="12" customFormat="1" ht="14.45" customHeight="1" x14ac:dyDescent="0.15"/>
    <row r="100" s="12" customFormat="1" ht="14.45" customHeight="1" x14ac:dyDescent="0.15"/>
    <row r="101" s="12" customFormat="1" ht="14.45" customHeight="1" x14ac:dyDescent="0.15"/>
    <row r="102" s="12" customFormat="1" ht="14.45" customHeight="1" x14ac:dyDescent="0.15"/>
    <row r="103" s="12" customFormat="1" ht="14.45" customHeight="1" x14ac:dyDescent="0.15"/>
    <row r="104" s="12" customFormat="1" ht="14.45" customHeight="1" x14ac:dyDescent="0.15"/>
    <row r="105" s="12" customFormat="1" ht="14.45" customHeight="1" x14ac:dyDescent="0.15"/>
    <row r="106" s="12" customFormat="1" ht="14.45" customHeight="1" x14ac:dyDescent="0.15"/>
    <row r="107" s="12" customFormat="1" ht="14.45" customHeight="1" x14ac:dyDescent="0.15"/>
    <row r="108" s="12" customFormat="1" ht="14.45" customHeight="1" x14ac:dyDescent="0.15"/>
    <row r="109" s="12" customFormat="1" ht="14.45" customHeight="1" x14ac:dyDescent="0.15"/>
    <row r="110" s="12" customFormat="1" ht="14.45" customHeight="1" x14ac:dyDescent="0.15"/>
    <row r="111" s="12" customFormat="1" ht="14.45" customHeight="1" x14ac:dyDescent="0.15"/>
    <row r="112" s="12" customFormat="1" ht="14.45" customHeight="1" x14ac:dyDescent="0.15"/>
    <row r="113" s="32" customFormat="1" ht="14.45" customHeight="1" x14ac:dyDescent="0.25"/>
    <row r="114" s="32" customFormat="1" ht="14.45" customHeight="1" x14ac:dyDescent="0.25"/>
    <row r="115" s="32" customFormat="1" ht="14.45" customHeight="1" x14ac:dyDescent="0.25"/>
    <row r="116" s="32" customFormat="1" ht="14.45" customHeight="1" x14ac:dyDescent="0.25"/>
    <row r="117" s="32" customFormat="1" ht="14.45" customHeight="1" x14ac:dyDescent="0.25"/>
    <row r="118" s="32" customFormat="1" ht="14.45" customHeight="1" x14ac:dyDescent="0.25"/>
    <row r="119" s="32" customFormat="1" ht="14.45" customHeight="1" x14ac:dyDescent="0.25"/>
    <row r="120" s="32" customFormat="1" ht="14.45" customHeight="1" x14ac:dyDescent="0.25"/>
    <row r="121" s="32" customFormat="1" ht="14.45" customHeight="1" x14ac:dyDescent="0.25"/>
    <row r="122" s="32" customFormat="1" ht="14.45" customHeight="1" x14ac:dyDescent="0.25"/>
    <row r="123" s="32" customFormat="1" ht="14.45" customHeight="1" x14ac:dyDescent="0.25"/>
    <row r="124" s="32" customFormat="1" ht="14.45" customHeight="1" x14ac:dyDescent="0.25"/>
  </sheetData>
  <mergeCells count="12">
    <mergeCell ref="A29:D29"/>
    <mergeCell ref="A1:P1"/>
    <mergeCell ref="A2:P2"/>
    <mergeCell ref="A3:A4"/>
    <mergeCell ref="D3:D4"/>
    <mergeCell ref="F3:H3"/>
    <mergeCell ref="I3:I4"/>
    <mergeCell ref="J3:J4"/>
    <mergeCell ref="K3:O3"/>
    <mergeCell ref="P3:P4"/>
    <mergeCell ref="B3:B4"/>
    <mergeCell ref="C3:C4"/>
  </mergeCells>
  <phoneticPr fontId="2" type="noConversion"/>
  <printOptions horizontalCentered="1" verticalCentered="1"/>
  <pageMargins left="0.19685039370078741" right="0.19685039370078741" top="0" bottom="0.19685039370078741" header="0.31496062992125984" footer="0.59"/>
  <pageSetup paperSize="9" scale="88" orientation="landscape" r:id="rId1"/>
  <headerFooter alignWithMargins="0">
    <oddHeader>&amp;R第&amp;P页，共&amp;N页</oddHeader>
    <oddFooter>&amp;RSTPM-D-4-005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indexed="11"/>
  </sheetPr>
  <dimension ref="A1:R264"/>
  <sheetViews>
    <sheetView zoomScale="80" zoomScaleNormal="80" workbookViewId="0">
      <pane xSplit="4" ySplit="4" topLeftCell="E5" activePane="bottomRight" state="frozen"/>
      <selection activeCell="I14" sqref="I13:I14"/>
      <selection pane="topRight" activeCell="I14" sqref="I13:I14"/>
      <selection pane="bottomLeft" activeCell="I14" sqref="I13:I14"/>
      <selection pane="bottomRight" activeCell="C15" sqref="C15"/>
    </sheetView>
  </sheetViews>
  <sheetFormatPr defaultRowHeight="18" x14ac:dyDescent="0.3"/>
  <cols>
    <col min="1" max="2" width="10.625" style="3" customWidth="1"/>
    <col min="3" max="3" width="14.375" style="3" customWidth="1"/>
    <col min="4" max="4" width="21.875" style="11" customWidth="1"/>
    <col min="5" max="9" width="11" style="3" customWidth="1"/>
    <col min="10" max="17" width="9.625" style="3" customWidth="1"/>
    <col min="18" max="18" width="11" style="3" customWidth="1"/>
    <col min="19" max="19" width="9.625" style="3" bestFit="1" customWidth="1"/>
    <col min="20" max="16384" width="9" style="3"/>
  </cols>
  <sheetData>
    <row r="1" spans="1:18" s="4" customFormat="1" ht="22.5" customHeight="1" x14ac:dyDescent="0.35">
      <c r="A1" s="122" t="s">
        <v>361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18" s="1" customFormat="1" ht="18.75" thickBot="1" x14ac:dyDescent="0.35">
      <c r="A2" s="123" t="s">
        <v>362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</row>
    <row r="3" spans="1:18" s="12" customFormat="1" ht="24.95" customHeight="1" x14ac:dyDescent="0.15">
      <c r="A3" s="124" t="s">
        <v>9</v>
      </c>
      <c r="B3" s="129" t="s">
        <v>165</v>
      </c>
      <c r="C3" s="129" t="s">
        <v>363</v>
      </c>
      <c r="D3" s="126" t="s">
        <v>10</v>
      </c>
      <c r="E3" s="107" t="s">
        <v>11</v>
      </c>
      <c r="F3" s="129" t="s">
        <v>12</v>
      </c>
      <c r="G3" s="126" t="s">
        <v>13</v>
      </c>
      <c r="H3" s="126" t="s">
        <v>14</v>
      </c>
      <c r="I3" s="107" t="s">
        <v>15</v>
      </c>
      <c r="J3" s="126" t="s">
        <v>16</v>
      </c>
      <c r="K3" s="126"/>
      <c r="L3" s="126"/>
      <c r="M3" s="126"/>
      <c r="N3" s="126"/>
      <c r="O3" s="126"/>
      <c r="P3" s="126"/>
      <c r="Q3" s="126"/>
      <c r="R3" s="146" t="s">
        <v>17</v>
      </c>
    </row>
    <row r="4" spans="1:18" s="12" customFormat="1" ht="24.95" customHeight="1" x14ac:dyDescent="0.15">
      <c r="A4" s="125"/>
      <c r="B4" s="130"/>
      <c r="C4" s="130"/>
      <c r="D4" s="128"/>
      <c r="E4" s="108" t="s">
        <v>18</v>
      </c>
      <c r="F4" s="130"/>
      <c r="G4" s="128"/>
      <c r="H4" s="128"/>
      <c r="I4" s="108" t="s">
        <v>18</v>
      </c>
      <c r="J4" s="38" t="s">
        <v>19</v>
      </c>
      <c r="K4" s="38" t="s">
        <v>339</v>
      </c>
      <c r="L4" s="38" t="s">
        <v>118</v>
      </c>
      <c r="M4" s="38" t="s">
        <v>119</v>
      </c>
      <c r="N4" s="38" t="s">
        <v>341</v>
      </c>
      <c r="O4" s="38" t="s">
        <v>340</v>
      </c>
      <c r="P4" s="38" t="s">
        <v>160</v>
      </c>
      <c r="Q4" s="108" t="s">
        <v>18</v>
      </c>
      <c r="R4" s="147"/>
    </row>
    <row r="5" spans="1:18" s="12" customFormat="1" ht="24.95" customHeight="1" x14ac:dyDescent="0.2">
      <c r="A5" s="93" t="s">
        <v>164</v>
      </c>
      <c r="B5" s="96" t="s">
        <v>167</v>
      </c>
      <c r="C5" s="56" t="s">
        <v>22</v>
      </c>
      <c r="D5" s="56" t="s">
        <v>22</v>
      </c>
      <c r="E5" s="50">
        <v>96000</v>
      </c>
      <c r="F5" s="50">
        <v>120000</v>
      </c>
      <c r="G5" s="50">
        <v>40000</v>
      </c>
      <c r="H5" s="50">
        <v>414</v>
      </c>
      <c r="I5" s="51">
        <f t="shared" ref="I5:I18" si="0">E5+F5-G5-H5</f>
        <v>175586</v>
      </c>
      <c r="J5" s="50"/>
      <c r="K5" s="50"/>
      <c r="L5" s="67"/>
      <c r="M5" s="67"/>
      <c r="N5" s="50"/>
      <c r="O5" s="50">
        <v>176000</v>
      </c>
      <c r="P5" s="50"/>
      <c r="Q5" s="50">
        <f>SUM(J5:P5)</f>
        <v>176000</v>
      </c>
      <c r="R5" s="110">
        <f t="shared" ref="R5:R11" si="1">Q5-I5</f>
        <v>414</v>
      </c>
    </row>
    <row r="6" spans="1:18" s="12" customFormat="1" ht="24.95" customHeight="1" x14ac:dyDescent="0.2">
      <c r="A6" s="93" t="s">
        <v>162</v>
      </c>
      <c r="B6" s="96" t="s">
        <v>166</v>
      </c>
      <c r="C6" s="56" t="s">
        <v>498</v>
      </c>
      <c r="D6" s="56" t="s">
        <v>161</v>
      </c>
      <c r="E6" s="50">
        <v>3000</v>
      </c>
      <c r="F6" s="50">
        <f>80440+99000+21660</f>
        <v>201100</v>
      </c>
      <c r="G6" s="50">
        <v>80000</v>
      </c>
      <c r="H6" s="50">
        <f>0+0+4+1</f>
        <v>5</v>
      </c>
      <c r="I6" s="51">
        <f>E6+F6-G6-H6</f>
        <v>124095</v>
      </c>
      <c r="J6" s="50">
        <v>71000</v>
      </c>
      <c r="K6" s="50"/>
      <c r="L6" s="67"/>
      <c r="M6" s="67"/>
      <c r="N6" s="50">
        <v>7000</v>
      </c>
      <c r="O6" s="50">
        <v>47000</v>
      </c>
      <c r="P6" s="50"/>
      <c r="Q6" s="50">
        <f>SUM(J6:P6)</f>
        <v>125000</v>
      </c>
      <c r="R6" s="110">
        <f>Q6-I6</f>
        <v>905</v>
      </c>
    </row>
    <row r="7" spans="1:18" s="12" customFormat="1" ht="24.95" customHeight="1" x14ac:dyDescent="0.2">
      <c r="A7" s="93" t="s">
        <v>163</v>
      </c>
      <c r="B7" s="96" t="s">
        <v>170</v>
      </c>
      <c r="C7" s="56" t="s">
        <v>21</v>
      </c>
      <c r="D7" s="56" t="s">
        <v>21</v>
      </c>
      <c r="E7" s="50">
        <v>165000</v>
      </c>
      <c r="F7" s="50">
        <v>130000</v>
      </c>
      <c r="G7" s="50">
        <v>90000</v>
      </c>
      <c r="H7" s="50">
        <f>2600+7814</f>
        <v>10414</v>
      </c>
      <c r="I7" s="51">
        <f>E7+F7-G7-H7</f>
        <v>194586</v>
      </c>
      <c r="J7" s="50"/>
      <c r="K7" s="50"/>
      <c r="L7" s="67"/>
      <c r="M7" s="67"/>
      <c r="N7" s="50"/>
      <c r="O7" s="50">
        <v>195000</v>
      </c>
      <c r="P7" s="50"/>
      <c r="Q7" s="50">
        <f>SUM(J7:P7)</f>
        <v>195000</v>
      </c>
      <c r="R7" s="110">
        <f>Q7-I7</f>
        <v>414</v>
      </c>
    </row>
    <row r="8" spans="1:18" s="12" customFormat="1" ht="24.95" customHeight="1" x14ac:dyDescent="0.2">
      <c r="A8" s="93" t="s">
        <v>163</v>
      </c>
      <c r="B8" s="96" t="s">
        <v>171</v>
      </c>
      <c r="C8" s="56" t="s">
        <v>25</v>
      </c>
      <c r="D8" s="56" t="s">
        <v>25</v>
      </c>
      <c r="E8" s="50">
        <v>21000</v>
      </c>
      <c r="F8" s="50"/>
      <c r="G8" s="50">
        <v>2500</v>
      </c>
      <c r="H8" s="50"/>
      <c r="I8" s="51">
        <f>E8+F8-G8-H8</f>
        <v>18500</v>
      </c>
      <c r="J8" s="50"/>
      <c r="K8" s="50"/>
      <c r="L8" s="67"/>
      <c r="M8" s="67"/>
      <c r="N8" s="50"/>
      <c r="O8" s="50">
        <v>18500</v>
      </c>
      <c r="P8" s="50"/>
      <c r="Q8" s="50">
        <f>SUM(J8:P8)</f>
        <v>18500</v>
      </c>
      <c r="R8" s="110">
        <f>Q8-I8</f>
        <v>0</v>
      </c>
    </row>
    <row r="9" spans="1:18" s="12" customFormat="1" ht="24.95" customHeight="1" x14ac:dyDescent="0.2">
      <c r="A9" s="94" t="s">
        <v>164</v>
      </c>
      <c r="B9" s="97" t="s">
        <v>169</v>
      </c>
      <c r="C9" s="63" t="s">
        <v>23</v>
      </c>
      <c r="D9" s="63" t="s">
        <v>23</v>
      </c>
      <c r="E9" s="64">
        <v>35000</v>
      </c>
      <c r="F9" s="104">
        <f>44*5000</f>
        <v>220000</v>
      </c>
      <c r="G9" s="64">
        <v>50000</v>
      </c>
      <c r="H9" s="64">
        <f>4400+25745</f>
        <v>30145</v>
      </c>
      <c r="I9" s="65">
        <f t="shared" si="0"/>
        <v>174855</v>
      </c>
      <c r="J9" s="64"/>
      <c r="K9" s="64"/>
      <c r="L9" s="64">
        <v>60000</v>
      </c>
      <c r="M9" s="64"/>
      <c r="N9" s="64"/>
      <c r="O9" s="64">
        <v>110000</v>
      </c>
      <c r="P9" s="112"/>
      <c r="Q9" s="104">
        <f t="shared" ref="Q9:Q21" si="2">SUM(J9:P9)</f>
        <v>170000</v>
      </c>
      <c r="R9" s="66">
        <f t="shared" si="1"/>
        <v>-4855</v>
      </c>
    </row>
    <row r="10" spans="1:18" s="12" customFormat="1" ht="24.95" customHeight="1" x14ac:dyDescent="0.2">
      <c r="A10" s="94" t="s">
        <v>163</v>
      </c>
      <c r="B10" s="97" t="s">
        <v>168</v>
      </c>
      <c r="C10" s="63" t="s">
        <v>24</v>
      </c>
      <c r="D10" s="63" t="s">
        <v>24</v>
      </c>
      <c r="E10" s="64">
        <v>164000</v>
      </c>
      <c r="F10" s="64"/>
      <c r="G10" s="64">
        <v>50000</v>
      </c>
      <c r="H10" s="64">
        <v>36414</v>
      </c>
      <c r="I10" s="65">
        <f t="shared" si="0"/>
        <v>77586</v>
      </c>
      <c r="J10" s="64"/>
      <c r="K10" s="64"/>
      <c r="L10" s="64"/>
      <c r="M10" s="64"/>
      <c r="N10" s="64"/>
      <c r="O10" s="64">
        <v>75000</v>
      </c>
      <c r="P10" s="64"/>
      <c r="Q10" s="104">
        <f t="shared" si="2"/>
        <v>75000</v>
      </c>
      <c r="R10" s="66">
        <f t="shared" si="1"/>
        <v>-2586</v>
      </c>
    </row>
    <row r="11" spans="1:18" s="12" customFormat="1" ht="24.95" customHeight="1" x14ac:dyDescent="0.2">
      <c r="A11" s="55"/>
      <c r="B11" s="98"/>
      <c r="C11" s="98"/>
      <c r="D11" s="56"/>
      <c r="E11" s="50">
        <v>0</v>
      </c>
      <c r="F11" s="50"/>
      <c r="G11" s="50"/>
      <c r="H11" s="50"/>
      <c r="I11" s="51">
        <f t="shared" si="0"/>
        <v>0</v>
      </c>
      <c r="J11" s="50"/>
      <c r="K11" s="50"/>
      <c r="L11" s="50"/>
      <c r="M11" s="50"/>
      <c r="N11" s="50"/>
      <c r="O11" s="50"/>
      <c r="P11" s="50"/>
      <c r="Q11" s="50">
        <f t="shared" si="2"/>
        <v>0</v>
      </c>
      <c r="R11" s="110">
        <f t="shared" si="1"/>
        <v>0</v>
      </c>
    </row>
    <row r="12" spans="1:18" s="12" customFormat="1" ht="24.95" customHeight="1" x14ac:dyDescent="0.2">
      <c r="A12" s="55"/>
      <c r="B12" s="98"/>
      <c r="C12" s="98"/>
      <c r="D12" s="56"/>
      <c r="E12" s="50">
        <v>0</v>
      </c>
      <c r="F12" s="50"/>
      <c r="G12" s="50"/>
      <c r="H12" s="50"/>
      <c r="I12" s="51">
        <f t="shared" si="0"/>
        <v>0</v>
      </c>
      <c r="J12" s="50"/>
      <c r="K12" s="50"/>
      <c r="L12" s="50"/>
      <c r="M12" s="50"/>
      <c r="N12" s="50"/>
      <c r="O12" s="50"/>
      <c r="P12" s="50"/>
      <c r="Q12" s="50">
        <f t="shared" si="2"/>
        <v>0</v>
      </c>
      <c r="R12" s="110">
        <f t="shared" ref="R12:R21" si="3">Q12-I12</f>
        <v>0</v>
      </c>
    </row>
    <row r="13" spans="1:18" s="12" customFormat="1" ht="24.95" customHeight="1" x14ac:dyDescent="0.2">
      <c r="A13" s="55"/>
      <c r="B13" s="98"/>
      <c r="C13" s="98"/>
      <c r="D13" s="56"/>
      <c r="E13" s="50">
        <v>0</v>
      </c>
      <c r="F13" s="57"/>
      <c r="G13" s="50"/>
      <c r="H13" s="50"/>
      <c r="I13" s="51">
        <f t="shared" si="0"/>
        <v>0</v>
      </c>
      <c r="J13" s="50"/>
      <c r="K13" s="50"/>
      <c r="L13" s="50"/>
      <c r="M13" s="50"/>
      <c r="N13" s="50"/>
      <c r="O13" s="50"/>
      <c r="P13" s="50"/>
      <c r="Q13" s="50">
        <f t="shared" si="2"/>
        <v>0</v>
      </c>
      <c r="R13" s="110">
        <f t="shared" si="3"/>
        <v>0</v>
      </c>
    </row>
    <row r="14" spans="1:18" s="12" customFormat="1" ht="24.95" customHeight="1" x14ac:dyDescent="0.2">
      <c r="A14" s="55"/>
      <c r="B14" s="98"/>
      <c r="C14" s="98"/>
      <c r="D14" s="56"/>
      <c r="E14" s="50">
        <v>0</v>
      </c>
      <c r="F14" s="57"/>
      <c r="G14" s="50"/>
      <c r="H14" s="50"/>
      <c r="I14" s="51">
        <f t="shared" si="0"/>
        <v>0</v>
      </c>
      <c r="J14" s="50"/>
      <c r="K14" s="50"/>
      <c r="L14" s="50"/>
      <c r="M14" s="50"/>
      <c r="N14" s="50"/>
      <c r="O14" s="50"/>
      <c r="P14" s="50"/>
      <c r="Q14" s="50">
        <f t="shared" si="2"/>
        <v>0</v>
      </c>
      <c r="R14" s="110">
        <f t="shared" si="3"/>
        <v>0</v>
      </c>
    </row>
    <row r="15" spans="1:18" s="12" customFormat="1" ht="24.95" customHeight="1" x14ac:dyDescent="0.2">
      <c r="A15" s="55"/>
      <c r="B15" s="98"/>
      <c r="C15" s="98"/>
      <c r="D15" s="56"/>
      <c r="E15" s="50">
        <v>0</v>
      </c>
      <c r="F15" s="57"/>
      <c r="G15" s="50"/>
      <c r="H15" s="50"/>
      <c r="I15" s="51">
        <f t="shared" si="0"/>
        <v>0</v>
      </c>
      <c r="J15" s="50"/>
      <c r="K15" s="50"/>
      <c r="L15" s="50"/>
      <c r="M15" s="50"/>
      <c r="N15" s="50"/>
      <c r="O15" s="50"/>
      <c r="P15" s="50"/>
      <c r="Q15" s="50">
        <f t="shared" si="2"/>
        <v>0</v>
      </c>
      <c r="R15" s="110">
        <f t="shared" si="3"/>
        <v>0</v>
      </c>
    </row>
    <row r="16" spans="1:18" s="12" customFormat="1" ht="24.95" customHeight="1" x14ac:dyDescent="0.2">
      <c r="A16" s="55"/>
      <c r="B16" s="98"/>
      <c r="C16" s="98"/>
      <c r="D16" s="56"/>
      <c r="E16" s="50">
        <v>0</v>
      </c>
      <c r="F16" s="57"/>
      <c r="G16" s="50"/>
      <c r="H16" s="50"/>
      <c r="I16" s="51">
        <f t="shared" si="0"/>
        <v>0</v>
      </c>
      <c r="J16" s="50"/>
      <c r="K16" s="50"/>
      <c r="L16" s="50"/>
      <c r="M16" s="50"/>
      <c r="N16" s="50"/>
      <c r="O16" s="50"/>
      <c r="P16" s="50"/>
      <c r="Q16" s="50">
        <f t="shared" si="2"/>
        <v>0</v>
      </c>
      <c r="R16" s="110">
        <f t="shared" si="3"/>
        <v>0</v>
      </c>
    </row>
    <row r="17" spans="1:18" s="12" customFormat="1" ht="24.95" customHeight="1" x14ac:dyDescent="0.2">
      <c r="A17" s="55"/>
      <c r="B17" s="98"/>
      <c r="C17" s="98"/>
      <c r="D17" s="56"/>
      <c r="E17" s="50">
        <v>0</v>
      </c>
      <c r="F17" s="57"/>
      <c r="G17" s="50"/>
      <c r="H17" s="50"/>
      <c r="I17" s="51">
        <f t="shared" si="0"/>
        <v>0</v>
      </c>
      <c r="J17" s="50"/>
      <c r="K17" s="50"/>
      <c r="L17" s="50"/>
      <c r="M17" s="50"/>
      <c r="N17" s="50"/>
      <c r="O17" s="50"/>
      <c r="P17" s="50"/>
      <c r="Q17" s="50">
        <f t="shared" si="2"/>
        <v>0</v>
      </c>
      <c r="R17" s="110">
        <f t="shared" si="3"/>
        <v>0</v>
      </c>
    </row>
    <row r="18" spans="1:18" s="12" customFormat="1" ht="24.95" customHeight="1" x14ac:dyDescent="0.15">
      <c r="A18" s="106"/>
      <c r="B18" s="95"/>
      <c r="C18" s="95"/>
      <c r="D18" s="49"/>
      <c r="E18" s="50">
        <v>0</v>
      </c>
      <c r="F18" s="51"/>
      <c r="G18" s="50"/>
      <c r="H18" s="50"/>
      <c r="I18" s="51">
        <f t="shared" si="0"/>
        <v>0</v>
      </c>
      <c r="J18" s="50"/>
      <c r="K18" s="50"/>
      <c r="L18" s="50"/>
      <c r="M18" s="50"/>
      <c r="N18" s="50"/>
      <c r="O18" s="50"/>
      <c r="P18" s="50"/>
      <c r="Q18" s="50">
        <f t="shared" si="2"/>
        <v>0</v>
      </c>
      <c r="R18" s="110">
        <f t="shared" si="3"/>
        <v>0</v>
      </c>
    </row>
    <row r="19" spans="1:18" s="12" customFormat="1" ht="24.95" customHeight="1" x14ac:dyDescent="0.15">
      <c r="A19" s="106"/>
      <c r="B19" s="95"/>
      <c r="C19" s="95"/>
      <c r="D19" s="49"/>
      <c r="E19" s="50">
        <v>0</v>
      </c>
      <c r="F19" s="51"/>
      <c r="G19" s="50"/>
      <c r="H19" s="50"/>
      <c r="I19" s="51">
        <f t="shared" ref="I19:I21" si="4">E19+F19-G19-H19</f>
        <v>0</v>
      </c>
      <c r="J19" s="50"/>
      <c r="K19" s="50"/>
      <c r="L19" s="50"/>
      <c r="M19" s="50"/>
      <c r="N19" s="26"/>
      <c r="O19" s="26"/>
      <c r="P19" s="26"/>
      <c r="Q19" s="50">
        <f t="shared" si="2"/>
        <v>0</v>
      </c>
      <c r="R19" s="110">
        <f t="shared" si="3"/>
        <v>0</v>
      </c>
    </row>
    <row r="20" spans="1:18" s="12" customFormat="1" ht="24.95" customHeight="1" x14ac:dyDescent="0.15">
      <c r="A20" s="106"/>
      <c r="B20" s="95"/>
      <c r="C20" s="95"/>
      <c r="D20" s="49"/>
      <c r="E20" s="50">
        <v>0</v>
      </c>
      <c r="F20" s="51"/>
      <c r="G20" s="50"/>
      <c r="H20" s="50"/>
      <c r="I20" s="51">
        <f t="shared" si="4"/>
        <v>0</v>
      </c>
      <c r="J20" s="50"/>
      <c r="K20" s="50"/>
      <c r="L20" s="50"/>
      <c r="M20" s="50"/>
      <c r="N20" s="50"/>
      <c r="O20" s="50"/>
      <c r="P20" s="50"/>
      <c r="Q20" s="50">
        <f t="shared" si="2"/>
        <v>0</v>
      </c>
      <c r="R20" s="110">
        <f t="shared" si="3"/>
        <v>0</v>
      </c>
    </row>
    <row r="21" spans="1:18" s="12" customFormat="1" ht="24.95" customHeight="1" x14ac:dyDescent="0.15">
      <c r="A21" s="106"/>
      <c r="B21" s="95"/>
      <c r="C21" s="95"/>
      <c r="D21" s="49"/>
      <c r="E21" s="50">
        <v>0</v>
      </c>
      <c r="F21" s="51"/>
      <c r="G21" s="50"/>
      <c r="H21" s="50"/>
      <c r="I21" s="51">
        <f t="shared" si="4"/>
        <v>0</v>
      </c>
      <c r="J21" s="50"/>
      <c r="K21" s="50"/>
      <c r="L21" s="50"/>
      <c r="M21" s="50"/>
      <c r="N21" s="50"/>
      <c r="O21" s="50"/>
      <c r="P21" s="50"/>
      <c r="Q21" s="50">
        <f t="shared" si="2"/>
        <v>0</v>
      </c>
      <c r="R21" s="110">
        <f t="shared" si="3"/>
        <v>0</v>
      </c>
    </row>
    <row r="22" spans="1:18" s="12" customFormat="1" ht="24.95" customHeight="1" thickBot="1" x14ac:dyDescent="0.2">
      <c r="A22" s="153" t="s">
        <v>18</v>
      </c>
      <c r="B22" s="154"/>
      <c r="C22" s="154"/>
      <c r="D22" s="155"/>
      <c r="E22" s="52">
        <f t="shared" ref="E22:Q22" si="5">SUM(E5:E21)</f>
        <v>484000</v>
      </c>
      <c r="F22" s="52">
        <f t="shared" si="5"/>
        <v>671100</v>
      </c>
      <c r="G22" s="52">
        <f t="shared" si="5"/>
        <v>312500</v>
      </c>
      <c r="H22" s="52">
        <f t="shared" si="5"/>
        <v>77392</v>
      </c>
      <c r="I22" s="52">
        <f t="shared" si="5"/>
        <v>765208</v>
      </c>
      <c r="J22" s="52">
        <f t="shared" si="5"/>
        <v>71000</v>
      </c>
      <c r="K22" s="52"/>
      <c r="L22" s="52">
        <f t="shared" si="5"/>
        <v>60000</v>
      </c>
      <c r="M22" s="52">
        <f t="shared" si="5"/>
        <v>0</v>
      </c>
      <c r="N22" s="52">
        <f t="shared" si="5"/>
        <v>7000</v>
      </c>
      <c r="O22" s="52">
        <f t="shared" si="5"/>
        <v>621500</v>
      </c>
      <c r="P22" s="52">
        <f t="shared" si="5"/>
        <v>0</v>
      </c>
      <c r="Q22" s="52">
        <f t="shared" si="5"/>
        <v>759500</v>
      </c>
      <c r="R22" s="53">
        <f>SUM(R5:R21)</f>
        <v>-5708</v>
      </c>
    </row>
    <row r="23" spans="1:18" s="12" customFormat="1" ht="15.95" customHeight="1" x14ac:dyDescent="0.15">
      <c r="A23" s="12" t="s">
        <v>26</v>
      </c>
      <c r="D23" s="54"/>
    </row>
    <row r="24" spans="1:18" s="12" customFormat="1" ht="15" customHeight="1" x14ac:dyDescent="0.15">
      <c r="A24" s="12" t="s">
        <v>27</v>
      </c>
      <c r="I24" s="12" t="s">
        <v>28</v>
      </c>
      <c r="Q24" s="12" t="s">
        <v>29</v>
      </c>
    </row>
    <row r="25" spans="1:18" s="16" customFormat="1" ht="15.95" customHeight="1" x14ac:dyDescent="0.15">
      <c r="D25" s="33"/>
    </row>
    <row r="26" spans="1:18" s="16" customFormat="1" ht="14.25" x14ac:dyDescent="0.15">
      <c r="D26" s="33"/>
    </row>
    <row r="27" spans="1:18" s="16" customFormat="1" ht="14.25" x14ac:dyDescent="0.15">
      <c r="D27" s="33"/>
    </row>
    <row r="28" spans="1:18" s="16" customFormat="1" ht="14.25" x14ac:dyDescent="0.15">
      <c r="D28" s="33"/>
    </row>
    <row r="29" spans="1:18" s="16" customFormat="1" ht="14.25" x14ac:dyDescent="0.15">
      <c r="D29" s="33"/>
    </row>
    <row r="30" spans="1:18" s="16" customFormat="1" ht="14.25" x14ac:dyDescent="0.15">
      <c r="D30" s="33"/>
    </row>
    <row r="31" spans="1:18" s="16" customFormat="1" ht="14.25" x14ac:dyDescent="0.15">
      <c r="D31" s="33"/>
    </row>
    <row r="32" spans="1:18" s="16" customFormat="1" ht="14.25" x14ac:dyDescent="0.15">
      <c r="D32" s="33"/>
    </row>
    <row r="33" spans="4:4" s="16" customFormat="1" ht="14.25" x14ac:dyDescent="0.15">
      <c r="D33" s="33"/>
    </row>
    <row r="34" spans="4:4" s="16" customFormat="1" ht="14.25" x14ac:dyDescent="0.15">
      <c r="D34" s="33"/>
    </row>
    <row r="35" spans="4:4" s="16" customFormat="1" ht="14.25" x14ac:dyDescent="0.15">
      <c r="D35" s="33"/>
    </row>
    <row r="36" spans="4:4" s="16" customFormat="1" ht="14.25" x14ac:dyDescent="0.15">
      <c r="D36" s="33"/>
    </row>
    <row r="37" spans="4:4" s="16" customFormat="1" ht="14.25" x14ac:dyDescent="0.15">
      <c r="D37" s="33"/>
    </row>
    <row r="38" spans="4:4" s="16" customFormat="1" ht="14.25" x14ac:dyDescent="0.15">
      <c r="D38" s="33"/>
    </row>
    <row r="39" spans="4:4" s="16" customFormat="1" ht="14.25" x14ac:dyDescent="0.15">
      <c r="D39" s="33"/>
    </row>
    <row r="40" spans="4:4" s="16" customFormat="1" ht="14.25" x14ac:dyDescent="0.15">
      <c r="D40" s="33"/>
    </row>
    <row r="41" spans="4:4" s="16" customFormat="1" ht="14.25" x14ac:dyDescent="0.15">
      <c r="D41" s="33"/>
    </row>
    <row r="42" spans="4:4" s="16" customFormat="1" ht="14.25" x14ac:dyDescent="0.15">
      <c r="D42" s="33"/>
    </row>
    <row r="43" spans="4:4" s="16" customFormat="1" ht="14.25" x14ac:dyDescent="0.15">
      <c r="D43" s="33"/>
    </row>
    <row r="44" spans="4:4" s="16" customFormat="1" ht="14.25" x14ac:dyDescent="0.15">
      <c r="D44" s="33"/>
    </row>
    <row r="45" spans="4:4" s="16" customFormat="1" ht="14.25" x14ac:dyDescent="0.15">
      <c r="D45" s="33"/>
    </row>
    <row r="46" spans="4:4" s="16" customFormat="1" ht="14.25" x14ac:dyDescent="0.15">
      <c r="D46" s="33"/>
    </row>
    <row r="47" spans="4:4" s="16" customFormat="1" ht="14.25" x14ac:dyDescent="0.15">
      <c r="D47" s="33"/>
    </row>
    <row r="48" spans="4:4" s="16" customFormat="1" ht="14.25" x14ac:dyDescent="0.15">
      <c r="D48" s="33"/>
    </row>
    <row r="49" spans="4:4" s="16" customFormat="1" ht="14.25" x14ac:dyDescent="0.15">
      <c r="D49" s="33"/>
    </row>
    <row r="50" spans="4:4" s="16" customFormat="1" ht="14.25" x14ac:dyDescent="0.15">
      <c r="D50" s="33"/>
    </row>
    <row r="51" spans="4:4" s="16" customFormat="1" ht="14.25" x14ac:dyDescent="0.15">
      <c r="D51" s="33"/>
    </row>
    <row r="52" spans="4:4" s="16" customFormat="1" ht="14.25" x14ac:dyDescent="0.15">
      <c r="D52" s="33"/>
    </row>
    <row r="53" spans="4:4" s="16" customFormat="1" ht="14.25" x14ac:dyDescent="0.15">
      <c r="D53" s="33"/>
    </row>
    <row r="54" spans="4:4" s="16" customFormat="1" ht="14.25" x14ac:dyDescent="0.15">
      <c r="D54" s="33"/>
    </row>
    <row r="55" spans="4:4" s="16" customFormat="1" ht="14.25" x14ac:dyDescent="0.15">
      <c r="D55" s="33"/>
    </row>
    <row r="56" spans="4:4" s="16" customFormat="1" ht="14.25" x14ac:dyDescent="0.15">
      <c r="D56" s="33"/>
    </row>
    <row r="57" spans="4:4" s="16" customFormat="1" ht="14.25" x14ac:dyDescent="0.15">
      <c r="D57" s="33"/>
    </row>
    <row r="58" spans="4:4" s="16" customFormat="1" ht="14.25" x14ac:dyDescent="0.15">
      <c r="D58" s="33"/>
    </row>
    <row r="59" spans="4:4" s="16" customFormat="1" ht="14.25" x14ac:dyDescent="0.15">
      <c r="D59" s="33"/>
    </row>
    <row r="60" spans="4:4" s="16" customFormat="1" ht="14.25" x14ac:dyDescent="0.15">
      <c r="D60" s="33"/>
    </row>
    <row r="61" spans="4:4" s="16" customFormat="1" ht="14.25" x14ac:dyDescent="0.15">
      <c r="D61" s="33"/>
    </row>
    <row r="62" spans="4:4" s="16" customFormat="1" ht="14.25" x14ac:dyDescent="0.15">
      <c r="D62" s="33"/>
    </row>
    <row r="63" spans="4:4" s="16" customFormat="1" ht="14.25" x14ac:dyDescent="0.15">
      <c r="D63" s="33"/>
    </row>
    <row r="64" spans="4:4" s="16" customFormat="1" ht="14.25" x14ac:dyDescent="0.15">
      <c r="D64" s="33"/>
    </row>
    <row r="65" spans="4:4" s="16" customFormat="1" ht="14.25" x14ac:dyDescent="0.15">
      <c r="D65" s="33"/>
    </row>
    <row r="66" spans="4:4" s="16" customFormat="1" ht="14.25" x14ac:dyDescent="0.15">
      <c r="D66" s="33"/>
    </row>
    <row r="67" spans="4:4" s="16" customFormat="1" ht="14.25" x14ac:dyDescent="0.15">
      <c r="D67" s="33"/>
    </row>
    <row r="68" spans="4:4" s="16" customFormat="1" ht="14.25" x14ac:dyDescent="0.15">
      <c r="D68" s="33"/>
    </row>
    <row r="69" spans="4:4" s="16" customFormat="1" ht="14.25" x14ac:dyDescent="0.15">
      <c r="D69" s="33"/>
    </row>
    <row r="70" spans="4:4" s="16" customFormat="1" ht="14.25" x14ac:dyDescent="0.15">
      <c r="D70" s="33"/>
    </row>
    <row r="71" spans="4:4" s="16" customFormat="1" ht="14.25" x14ac:dyDescent="0.15">
      <c r="D71" s="33"/>
    </row>
    <row r="72" spans="4:4" s="16" customFormat="1" ht="14.25" x14ac:dyDescent="0.15">
      <c r="D72" s="33"/>
    </row>
    <row r="73" spans="4:4" s="16" customFormat="1" ht="14.25" x14ac:dyDescent="0.15">
      <c r="D73" s="33"/>
    </row>
    <row r="74" spans="4:4" s="16" customFormat="1" ht="14.25" x14ac:dyDescent="0.15">
      <c r="D74" s="33"/>
    </row>
    <row r="75" spans="4:4" s="16" customFormat="1" ht="14.25" x14ac:dyDescent="0.15">
      <c r="D75" s="33"/>
    </row>
    <row r="76" spans="4:4" s="16" customFormat="1" ht="14.25" x14ac:dyDescent="0.15">
      <c r="D76" s="33"/>
    </row>
    <row r="77" spans="4:4" s="16" customFormat="1" ht="14.25" x14ac:dyDescent="0.15">
      <c r="D77" s="33"/>
    </row>
    <row r="78" spans="4:4" s="16" customFormat="1" ht="14.25" x14ac:dyDescent="0.15">
      <c r="D78" s="33"/>
    </row>
    <row r="79" spans="4:4" s="16" customFormat="1" ht="14.25" x14ac:dyDescent="0.15">
      <c r="D79" s="33"/>
    </row>
    <row r="80" spans="4:4" s="16" customFormat="1" ht="14.25" x14ac:dyDescent="0.15">
      <c r="D80" s="33"/>
    </row>
    <row r="81" spans="4:4" s="16" customFormat="1" ht="14.25" x14ac:dyDescent="0.15">
      <c r="D81" s="33"/>
    </row>
    <row r="82" spans="4:4" s="16" customFormat="1" ht="14.25" x14ac:dyDescent="0.15">
      <c r="D82" s="33"/>
    </row>
    <row r="83" spans="4:4" s="16" customFormat="1" ht="14.25" x14ac:dyDescent="0.15">
      <c r="D83" s="33"/>
    </row>
    <row r="84" spans="4:4" s="16" customFormat="1" ht="14.25" x14ac:dyDescent="0.15">
      <c r="D84" s="33"/>
    </row>
    <row r="85" spans="4:4" s="16" customFormat="1" ht="14.25" x14ac:dyDescent="0.15">
      <c r="D85" s="33"/>
    </row>
    <row r="86" spans="4:4" s="16" customFormat="1" ht="14.25" x14ac:dyDescent="0.15">
      <c r="D86" s="33"/>
    </row>
    <row r="87" spans="4:4" s="16" customFormat="1" ht="14.25" x14ac:dyDescent="0.15">
      <c r="D87" s="33"/>
    </row>
    <row r="88" spans="4:4" s="16" customFormat="1" ht="14.25" x14ac:dyDescent="0.15">
      <c r="D88" s="33"/>
    </row>
    <row r="89" spans="4:4" s="16" customFormat="1" ht="14.25" x14ac:dyDescent="0.15">
      <c r="D89" s="33"/>
    </row>
    <row r="90" spans="4:4" s="16" customFormat="1" ht="14.25" x14ac:dyDescent="0.15">
      <c r="D90" s="33"/>
    </row>
    <row r="91" spans="4:4" s="16" customFormat="1" ht="14.25" x14ac:dyDescent="0.15">
      <c r="D91" s="33"/>
    </row>
    <row r="92" spans="4:4" s="16" customFormat="1" ht="14.25" x14ac:dyDescent="0.15">
      <c r="D92" s="33"/>
    </row>
    <row r="93" spans="4:4" s="16" customFormat="1" ht="14.25" x14ac:dyDescent="0.15">
      <c r="D93" s="33"/>
    </row>
    <row r="94" spans="4:4" s="16" customFormat="1" ht="14.25" x14ac:dyDescent="0.15">
      <c r="D94" s="33"/>
    </row>
    <row r="95" spans="4:4" s="16" customFormat="1" ht="14.25" x14ac:dyDescent="0.15">
      <c r="D95" s="33"/>
    </row>
    <row r="96" spans="4:4" s="16" customFormat="1" ht="14.25" x14ac:dyDescent="0.15">
      <c r="D96" s="33"/>
    </row>
    <row r="97" spans="4:4" s="16" customFormat="1" ht="14.25" x14ac:dyDescent="0.15">
      <c r="D97" s="33"/>
    </row>
    <row r="98" spans="4:4" s="16" customFormat="1" ht="14.25" x14ac:dyDescent="0.15">
      <c r="D98" s="33"/>
    </row>
    <row r="99" spans="4:4" s="16" customFormat="1" ht="14.25" x14ac:dyDescent="0.15">
      <c r="D99" s="33"/>
    </row>
    <row r="100" spans="4:4" s="24" customFormat="1" ht="14.25" x14ac:dyDescent="0.25">
      <c r="D100" s="34"/>
    </row>
    <row r="101" spans="4:4" s="24" customFormat="1" ht="14.25" x14ac:dyDescent="0.25">
      <c r="D101" s="34"/>
    </row>
    <row r="102" spans="4:4" s="24" customFormat="1" ht="14.25" x14ac:dyDescent="0.25">
      <c r="D102" s="34"/>
    </row>
    <row r="103" spans="4:4" s="24" customFormat="1" ht="14.25" x14ac:dyDescent="0.25">
      <c r="D103" s="34"/>
    </row>
    <row r="104" spans="4:4" s="24" customFormat="1" ht="14.25" x14ac:dyDescent="0.25">
      <c r="D104" s="34"/>
    </row>
    <row r="105" spans="4:4" s="24" customFormat="1" ht="14.25" x14ac:dyDescent="0.25">
      <c r="D105" s="34"/>
    </row>
    <row r="106" spans="4:4" s="24" customFormat="1" ht="14.25" x14ac:dyDescent="0.25">
      <c r="D106" s="34"/>
    </row>
    <row r="107" spans="4:4" s="24" customFormat="1" ht="14.25" x14ac:dyDescent="0.25">
      <c r="D107" s="34"/>
    </row>
    <row r="108" spans="4:4" s="24" customFormat="1" ht="14.25" x14ac:dyDescent="0.25">
      <c r="D108" s="34"/>
    </row>
    <row r="109" spans="4:4" s="24" customFormat="1" ht="14.25" x14ac:dyDescent="0.25">
      <c r="D109" s="34"/>
    </row>
    <row r="110" spans="4:4" s="24" customFormat="1" ht="14.25" x14ac:dyDescent="0.25">
      <c r="D110" s="34"/>
    </row>
    <row r="111" spans="4:4" s="24" customFormat="1" ht="14.25" x14ac:dyDescent="0.25">
      <c r="D111" s="34"/>
    </row>
    <row r="112" spans="4:4" s="24" customFormat="1" ht="14.25" x14ac:dyDescent="0.25">
      <c r="D112" s="34"/>
    </row>
    <row r="113" spans="4:4" s="2" customFormat="1" ht="14.25" x14ac:dyDescent="0.25">
      <c r="D113" s="10"/>
    </row>
    <row r="114" spans="4:4" s="2" customFormat="1" ht="14.25" x14ac:dyDescent="0.25">
      <c r="D114" s="10"/>
    </row>
    <row r="115" spans="4:4" s="2" customFormat="1" ht="14.25" x14ac:dyDescent="0.25">
      <c r="D115" s="10"/>
    </row>
    <row r="116" spans="4:4" s="2" customFormat="1" ht="14.25" x14ac:dyDescent="0.25">
      <c r="D116" s="10"/>
    </row>
    <row r="117" spans="4:4" s="2" customFormat="1" ht="14.25" x14ac:dyDescent="0.25">
      <c r="D117" s="10"/>
    </row>
    <row r="118" spans="4:4" s="2" customFormat="1" ht="14.25" x14ac:dyDescent="0.25">
      <c r="D118" s="10"/>
    </row>
    <row r="119" spans="4:4" s="2" customFormat="1" ht="14.25" x14ac:dyDescent="0.25">
      <c r="D119" s="10"/>
    </row>
    <row r="120" spans="4:4" s="2" customFormat="1" ht="14.25" x14ac:dyDescent="0.25">
      <c r="D120" s="10"/>
    </row>
    <row r="121" spans="4:4" s="2" customFormat="1" ht="14.25" x14ac:dyDescent="0.25">
      <c r="D121" s="10"/>
    </row>
    <row r="122" spans="4:4" s="2" customFormat="1" ht="14.25" x14ac:dyDescent="0.25">
      <c r="D122" s="10"/>
    </row>
    <row r="123" spans="4:4" s="2" customFormat="1" ht="14.25" x14ac:dyDescent="0.25">
      <c r="D123" s="10"/>
    </row>
    <row r="124" spans="4:4" s="2" customFormat="1" ht="14.25" x14ac:dyDescent="0.25">
      <c r="D124" s="10"/>
    </row>
    <row r="125" spans="4:4" s="2" customFormat="1" ht="14.25" x14ac:dyDescent="0.25">
      <c r="D125" s="10"/>
    </row>
    <row r="126" spans="4:4" s="2" customFormat="1" ht="14.25" x14ac:dyDescent="0.25">
      <c r="D126" s="10"/>
    </row>
    <row r="127" spans="4:4" s="2" customFormat="1" ht="14.25" x14ac:dyDescent="0.25">
      <c r="D127" s="10"/>
    </row>
    <row r="128" spans="4:4" s="2" customFormat="1" ht="14.25" x14ac:dyDescent="0.25">
      <c r="D128" s="10"/>
    </row>
    <row r="129" spans="4:4" s="2" customFormat="1" ht="14.25" x14ac:dyDescent="0.25">
      <c r="D129" s="10"/>
    </row>
    <row r="130" spans="4:4" s="2" customFormat="1" ht="14.25" x14ac:dyDescent="0.25">
      <c r="D130" s="10"/>
    </row>
    <row r="131" spans="4:4" s="2" customFormat="1" ht="14.25" x14ac:dyDescent="0.25">
      <c r="D131" s="10"/>
    </row>
    <row r="132" spans="4:4" s="2" customFormat="1" ht="14.25" x14ac:dyDescent="0.25">
      <c r="D132" s="10"/>
    </row>
    <row r="133" spans="4:4" s="2" customFormat="1" ht="14.25" x14ac:dyDescent="0.25">
      <c r="D133" s="10"/>
    </row>
    <row r="134" spans="4:4" s="2" customFormat="1" ht="14.25" x14ac:dyDescent="0.25">
      <c r="D134" s="10"/>
    </row>
    <row r="135" spans="4:4" s="2" customFormat="1" ht="14.25" x14ac:dyDescent="0.25">
      <c r="D135" s="10"/>
    </row>
    <row r="136" spans="4:4" s="2" customFormat="1" ht="14.25" x14ac:dyDescent="0.25">
      <c r="D136" s="10"/>
    </row>
    <row r="137" spans="4:4" s="2" customFormat="1" ht="14.25" x14ac:dyDescent="0.25">
      <c r="D137" s="10"/>
    </row>
    <row r="138" spans="4:4" s="2" customFormat="1" ht="14.25" x14ac:dyDescent="0.25">
      <c r="D138" s="10"/>
    </row>
    <row r="139" spans="4:4" s="2" customFormat="1" ht="14.25" x14ac:dyDescent="0.25">
      <c r="D139" s="10"/>
    </row>
    <row r="140" spans="4:4" s="2" customFormat="1" ht="14.25" x14ac:dyDescent="0.25">
      <c r="D140" s="10"/>
    </row>
    <row r="141" spans="4:4" s="2" customFormat="1" ht="14.25" x14ac:dyDescent="0.25">
      <c r="D141" s="10"/>
    </row>
    <row r="142" spans="4:4" s="2" customFormat="1" ht="14.25" x14ac:dyDescent="0.25">
      <c r="D142" s="10"/>
    </row>
    <row r="143" spans="4:4" s="2" customFormat="1" ht="14.25" x14ac:dyDescent="0.25">
      <c r="D143" s="10"/>
    </row>
    <row r="144" spans="4:4" s="2" customFormat="1" ht="14.25" x14ac:dyDescent="0.25">
      <c r="D144" s="10"/>
    </row>
    <row r="145" spans="4:4" s="2" customFormat="1" ht="14.25" x14ac:dyDescent="0.25">
      <c r="D145" s="10"/>
    </row>
    <row r="146" spans="4:4" s="2" customFormat="1" ht="14.25" x14ac:dyDescent="0.25">
      <c r="D146" s="10"/>
    </row>
    <row r="147" spans="4:4" s="2" customFormat="1" ht="14.25" x14ac:dyDescent="0.25">
      <c r="D147" s="10"/>
    </row>
    <row r="148" spans="4:4" s="2" customFormat="1" ht="14.25" x14ac:dyDescent="0.25">
      <c r="D148" s="10"/>
    </row>
    <row r="149" spans="4:4" s="2" customFormat="1" ht="14.25" x14ac:dyDescent="0.25">
      <c r="D149" s="10"/>
    </row>
    <row r="150" spans="4:4" s="2" customFormat="1" ht="14.25" x14ac:dyDescent="0.25">
      <c r="D150" s="10"/>
    </row>
    <row r="151" spans="4:4" s="2" customFormat="1" ht="14.25" x14ac:dyDescent="0.25">
      <c r="D151" s="10"/>
    </row>
    <row r="152" spans="4:4" s="2" customFormat="1" ht="14.25" x14ac:dyDescent="0.25">
      <c r="D152" s="10"/>
    </row>
    <row r="153" spans="4:4" s="2" customFormat="1" ht="14.25" x14ac:dyDescent="0.25">
      <c r="D153" s="10"/>
    </row>
    <row r="154" spans="4:4" s="2" customFormat="1" ht="14.25" x14ac:dyDescent="0.25">
      <c r="D154" s="10"/>
    </row>
    <row r="155" spans="4:4" s="2" customFormat="1" ht="14.25" x14ac:dyDescent="0.25">
      <c r="D155" s="10"/>
    </row>
    <row r="156" spans="4:4" s="2" customFormat="1" ht="14.25" x14ac:dyDescent="0.25">
      <c r="D156" s="10"/>
    </row>
    <row r="157" spans="4:4" s="2" customFormat="1" ht="14.25" x14ac:dyDescent="0.25">
      <c r="D157" s="10"/>
    </row>
    <row r="158" spans="4:4" s="2" customFormat="1" ht="14.25" x14ac:dyDescent="0.25">
      <c r="D158" s="10"/>
    </row>
    <row r="159" spans="4:4" s="2" customFormat="1" ht="14.25" x14ac:dyDescent="0.25">
      <c r="D159" s="10"/>
    </row>
    <row r="160" spans="4:4" s="2" customFormat="1" ht="14.25" x14ac:dyDescent="0.25">
      <c r="D160" s="10"/>
    </row>
    <row r="161" spans="4:4" s="2" customFormat="1" ht="14.25" x14ac:dyDescent="0.25">
      <c r="D161" s="10"/>
    </row>
    <row r="162" spans="4:4" s="2" customFormat="1" ht="14.25" x14ac:dyDescent="0.25">
      <c r="D162" s="10"/>
    </row>
    <row r="163" spans="4:4" s="2" customFormat="1" ht="14.25" x14ac:dyDescent="0.25">
      <c r="D163" s="10"/>
    </row>
    <row r="164" spans="4:4" s="2" customFormat="1" ht="14.25" x14ac:dyDescent="0.25">
      <c r="D164" s="10"/>
    </row>
    <row r="165" spans="4:4" s="2" customFormat="1" ht="14.25" x14ac:dyDescent="0.25">
      <c r="D165" s="10"/>
    </row>
    <row r="166" spans="4:4" s="2" customFormat="1" ht="14.25" x14ac:dyDescent="0.25">
      <c r="D166" s="10"/>
    </row>
    <row r="167" spans="4:4" s="2" customFormat="1" ht="14.25" x14ac:dyDescent="0.25">
      <c r="D167" s="10"/>
    </row>
    <row r="168" spans="4:4" s="2" customFormat="1" ht="14.25" x14ac:dyDescent="0.25">
      <c r="D168" s="10"/>
    </row>
    <row r="169" spans="4:4" s="2" customFormat="1" ht="14.25" x14ac:dyDescent="0.25">
      <c r="D169" s="10"/>
    </row>
    <row r="170" spans="4:4" s="2" customFormat="1" ht="14.25" x14ac:dyDescent="0.25">
      <c r="D170" s="10"/>
    </row>
    <row r="171" spans="4:4" s="2" customFormat="1" ht="14.25" x14ac:dyDescent="0.25">
      <c r="D171" s="10"/>
    </row>
    <row r="172" spans="4:4" s="2" customFormat="1" ht="14.25" x14ac:dyDescent="0.25">
      <c r="D172" s="10"/>
    </row>
    <row r="173" spans="4:4" s="2" customFormat="1" ht="14.25" x14ac:dyDescent="0.25">
      <c r="D173" s="10"/>
    </row>
    <row r="174" spans="4:4" s="2" customFormat="1" ht="14.25" x14ac:dyDescent="0.25">
      <c r="D174" s="10"/>
    </row>
    <row r="175" spans="4:4" s="2" customFormat="1" ht="14.25" x14ac:dyDescent="0.25">
      <c r="D175" s="10"/>
    </row>
    <row r="176" spans="4:4" s="2" customFormat="1" ht="14.25" x14ac:dyDescent="0.25">
      <c r="D176" s="10"/>
    </row>
    <row r="177" spans="4:4" s="2" customFormat="1" ht="14.25" x14ac:dyDescent="0.25">
      <c r="D177" s="10"/>
    </row>
    <row r="178" spans="4:4" s="2" customFormat="1" ht="14.25" x14ac:dyDescent="0.25">
      <c r="D178" s="10"/>
    </row>
    <row r="179" spans="4:4" s="2" customFormat="1" ht="14.25" x14ac:dyDescent="0.25">
      <c r="D179" s="10"/>
    </row>
    <row r="180" spans="4:4" s="2" customFormat="1" ht="14.25" x14ac:dyDescent="0.25">
      <c r="D180" s="10"/>
    </row>
    <row r="181" spans="4:4" s="2" customFormat="1" ht="14.25" x14ac:dyDescent="0.25">
      <c r="D181" s="10"/>
    </row>
    <row r="182" spans="4:4" s="2" customFormat="1" ht="14.25" x14ac:dyDescent="0.25">
      <c r="D182" s="10"/>
    </row>
    <row r="183" spans="4:4" s="2" customFormat="1" ht="14.25" x14ac:dyDescent="0.25">
      <c r="D183" s="10"/>
    </row>
    <row r="184" spans="4:4" s="2" customFormat="1" ht="14.25" x14ac:dyDescent="0.25">
      <c r="D184" s="10"/>
    </row>
    <row r="185" spans="4:4" s="2" customFormat="1" ht="14.25" x14ac:dyDescent="0.25">
      <c r="D185" s="10"/>
    </row>
    <row r="186" spans="4:4" s="2" customFormat="1" ht="14.25" x14ac:dyDescent="0.25">
      <c r="D186" s="10"/>
    </row>
    <row r="187" spans="4:4" s="2" customFormat="1" ht="14.25" x14ac:dyDescent="0.25">
      <c r="D187" s="10"/>
    </row>
    <row r="188" spans="4:4" s="2" customFormat="1" ht="14.25" x14ac:dyDescent="0.25">
      <c r="D188" s="10"/>
    </row>
    <row r="189" spans="4:4" s="2" customFormat="1" ht="14.25" x14ac:dyDescent="0.25">
      <c r="D189" s="10"/>
    </row>
    <row r="190" spans="4:4" s="2" customFormat="1" ht="14.25" x14ac:dyDescent="0.25">
      <c r="D190" s="10"/>
    </row>
    <row r="191" spans="4:4" s="2" customFormat="1" ht="14.25" x14ac:dyDescent="0.25">
      <c r="D191" s="10"/>
    </row>
    <row r="192" spans="4:4" s="2" customFormat="1" ht="14.25" x14ac:dyDescent="0.25">
      <c r="D192" s="10"/>
    </row>
    <row r="193" spans="4:4" s="2" customFormat="1" ht="14.25" x14ac:dyDescent="0.25">
      <c r="D193" s="10"/>
    </row>
    <row r="194" spans="4:4" s="2" customFormat="1" ht="14.25" x14ac:dyDescent="0.25">
      <c r="D194" s="10"/>
    </row>
    <row r="195" spans="4:4" s="2" customFormat="1" ht="14.25" x14ac:dyDescent="0.25">
      <c r="D195" s="10"/>
    </row>
    <row r="196" spans="4:4" s="2" customFormat="1" ht="14.25" x14ac:dyDescent="0.25">
      <c r="D196" s="10"/>
    </row>
    <row r="197" spans="4:4" s="2" customFormat="1" ht="14.25" x14ac:dyDescent="0.25">
      <c r="D197" s="10"/>
    </row>
    <row r="198" spans="4:4" s="2" customFormat="1" ht="14.25" x14ac:dyDescent="0.25">
      <c r="D198" s="10"/>
    </row>
    <row r="199" spans="4:4" s="2" customFormat="1" ht="14.25" x14ac:dyDescent="0.25">
      <c r="D199" s="10"/>
    </row>
    <row r="200" spans="4:4" s="2" customFormat="1" ht="14.25" x14ac:dyDescent="0.25">
      <c r="D200" s="10"/>
    </row>
    <row r="201" spans="4:4" s="2" customFormat="1" ht="14.25" x14ac:dyDescent="0.25">
      <c r="D201" s="10"/>
    </row>
    <row r="202" spans="4:4" s="2" customFormat="1" ht="14.25" x14ac:dyDescent="0.25">
      <c r="D202" s="10"/>
    </row>
    <row r="203" spans="4:4" s="2" customFormat="1" ht="14.25" x14ac:dyDescent="0.25">
      <c r="D203" s="10"/>
    </row>
    <row r="204" spans="4:4" s="2" customFormat="1" ht="14.25" x14ac:dyDescent="0.25">
      <c r="D204" s="10"/>
    </row>
    <row r="205" spans="4:4" s="2" customFormat="1" ht="14.25" x14ac:dyDescent="0.25">
      <c r="D205" s="10"/>
    </row>
    <row r="206" spans="4:4" s="2" customFormat="1" ht="14.25" x14ac:dyDescent="0.25">
      <c r="D206" s="10"/>
    </row>
    <row r="207" spans="4:4" s="2" customFormat="1" ht="14.25" x14ac:dyDescent="0.25">
      <c r="D207" s="10"/>
    </row>
    <row r="208" spans="4:4" s="2" customFormat="1" ht="14.25" x14ac:dyDescent="0.25">
      <c r="D208" s="10"/>
    </row>
    <row r="209" spans="4:4" s="2" customFormat="1" ht="14.25" x14ac:dyDescent="0.25">
      <c r="D209" s="10"/>
    </row>
    <row r="210" spans="4:4" s="2" customFormat="1" ht="14.25" x14ac:dyDescent="0.25">
      <c r="D210" s="10"/>
    </row>
    <row r="211" spans="4:4" s="2" customFormat="1" ht="14.25" x14ac:dyDescent="0.25">
      <c r="D211" s="10"/>
    </row>
    <row r="212" spans="4:4" s="2" customFormat="1" ht="14.25" x14ac:dyDescent="0.25">
      <c r="D212" s="10"/>
    </row>
    <row r="213" spans="4:4" s="2" customFormat="1" ht="14.25" x14ac:dyDescent="0.25">
      <c r="D213" s="10"/>
    </row>
    <row r="214" spans="4:4" s="2" customFormat="1" ht="14.25" x14ac:dyDescent="0.25">
      <c r="D214" s="10"/>
    </row>
    <row r="215" spans="4:4" s="2" customFormat="1" ht="14.25" x14ac:dyDescent="0.25">
      <c r="D215" s="10"/>
    </row>
    <row r="216" spans="4:4" s="2" customFormat="1" ht="14.25" x14ac:dyDescent="0.25">
      <c r="D216" s="10"/>
    </row>
    <row r="217" spans="4:4" s="2" customFormat="1" ht="14.25" x14ac:dyDescent="0.25">
      <c r="D217" s="10"/>
    </row>
    <row r="218" spans="4:4" s="2" customFormat="1" ht="14.25" x14ac:dyDescent="0.25">
      <c r="D218" s="10"/>
    </row>
    <row r="219" spans="4:4" s="2" customFormat="1" ht="14.25" x14ac:dyDescent="0.25">
      <c r="D219" s="10"/>
    </row>
    <row r="220" spans="4:4" s="2" customFormat="1" ht="14.25" x14ac:dyDescent="0.25">
      <c r="D220" s="10"/>
    </row>
    <row r="221" spans="4:4" s="2" customFormat="1" ht="14.25" x14ac:dyDescent="0.25">
      <c r="D221" s="10"/>
    </row>
    <row r="222" spans="4:4" s="2" customFormat="1" ht="14.25" x14ac:dyDescent="0.25">
      <c r="D222" s="10"/>
    </row>
    <row r="223" spans="4:4" s="2" customFormat="1" ht="14.25" x14ac:dyDescent="0.25">
      <c r="D223" s="10"/>
    </row>
    <row r="224" spans="4:4" s="2" customFormat="1" ht="14.25" x14ac:dyDescent="0.25">
      <c r="D224" s="10"/>
    </row>
    <row r="225" spans="4:4" s="2" customFormat="1" ht="14.25" x14ac:dyDescent="0.25">
      <c r="D225" s="10"/>
    </row>
    <row r="226" spans="4:4" s="2" customFormat="1" ht="14.25" x14ac:dyDescent="0.25">
      <c r="D226" s="10"/>
    </row>
    <row r="227" spans="4:4" s="2" customFormat="1" ht="14.25" x14ac:dyDescent="0.25">
      <c r="D227" s="10"/>
    </row>
    <row r="228" spans="4:4" s="2" customFormat="1" ht="14.25" x14ac:dyDescent="0.25">
      <c r="D228" s="10"/>
    </row>
    <row r="229" spans="4:4" s="2" customFormat="1" ht="14.25" x14ac:dyDescent="0.25">
      <c r="D229" s="10"/>
    </row>
    <row r="230" spans="4:4" s="2" customFormat="1" ht="14.25" x14ac:dyDescent="0.25">
      <c r="D230" s="10"/>
    </row>
    <row r="231" spans="4:4" s="2" customFormat="1" ht="14.25" x14ac:dyDescent="0.25">
      <c r="D231" s="10"/>
    </row>
    <row r="232" spans="4:4" s="2" customFormat="1" ht="14.25" x14ac:dyDescent="0.25">
      <c r="D232" s="10"/>
    </row>
    <row r="233" spans="4:4" s="2" customFormat="1" ht="14.25" x14ac:dyDescent="0.25">
      <c r="D233" s="10"/>
    </row>
    <row r="234" spans="4:4" s="2" customFormat="1" ht="14.25" x14ac:dyDescent="0.25">
      <c r="D234" s="10"/>
    </row>
    <row r="235" spans="4:4" s="2" customFormat="1" ht="14.25" x14ac:dyDescent="0.25">
      <c r="D235" s="10"/>
    </row>
    <row r="236" spans="4:4" s="2" customFormat="1" ht="14.25" x14ac:dyDescent="0.25">
      <c r="D236" s="10"/>
    </row>
    <row r="237" spans="4:4" s="2" customFormat="1" ht="14.25" x14ac:dyDescent="0.25">
      <c r="D237" s="10"/>
    </row>
    <row r="238" spans="4:4" s="2" customFormat="1" ht="14.25" x14ac:dyDescent="0.25">
      <c r="D238" s="10"/>
    </row>
    <row r="239" spans="4:4" s="2" customFormat="1" ht="14.25" x14ac:dyDescent="0.25">
      <c r="D239" s="10"/>
    </row>
    <row r="240" spans="4:4" s="2" customFormat="1" ht="14.25" x14ac:dyDescent="0.25">
      <c r="D240" s="10"/>
    </row>
    <row r="241" spans="4:4" s="2" customFormat="1" ht="14.25" x14ac:dyDescent="0.25">
      <c r="D241" s="10"/>
    </row>
    <row r="242" spans="4:4" s="2" customFormat="1" ht="14.25" x14ac:dyDescent="0.25">
      <c r="D242" s="10"/>
    </row>
    <row r="243" spans="4:4" s="2" customFormat="1" ht="14.25" x14ac:dyDescent="0.25">
      <c r="D243" s="10"/>
    </row>
    <row r="244" spans="4:4" s="2" customFormat="1" ht="14.25" x14ac:dyDescent="0.25">
      <c r="D244" s="10"/>
    </row>
    <row r="245" spans="4:4" s="2" customFormat="1" ht="14.25" x14ac:dyDescent="0.25">
      <c r="D245" s="10"/>
    </row>
    <row r="246" spans="4:4" s="2" customFormat="1" ht="14.25" x14ac:dyDescent="0.25">
      <c r="D246" s="10"/>
    </row>
    <row r="247" spans="4:4" s="2" customFormat="1" ht="14.25" x14ac:dyDescent="0.25">
      <c r="D247" s="10"/>
    </row>
    <row r="248" spans="4:4" s="2" customFormat="1" ht="14.25" x14ac:dyDescent="0.25">
      <c r="D248" s="10"/>
    </row>
    <row r="249" spans="4:4" s="2" customFormat="1" ht="14.25" x14ac:dyDescent="0.25">
      <c r="D249" s="10"/>
    </row>
    <row r="250" spans="4:4" s="2" customFormat="1" ht="14.25" x14ac:dyDescent="0.25">
      <c r="D250" s="10"/>
    </row>
    <row r="251" spans="4:4" s="2" customFormat="1" ht="14.25" x14ac:dyDescent="0.25">
      <c r="D251" s="10"/>
    </row>
    <row r="252" spans="4:4" s="2" customFormat="1" ht="14.25" x14ac:dyDescent="0.25">
      <c r="D252" s="10"/>
    </row>
    <row r="253" spans="4:4" s="2" customFormat="1" ht="14.25" x14ac:dyDescent="0.25">
      <c r="D253" s="10"/>
    </row>
    <row r="254" spans="4:4" s="2" customFormat="1" ht="14.25" x14ac:dyDescent="0.25">
      <c r="D254" s="10"/>
    </row>
    <row r="255" spans="4:4" s="2" customFormat="1" ht="14.25" x14ac:dyDescent="0.25">
      <c r="D255" s="10"/>
    </row>
    <row r="256" spans="4:4" s="2" customFormat="1" ht="14.25" x14ac:dyDescent="0.25">
      <c r="D256" s="10"/>
    </row>
    <row r="257" spans="4:4" s="2" customFormat="1" ht="14.25" x14ac:dyDescent="0.25">
      <c r="D257" s="10"/>
    </row>
    <row r="258" spans="4:4" s="2" customFormat="1" ht="14.25" x14ac:dyDescent="0.25">
      <c r="D258" s="10"/>
    </row>
    <row r="259" spans="4:4" s="2" customFormat="1" ht="14.25" x14ac:dyDescent="0.25">
      <c r="D259" s="10"/>
    </row>
    <row r="260" spans="4:4" s="2" customFormat="1" ht="14.25" x14ac:dyDescent="0.25">
      <c r="D260" s="10"/>
    </row>
    <row r="261" spans="4:4" s="2" customFormat="1" ht="14.25" x14ac:dyDescent="0.25">
      <c r="D261" s="10"/>
    </row>
    <row r="262" spans="4:4" s="2" customFormat="1" ht="14.25" x14ac:dyDescent="0.25">
      <c r="D262" s="10"/>
    </row>
    <row r="263" spans="4:4" s="2" customFormat="1" ht="14.25" x14ac:dyDescent="0.25">
      <c r="D263" s="10"/>
    </row>
    <row r="264" spans="4:4" s="2" customFormat="1" ht="14.25" x14ac:dyDescent="0.25">
      <c r="D264" s="10"/>
    </row>
  </sheetData>
  <mergeCells count="12">
    <mergeCell ref="R3:R4"/>
    <mergeCell ref="A22:D22"/>
    <mergeCell ref="A1:R1"/>
    <mergeCell ref="A2:R2"/>
    <mergeCell ref="A3:A4"/>
    <mergeCell ref="D3:D4"/>
    <mergeCell ref="G3:G4"/>
    <mergeCell ref="H3:H4"/>
    <mergeCell ref="J3:Q3"/>
    <mergeCell ref="F3:F4"/>
    <mergeCell ref="B3:B4"/>
    <mergeCell ref="C3:C4"/>
  </mergeCells>
  <phoneticPr fontId="2" type="noConversion"/>
  <printOptions horizontalCentered="1"/>
  <pageMargins left="0.19685039370078741" right="0.19685039370078741" top="0" bottom="0.43307086614173229" header="0.31496062992125984" footer="0.62992125984251968"/>
  <pageSetup paperSize="9" scale="80" orientation="landscape" r:id="rId1"/>
  <headerFooter alignWithMargins="0">
    <oddHeader>&amp;R第&amp;P页，共&amp;N页</oddHeader>
    <oddFooter>&amp;RSTPM-D-4-005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R</vt:lpstr>
      <vt:lpstr>R爪</vt:lpstr>
      <vt:lpstr>R保税</vt:lpstr>
      <vt:lpstr>Z</vt:lpstr>
      <vt:lpstr>Z板68</vt:lpstr>
      <vt:lpstr>Z保税</vt:lpstr>
      <vt:lpstr>CCV</vt:lpstr>
      <vt:lpstr>CCV!Print_Area</vt:lpstr>
      <vt:lpstr>'R'!Print_Area</vt:lpstr>
      <vt:lpstr>R保税!Print_Area</vt:lpstr>
      <vt:lpstr>R爪!Print_Area</vt:lpstr>
      <vt:lpstr>'R'!Print_Titles</vt:lpstr>
      <vt:lpstr>Z!Print_Titles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潘成玲</dc:creator>
  <cp:lastModifiedBy>tanghui</cp:lastModifiedBy>
  <cp:lastPrinted>2015-01-30T06:41:15Z</cp:lastPrinted>
  <dcterms:created xsi:type="dcterms:W3CDTF">1996-12-17T01:32:42Z</dcterms:created>
  <dcterms:modified xsi:type="dcterms:W3CDTF">2015-04-14T09:01:22Z</dcterms:modified>
</cp:coreProperties>
</file>